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0425"/>
  </bookViews>
  <sheets>
    <sheet name="Commerce_session1" sheetId="6" r:id="rId1"/>
    <sheet name="RN_Sess1" sheetId="10" r:id="rId2"/>
    <sheet name="Commerce_session2" sheetId="11" r:id="rId3"/>
    <sheet name="RN_Sess2" sheetId="12" r:id="rId4"/>
  </sheets>
  <definedNames>
    <definedName name="_xlnm._FilterDatabase" localSheetId="0" hidden="1">Commerce_session1!$B$5:$DA$44</definedName>
    <definedName name="_xlnm._FilterDatabase" localSheetId="2" hidden="1">Commerce_session2!$DN$1:$DN$192</definedName>
    <definedName name="_xlnm.Print_Area" localSheetId="0">Commerce_session1!$B$1:$CX$178</definedName>
    <definedName name="_xlnm.Print_Area" localSheetId="2">Commerce_session2!$A$1:$DN$192</definedName>
  </definedNames>
  <calcPr calcId="124519"/>
</workbook>
</file>

<file path=xl/calcChain.xml><?xml version="1.0" encoding="utf-8"?>
<calcChain xmlns="http://schemas.openxmlformats.org/spreadsheetml/2006/main">
  <c r="P127" i="6"/>
  <c r="BB128"/>
  <c r="P128"/>
  <c r="AQ128"/>
  <c r="AV128" s="1"/>
  <c r="T128"/>
  <c r="AK128" l="1"/>
  <c r="X128"/>
  <c r="AL128" l="1"/>
  <c r="AM128"/>
  <c r="Y128"/>
  <c r="BD128"/>
  <c r="Z128"/>
  <c r="L42"/>
  <c r="M42" s="1"/>
  <c r="B7" l="1"/>
  <c r="CK176" l="1"/>
  <c r="CM176" s="1"/>
  <c r="CF176"/>
  <c r="CH176" s="1"/>
  <c r="BZ176"/>
  <c r="BV176"/>
  <c r="BW176" s="1"/>
  <c r="BP176"/>
  <c r="BQ176" s="1"/>
  <c r="BL176"/>
  <c r="BM176" s="1"/>
  <c r="BH176"/>
  <c r="BI176" s="1"/>
  <c r="AZ176"/>
  <c r="BB176" s="1"/>
  <c r="AT176"/>
  <c r="AQ176"/>
  <c r="AR176" s="1"/>
  <c r="AK176"/>
  <c r="AL176" s="1"/>
  <c r="AG176"/>
  <c r="AH176" s="1"/>
  <c r="AC176"/>
  <c r="AD176" s="1"/>
  <c r="X176"/>
  <c r="Y176" s="1"/>
  <c r="T176"/>
  <c r="P176"/>
  <c r="Q176" s="1"/>
  <c r="L176"/>
  <c r="M176" s="1"/>
  <c r="CK175"/>
  <c r="CL175" s="1"/>
  <c r="CN175" s="1"/>
  <c r="CF175"/>
  <c r="BZ175"/>
  <c r="CA175" s="1"/>
  <c r="BV175"/>
  <c r="BW175" s="1"/>
  <c r="BP175"/>
  <c r="BL175"/>
  <c r="BM175" s="1"/>
  <c r="BH175"/>
  <c r="BI175" s="1"/>
  <c r="AZ175"/>
  <c r="BA175" s="1"/>
  <c r="BC175" s="1"/>
  <c r="AT175"/>
  <c r="AU175" s="1"/>
  <c r="AQ175"/>
  <c r="AR175" s="1"/>
  <c r="AK175"/>
  <c r="AL175" s="1"/>
  <c r="AG175"/>
  <c r="AH175" s="1"/>
  <c r="AC175"/>
  <c r="X175"/>
  <c r="Y175" s="1"/>
  <c r="T175"/>
  <c r="U175" s="1"/>
  <c r="P175"/>
  <c r="L175"/>
  <c r="M175" s="1"/>
  <c r="CK174"/>
  <c r="CM174" s="1"/>
  <c r="CF174"/>
  <c r="CG174" s="1"/>
  <c r="CI174" s="1"/>
  <c r="BZ174"/>
  <c r="BV174"/>
  <c r="BW174" s="1"/>
  <c r="BP174"/>
  <c r="BQ174" s="1"/>
  <c r="BL174"/>
  <c r="BM174" s="1"/>
  <c r="BH174"/>
  <c r="BI174" s="1"/>
  <c r="AZ174"/>
  <c r="BB174" s="1"/>
  <c r="AT174"/>
  <c r="AQ174"/>
  <c r="AR174" s="1"/>
  <c r="AK174"/>
  <c r="AL174" s="1"/>
  <c r="AG174"/>
  <c r="AH174" s="1"/>
  <c r="AC174"/>
  <c r="X174"/>
  <c r="Y174" s="1"/>
  <c r="T174"/>
  <c r="U174" s="1"/>
  <c r="P174"/>
  <c r="Q174" s="1"/>
  <c r="L174"/>
  <c r="M174" s="1"/>
  <c r="CK173"/>
  <c r="CL173" s="1"/>
  <c r="CN173" s="1"/>
  <c r="CF173"/>
  <c r="BZ173"/>
  <c r="CA173" s="1"/>
  <c r="BV173"/>
  <c r="BW173" s="1"/>
  <c r="BP173"/>
  <c r="BL173"/>
  <c r="BM173" s="1"/>
  <c r="BH173"/>
  <c r="BI173" s="1"/>
  <c r="AZ173"/>
  <c r="BA173" s="1"/>
  <c r="BC173" s="1"/>
  <c r="AT173"/>
  <c r="AU173" s="1"/>
  <c r="AQ173"/>
  <c r="AK173"/>
  <c r="AL173" s="1"/>
  <c r="AG173"/>
  <c r="AH173" s="1"/>
  <c r="AC173"/>
  <c r="X173"/>
  <c r="Y173" s="1"/>
  <c r="T173"/>
  <c r="U173" s="1"/>
  <c r="P173"/>
  <c r="L173"/>
  <c r="M173" s="1"/>
  <c r="CK172"/>
  <c r="CM172" s="1"/>
  <c r="CF172"/>
  <c r="CG172" s="1"/>
  <c r="CI172" s="1"/>
  <c r="BZ172"/>
  <c r="CA172" s="1"/>
  <c r="BV172"/>
  <c r="BW172" s="1"/>
  <c r="BP172"/>
  <c r="BQ172" s="1"/>
  <c r="BL172"/>
  <c r="BM172" s="1"/>
  <c r="BH172"/>
  <c r="BI172" s="1"/>
  <c r="AZ172"/>
  <c r="BB172" s="1"/>
  <c r="AT172"/>
  <c r="AU172" s="1"/>
  <c r="AQ172"/>
  <c r="AR172" s="1"/>
  <c r="AK172"/>
  <c r="AL172" s="1"/>
  <c r="AG172"/>
  <c r="AH172" s="1"/>
  <c r="AC172"/>
  <c r="AD172" s="1"/>
  <c r="X172"/>
  <c r="Y172" s="1"/>
  <c r="T172"/>
  <c r="U172" s="1"/>
  <c r="P172"/>
  <c r="L172"/>
  <c r="M172" s="1"/>
  <c r="CK171"/>
  <c r="CM171" s="1"/>
  <c r="CF171"/>
  <c r="CH171" s="1"/>
  <c r="BZ171"/>
  <c r="BV171"/>
  <c r="BW171" s="1"/>
  <c r="BP171"/>
  <c r="BQ171" s="1"/>
  <c r="BL171"/>
  <c r="BH171"/>
  <c r="BI171" s="1"/>
  <c r="AZ171"/>
  <c r="BB171" s="1"/>
  <c r="AT171"/>
  <c r="AQ171"/>
  <c r="AR171" s="1"/>
  <c r="AK171"/>
  <c r="AL171" s="1"/>
  <c r="AG171"/>
  <c r="AH171" s="1"/>
  <c r="AC171"/>
  <c r="AD171" s="1"/>
  <c r="X171"/>
  <c r="Y171" s="1"/>
  <c r="T171"/>
  <c r="U171" s="1"/>
  <c r="P171"/>
  <c r="Q171" s="1"/>
  <c r="L171"/>
  <c r="M171" s="1"/>
  <c r="CK170"/>
  <c r="CM170" s="1"/>
  <c r="CF170"/>
  <c r="CH170" s="1"/>
  <c r="BZ170"/>
  <c r="BV170"/>
  <c r="BW170" s="1"/>
  <c r="BP170"/>
  <c r="BL170"/>
  <c r="BM170" s="1"/>
  <c r="BH170"/>
  <c r="BI170" s="1"/>
  <c r="AZ170"/>
  <c r="BB170" s="1"/>
  <c r="AT170"/>
  <c r="AQ170"/>
  <c r="AR170" s="1"/>
  <c r="AK170"/>
  <c r="AL170" s="1"/>
  <c r="AG170"/>
  <c r="AH170" s="1"/>
  <c r="AC170"/>
  <c r="X170"/>
  <c r="Y170" s="1"/>
  <c r="T170"/>
  <c r="U170" s="1"/>
  <c r="P170"/>
  <c r="Q170" s="1"/>
  <c r="L170"/>
  <c r="M170" s="1"/>
  <c r="CK169"/>
  <c r="CL169" s="1"/>
  <c r="CN169" s="1"/>
  <c r="CF169"/>
  <c r="BZ169"/>
  <c r="CA169" s="1"/>
  <c r="BV169"/>
  <c r="BP169"/>
  <c r="BL169"/>
  <c r="BM169" s="1"/>
  <c r="BH169"/>
  <c r="BI169" s="1"/>
  <c r="AZ169"/>
  <c r="BA169" s="1"/>
  <c r="BC169" s="1"/>
  <c r="AT169"/>
  <c r="AU169" s="1"/>
  <c r="AQ169"/>
  <c r="AK169"/>
  <c r="AL169" s="1"/>
  <c r="AG169"/>
  <c r="AH169" s="1"/>
  <c r="AC169"/>
  <c r="X169"/>
  <c r="Y169" s="1"/>
  <c r="T169"/>
  <c r="U169" s="1"/>
  <c r="P169"/>
  <c r="L169"/>
  <c r="M169" s="1"/>
  <c r="CK168"/>
  <c r="CM168" s="1"/>
  <c r="CF168"/>
  <c r="BZ168"/>
  <c r="CA168" s="1"/>
  <c r="BV168"/>
  <c r="BW168" s="1"/>
  <c r="BP168"/>
  <c r="BQ168" s="1"/>
  <c r="BL168"/>
  <c r="BM168" s="1"/>
  <c r="BH168"/>
  <c r="BI168" s="1"/>
  <c r="AZ168"/>
  <c r="BB168" s="1"/>
  <c r="AT168"/>
  <c r="AU168" s="1"/>
  <c r="AQ168"/>
  <c r="AR168" s="1"/>
  <c r="AK168"/>
  <c r="AL168" s="1"/>
  <c r="AG168"/>
  <c r="AC168"/>
  <c r="AD168" s="1"/>
  <c r="X168"/>
  <c r="Y168" s="1"/>
  <c r="T168"/>
  <c r="P168"/>
  <c r="L168"/>
  <c r="M168" s="1"/>
  <c r="CK167"/>
  <c r="CM167" s="1"/>
  <c r="CF167"/>
  <c r="BZ167"/>
  <c r="BV167"/>
  <c r="BW167" s="1"/>
  <c r="BP167"/>
  <c r="BQ167" s="1"/>
  <c r="BL167"/>
  <c r="BM167" s="1"/>
  <c r="BH167"/>
  <c r="BI167" s="1"/>
  <c r="AZ167"/>
  <c r="BA167" s="1"/>
  <c r="BC167" s="1"/>
  <c r="AT167"/>
  <c r="AU167" s="1"/>
  <c r="AQ167"/>
  <c r="AR167" s="1"/>
  <c r="AK167"/>
  <c r="AL167" s="1"/>
  <c r="AG167"/>
  <c r="AH167" s="1"/>
  <c r="AC167"/>
  <c r="AD167" s="1"/>
  <c r="X167"/>
  <c r="Y167" s="1"/>
  <c r="T167"/>
  <c r="U167" s="1"/>
  <c r="P167"/>
  <c r="Q167" s="1"/>
  <c r="L167"/>
  <c r="M167" s="1"/>
  <c r="CK166"/>
  <c r="CL166" s="1"/>
  <c r="CN166" s="1"/>
  <c r="CF166"/>
  <c r="CH166" s="1"/>
  <c r="BZ166"/>
  <c r="CA166" s="1"/>
  <c r="BV166"/>
  <c r="BP166"/>
  <c r="BQ166" s="1"/>
  <c r="BL166"/>
  <c r="BM166" s="1"/>
  <c r="BH166"/>
  <c r="BI166" s="1"/>
  <c r="AZ166"/>
  <c r="BA166" s="1"/>
  <c r="BC166" s="1"/>
  <c r="AT166"/>
  <c r="AU166" s="1"/>
  <c r="AQ166"/>
  <c r="AR166" s="1"/>
  <c r="AK166"/>
  <c r="AL166" s="1"/>
  <c r="AG166"/>
  <c r="AH166" s="1"/>
  <c r="AC166"/>
  <c r="X166"/>
  <c r="Y166" s="1"/>
  <c r="T166"/>
  <c r="U166" s="1"/>
  <c r="P166"/>
  <c r="Q166" s="1"/>
  <c r="L166"/>
  <c r="M166" s="1"/>
  <c r="CK165"/>
  <c r="CL165" s="1"/>
  <c r="CN165" s="1"/>
  <c r="CF165"/>
  <c r="CG165" s="1"/>
  <c r="CI165" s="1"/>
  <c r="BZ165"/>
  <c r="CA165" s="1"/>
  <c r="BV165"/>
  <c r="BW165" s="1"/>
  <c r="BP165"/>
  <c r="BQ165" s="1"/>
  <c r="BL165"/>
  <c r="BM165" s="1"/>
  <c r="BH165"/>
  <c r="BI165" s="1"/>
  <c r="AZ165"/>
  <c r="BA165" s="1"/>
  <c r="BC165" s="1"/>
  <c r="AT165"/>
  <c r="AU165" s="1"/>
  <c r="AQ165"/>
  <c r="AR165" s="1"/>
  <c r="AK165"/>
  <c r="AL165" s="1"/>
  <c r="AG165"/>
  <c r="AH165" s="1"/>
  <c r="AC165"/>
  <c r="AD165" s="1"/>
  <c r="X165"/>
  <c r="Y165" s="1"/>
  <c r="T165"/>
  <c r="U165" s="1"/>
  <c r="P165"/>
  <c r="Q165" s="1"/>
  <c r="L165"/>
  <c r="M165" s="1"/>
  <c r="CK164"/>
  <c r="CM164" s="1"/>
  <c r="CF164"/>
  <c r="CG164" s="1"/>
  <c r="CI164" s="1"/>
  <c r="BZ164"/>
  <c r="BV164"/>
  <c r="BW164" s="1"/>
  <c r="BP164"/>
  <c r="BQ164" s="1"/>
  <c r="BL164"/>
  <c r="BM164" s="1"/>
  <c r="BH164"/>
  <c r="BI164" s="1"/>
  <c r="AZ164"/>
  <c r="BB164" s="1"/>
  <c r="AT164"/>
  <c r="AQ164"/>
  <c r="AR164" s="1"/>
  <c r="AK164"/>
  <c r="AL164" s="1"/>
  <c r="AG164"/>
  <c r="AH164" s="1"/>
  <c r="AC164"/>
  <c r="AD164" s="1"/>
  <c r="X164"/>
  <c r="Y164" s="1"/>
  <c r="T164"/>
  <c r="P164"/>
  <c r="Q164" s="1"/>
  <c r="L164"/>
  <c r="M164" s="1"/>
  <c r="CK163"/>
  <c r="CL163" s="1"/>
  <c r="CN163" s="1"/>
  <c r="CF163"/>
  <c r="CG163" s="1"/>
  <c r="CI163" s="1"/>
  <c r="BZ163"/>
  <c r="CA163" s="1"/>
  <c r="BV163"/>
  <c r="BW163" s="1"/>
  <c r="BP163"/>
  <c r="BQ163" s="1"/>
  <c r="BL163"/>
  <c r="BM163" s="1"/>
  <c r="BH163"/>
  <c r="BI163" s="1"/>
  <c r="AZ163"/>
  <c r="BA163" s="1"/>
  <c r="BC163" s="1"/>
  <c r="AT163"/>
  <c r="AU163" s="1"/>
  <c r="AQ163"/>
  <c r="AR163" s="1"/>
  <c r="AK163"/>
  <c r="AL163" s="1"/>
  <c r="AG163"/>
  <c r="AH163" s="1"/>
  <c r="AC163"/>
  <c r="AD163" s="1"/>
  <c r="X163"/>
  <c r="Y163" s="1"/>
  <c r="T163"/>
  <c r="U163" s="1"/>
  <c r="P163"/>
  <c r="Q163" s="1"/>
  <c r="L163"/>
  <c r="M163" s="1"/>
  <c r="CK162"/>
  <c r="CM162" s="1"/>
  <c r="CF162"/>
  <c r="CG162" s="1"/>
  <c r="CI162" s="1"/>
  <c r="BZ162"/>
  <c r="CA162" s="1"/>
  <c r="BV162"/>
  <c r="BW162" s="1"/>
  <c r="BP162"/>
  <c r="BQ162" s="1"/>
  <c r="BL162"/>
  <c r="BM162" s="1"/>
  <c r="BH162"/>
  <c r="BI162" s="1"/>
  <c r="AZ162"/>
  <c r="BB162" s="1"/>
  <c r="AT162"/>
  <c r="AU162" s="1"/>
  <c r="AQ162"/>
  <c r="AK162"/>
  <c r="AL162" s="1"/>
  <c r="AG162"/>
  <c r="AH162" s="1"/>
  <c r="AC162"/>
  <c r="AD162" s="1"/>
  <c r="X162"/>
  <c r="Y162" s="1"/>
  <c r="T162"/>
  <c r="U162" s="1"/>
  <c r="P162"/>
  <c r="L162"/>
  <c r="M162" s="1"/>
  <c r="CK161"/>
  <c r="CL161" s="1"/>
  <c r="CN161" s="1"/>
  <c r="CF161"/>
  <c r="CG161" s="1"/>
  <c r="CI161" s="1"/>
  <c r="BZ161"/>
  <c r="CA161" s="1"/>
  <c r="BV161"/>
  <c r="BW161" s="1"/>
  <c r="BP161"/>
  <c r="BQ161" s="1"/>
  <c r="BL161"/>
  <c r="BM161" s="1"/>
  <c r="BH161"/>
  <c r="BI161" s="1"/>
  <c r="AZ161"/>
  <c r="BA161" s="1"/>
  <c r="BC161" s="1"/>
  <c r="AT161"/>
  <c r="AU161" s="1"/>
  <c r="AQ161"/>
  <c r="AR161" s="1"/>
  <c r="AK161"/>
  <c r="AL161" s="1"/>
  <c r="AG161"/>
  <c r="AH161" s="1"/>
  <c r="AC161"/>
  <c r="AD161" s="1"/>
  <c r="X161"/>
  <c r="Y161" s="1"/>
  <c r="T161"/>
  <c r="U161" s="1"/>
  <c r="P161"/>
  <c r="Q161" s="1"/>
  <c r="L161"/>
  <c r="M161" s="1"/>
  <c r="CK160"/>
  <c r="CL160" s="1"/>
  <c r="CN160" s="1"/>
  <c r="CF160"/>
  <c r="CG160" s="1"/>
  <c r="CI160" s="1"/>
  <c r="BZ160"/>
  <c r="BV160"/>
  <c r="BW160" s="1"/>
  <c r="BP160"/>
  <c r="BL160"/>
  <c r="BM160" s="1"/>
  <c r="BH160"/>
  <c r="BI160" s="1"/>
  <c r="AZ160"/>
  <c r="BB160" s="1"/>
  <c r="AT160"/>
  <c r="AQ160"/>
  <c r="AR160" s="1"/>
  <c r="AK160"/>
  <c r="AL160" s="1"/>
  <c r="AG160"/>
  <c r="AH160" s="1"/>
  <c r="AC160"/>
  <c r="X160"/>
  <c r="Y160" s="1"/>
  <c r="T160"/>
  <c r="U160" s="1"/>
  <c r="P160"/>
  <c r="Q160" s="1"/>
  <c r="L160"/>
  <c r="M160" s="1"/>
  <c r="CK159"/>
  <c r="CL159" s="1"/>
  <c r="CN159" s="1"/>
  <c r="CF159"/>
  <c r="CG159" s="1"/>
  <c r="CI159" s="1"/>
  <c r="BZ159"/>
  <c r="CA159" s="1"/>
  <c r="BV159"/>
  <c r="BW159" s="1"/>
  <c r="BP159"/>
  <c r="BQ159" s="1"/>
  <c r="BL159"/>
  <c r="BM159" s="1"/>
  <c r="BH159"/>
  <c r="BI159" s="1"/>
  <c r="AZ159"/>
  <c r="BA159" s="1"/>
  <c r="BC159" s="1"/>
  <c r="AT159"/>
  <c r="AU159" s="1"/>
  <c r="AQ159"/>
  <c r="AR159" s="1"/>
  <c r="AK159"/>
  <c r="AL159" s="1"/>
  <c r="AG159"/>
  <c r="AH159" s="1"/>
  <c r="AC159"/>
  <c r="AD159" s="1"/>
  <c r="X159"/>
  <c r="Y159" s="1"/>
  <c r="T159"/>
  <c r="U159" s="1"/>
  <c r="P159"/>
  <c r="Q159" s="1"/>
  <c r="L159"/>
  <c r="M159" s="1"/>
  <c r="CK158"/>
  <c r="CM158" s="1"/>
  <c r="CF158"/>
  <c r="CH158" s="1"/>
  <c r="BZ158"/>
  <c r="BV158"/>
  <c r="BW158" s="1"/>
  <c r="BP158"/>
  <c r="BQ158" s="1"/>
  <c r="BL158"/>
  <c r="BM158" s="1"/>
  <c r="BH158"/>
  <c r="BI158" s="1"/>
  <c r="AZ158"/>
  <c r="BB158" s="1"/>
  <c r="AT158"/>
  <c r="AQ158"/>
  <c r="AR158" s="1"/>
  <c r="AK158"/>
  <c r="AL158" s="1"/>
  <c r="AG158"/>
  <c r="AH158" s="1"/>
  <c r="AC158"/>
  <c r="X158"/>
  <c r="Y158" s="1"/>
  <c r="T158"/>
  <c r="U158" s="1"/>
  <c r="P158"/>
  <c r="Q158" s="1"/>
  <c r="L158"/>
  <c r="M158" s="1"/>
  <c r="CK157"/>
  <c r="CL157" s="1"/>
  <c r="CN157" s="1"/>
  <c r="CF157"/>
  <c r="CG157" s="1"/>
  <c r="CI157" s="1"/>
  <c r="BZ157"/>
  <c r="CA157" s="1"/>
  <c r="BV157"/>
  <c r="BW157" s="1"/>
  <c r="BP157"/>
  <c r="BQ157" s="1"/>
  <c r="BL157"/>
  <c r="BM157" s="1"/>
  <c r="BH157"/>
  <c r="BI157" s="1"/>
  <c r="AZ157"/>
  <c r="BB157" s="1"/>
  <c r="AT157"/>
  <c r="AU157" s="1"/>
  <c r="AQ157"/>
  <c r="AK157"/>
  <c r="AL157" s="1"/>
  <c r="AG157"/>
  <c r="AH157" s="1"/>
  <c r="AC157"/>
  <c r="AD157" s="1"/>
  <c r="X157"/>
  <c r="Y157" s="1"/>
  <c r="T157"/>
  <c r="U157" s="1"/>
  <c r="P157"/>
  <c r="L157"/>
  <c r="M157" s="1"/>
  <c r="CK156"/>
  <c r="CM156" s="1"/>
  <c r="CF156"/>
  <c r="CH156" s="1"/>
  <c r="BZ156"/>
  <c r="BV156"/>
  <c r="BW156" s="1"/>
  <c r="BP156"/>
  <c r="BQ156" s="1"/>
  <c r="BL156"/>
  <c r="BM156" s="1"/>
  <c r="BH156"/>
  <c r="BI156" s="1"/>
  <c r="AZ156"/>
  <c r="BB156" s="1"/>
  <c r="AT156"/>
  <c r="AQ156"/>
  <c r="AR156" s="1"/>
  <c r="AK156"/>
  <c r="AL156" s="1"/>
  <c r="AG156"/>
  <c r="AH156" s="1"/>
  <c r="AC156"/>
  <c r="AD156" s="1"/>
  <c r="X156"/>
  <c r="Y156" s="1"/>
  <c r="T156"/>
  <c r="U156" s="1"/>
  <c r="P156"/>
  <c r="Q156" s="1"/>
  <c r="L156"/>
  <c r="M156" s="1"/>
  <c r="CK155"/>
  <c r="CM155" s="1"/>
  <c r="CF155"/>
  <c r="CH155" s="1"/>
  <c r="BZ155"/>
  <c r="CA155" s="1"/>
  <c r="BV155"/>
  <c r="BW155" s="1"/>
  <c r="BP155"/>
  <c r="BQ155" s="1"/>
  <c r="BL155"/>
  <c r="BM155" s="1"/>
  <c r="BH155"/>
  <c r="BI155" s="1"/>
  <c r="AZ155"/>
  <c r="BB155" s="1"/>
  <c r="AT155"/>
  <c r="AU155" s="1"/>
  <c r="AQ155"/>
  <c r="AR155" s="1"/>
  <c r="AK155"/>
  <c r="AL155" s="1"/>
  <c r="AG155"/>
  <c r="AH155" s="1"/>
  <c r="AC155"/>
  <c r="AD155" s="1"/>
  <c r="X155"/>
  <c r="Y155" s="1"/>
  <c r="T155"/>
  <c r="U155" s="1"/>
  <c r="P155"/>
  <c r="Q155" s="1"/>
  <c r="L155"/>
  <c r="M155" s="1"/>
  <c r="CK154"/>
  <c r="CM154" s="1"/>
  <c r="CF154"/>
  <c r="CG154" s="1"/>
  <c r="CI154" s="1"/>
  <c r="BZ154"/>
  <c r="CA154" s="1"/>
  <c r="BV154"/>
  <c r="BW154" s="1"/>
  <c r="BP154"/>
  <c r="BQ154" s="1"/>
  <c r="BL154"/>
  <c r="BM154" s="1"/>
  <c r="BH154"/>
  <c r="BI154" s="1"/>
  <c r="AZ154"/>
  <c r="BB154" s="1"/>
  <c r="AT154"/>
  <c r="AU154" s="1"/>
  <c r="AQ154"/>
  <c r="AR154" s="1"/>
  <c r="AK154"/>
  <c r="AL154" s="1"/>
  <c r="AG154"/>
  <c r="AC154"/>
  <c r="AD154" s="1"/>
  <c r="X154"/>
  <c r="Y154" s="1"/>
  <c r="T154"/>
  <c r="U154" s="1"/>
  <c r="P154"/>
  <c r="L154"/>
  <c r="M154" s="1"/>
  <c r="CK153"/>
  <c r="CM153" s="1"/>
  <c r="CF153"/>
  <c r="CH153" s="1"/>
  <c r="BZ153"/>
  <c r="BV153"/>
  <c r="BW153" s="1"/>
  <c r="BP153"/>
  <c r="BQ153" s="1"/>
  <c r="BL153"/>
  <c r="BM153" s="1"/>
  <c r="BH153"/>
  <c r="BI153" s="1"/>
  <c r="AZ153"/>
  <c r="BB153" s="1"/>
  <c r="AT153"/>
  <c r="AQ153"/>
  <c r="AR153" s="1"/>
  <c r="AK153"/>
  <c r="AL153" s="1"/>
  <c r="AG153"/>
  <c r="AH153" s="1"/>
  <c r="AC153"/>
  <c r="AD153" s="1"/>
  <c r="X153"/>
  <c r="Y153" s="1"/>
  <c r="T153"/>
  <c r="U153" s="1"/>
  <c r="P153"/>
  <c r="L153"/>
  <c r="M153" s="1"/>
  <c r="CK152"/>
  <c r="CL152" s="1"/>
  <c r="CN152" s="1"/>
  <c r="CF152"/>
  <c r="CG152" s="1"/>
  <c r="CI152" s="1"/>
  <c r="BZ152"/>
  <c r="CA152" s="1"/>
  <c r="BV152"/>
  <c r="BW152" s="1"/>
  <c r="BP152"/>
  <c r="BQ152" s="1"/>
  <c r="BL152"/>
  <c r="BM152" s="1"/>
  <c r="BH152"/>
  <c r="BI152" s="1"/>
  <c r="AZ152"/>
  <c r="BA152" s="1"/>
  <c r="BC152" s="1"/>
  <c r="AT152"/>
  <c r="AQ152"/>
  <c r="AR152" s="1"/>
  <c r="AK152"/>
  <c r="AL152" s="1"/>
  <c r="AG152"/>
  <c r="AH152" s="1"/>
  <c r="AC152"/>
  <c r="X152"/>
  <c r="Y152" s="1"/>
  <c r="T152"/>
  <c r="U152" s="1"/>
  <c r="P152"/>
  <c r="Q152" s="1"/>
  <c r="L152"/>
  <c r="M152" s="1"/>
  <c r="CK151"/>
  <c r="CL151" s="1"/>
  <c r="CN151" s="1"/>
  <c r="CF151"/>
  <c r="CG151" s="1"/>
  <c r="CI151" s="1"/>
  <c r="BZ151"/>
  <c r="CA151" s="1"/>
  <c r="BV151"/>
  <c r="BW151" s="1"/>
  <c r="BP151"/>
  <c r="BQ151" s="1"/>
  <c r="BL151"/>
  <c r="BM151" s="1"/>
  <c r="BH151"/>
  <c r="BI151" s="1"/>
  <c r="AZ151"/>
  <c r="BA151" s="1"/>
  <c r="BC151" s="1"/>
  <c r="AT151"/>
  <c r="AU151" s="1"/>
  <c r="AQ151"/>
  <c r="AR151" s="1"/>
  <c r="AK151"/>
  <c r="AL151" s="1"/>
  <c r="AG151"/>
  <c r="AH151" s="1"/>
  <c r="AC151"/>
  <c r="AD151" s="1"/>
  <c r="X151"/>
  <c r="Y151" s="1"/>
  <c r="T151"/>
  <c r="U151" s="1"/>
  <c r="P151"/>
  <c r="Q151" s="1"/>
  <c r="L151"/>
  <c r="M151" s="1"/>
  <c r="CK150"/>
  <c r="CM150" s="1"/>
  <c r="CF150"/>
  <c r="CG150" s="1"/>
  <c r="CI150" s="1"/>
  <c r="BZ150"/>
  <c r="CA150" s="1"/>
  <c r="BV150"/>
  <c r="BW150" s="1"/>
  <c r="BP150"/>
  <c r="BQ150" s="1"/>
  <c r="BL150"/>
  <c r="BH150"/>
  <c r="BI150" s="1"/>
  <c r="AZ150"/>
  <c r="BB150" s="1"/>
  <c r="AT150"/>
  <c r="AU150" s="1"/>
  <c r="AQ150"/>
  <c r="AR150" s="1"/>
  <c r="AK150"/>
  <c r="AL150" s="1"/>
  <c r="AG150"/>
  <c r="AH150" s="1"/>
  <c r="AC150"/>
  <c r="AD150" s="1"/>
  <c r="X150"/>
  <c r="Y150" s="1"/>
  <c r="T150"/>
  <c r="U150" s="1"/>
  <c r="P150"/>
  <c r="L150"/>
  <c r="M150" s="1"/>
  <c r="CK149"/>
  <c r="CL149" s="1"/>
  <c r="CN149" s="1"/>
  <c r="CF149"/>
  <c r="CG149" s="1"/>
  <c r="CI149" s="1"/>
  <c r="BZ149"/>
  <c r="CA149" s="1"/>
  <c r="BV149"/>
  <c r="BW149" s="1"/>
  <c r="BP149"/>
  <c r="BQ149" s="1"/>
  <c r="BL149"/>
  <c r="BM149" s="1"/>
  <c r="BH149"/>
  <c r="BI149" s="1"/>
  <c r="AZ149"/>
  <c r="BA149" s="1"/>
  <c r="BC149" s="1"/>
  <c r="AT149"/>
  <c r="AU149" s="1"/>
  <c r="AQ149"/>
  <c r="AR149" s="1"/>
  <c r="AK149"/>
  <c r="AL149" s="1"/>
  <c r="AG149"/>
  <c r="AH149" s="1"/>
  <c r="AC149"/>
  <c r="AD149" s="1"/>
  <c r="X149"/>
  <c r="Y149" s="1"/>
  <c r="T149"/>
  <c r="U149" s="1"/>
  <c r="P149"/>
  <c r="Q149" s="1"/>
  <c r="L149"/>
  <c r="M149" s="1"/>
  <c r="CK148"/>
  <c r="CM148" s="1"/>
  <c r="CF148"/>
  <c r="CH148" s="1"/>
  <c r="BZ148"/>
  <c r="CA148" s="1"/>
  <c r="BV148"/>
  <c r="BW148" s="1"/>
  <c r="BP148"/>
  <c r="BQ148" s="1"/>
  <c r="BL148"/>
  <c r="BM148" s="1"/>
  <c r="BH148"/>
  <c r="BI148" s="1"/>
  <c r="AZ148"/>
  <c r="BB148" s="1"/>
  <c r="AT148"/>
  <c r="AU148" s="1"/>
  <c r="AQ148"/>
  <c r="AR148" s="1"/>
  <c r="AK148"/>
  <c r="AL148" s="1"/>
  <c r="AG148"/>
  <c r="AH148" s="1"/>
  <c r="AC148"/>
  <c r="X148"/>
  <c r="Y148" s="1"/>
  <c r="T148"/>
  <c r="U148" s="1"/>
  <c r="P148"/>
  <c r="Q148" s="1"/>
  <c r="L148"/>
  <c r="M148" s="1"/>
  <c r="CK147"/>
  <c r="CL147" s="1"/>
  <c r="CN147" s="1"/>
  <c r="CF147"/>
  <c r="CG147" s="1"/>
  <c r="CI147" s="1"/>
  <c r="BZ147"/>
  <c r="CA147" s="1"/>
  <c r="BV147"/>
  <c r="BW147" s="1"/>
  <c r="BP147"/>
  <c r="BQ147" s="1"/>
  <c r="BL147"/>
  <c r="BM147" s="1"/>
  <c r="BH147"/>
  <c r="BI147" s="1"/>
  <c r="AZ147"/>
  <c r="BA147" s="1"/>
  <c r="BC147" s="1"/>
  <c r="AT147"/>
  <c r="AU147" s="1"/>
  <c r="AQ147"/>
  <c r="AR147" s="1"/>
  <c r="AK147"/>
  <c r="AL147" s="1"/>
  <c r="AG147"/>
  <c r="AH147" s="1"/>
  <c r="AC147"/>
  <c r="AD147" s="1"/>
  <c r="X147"/>
  <c r="Y147" s="1"/>
  <c r="T147"/>
  <c r="U147" s="1"/>
  <c r="P147"/>
  <c r="Q147" s="1"/>
  <c r="L147"/>
  <c r="M147" s="1"/>
  <c r="CK146"/>
  <c r="CM146" s="1"/>
  <c r="CF146"/>
  <c r="CG146" s="1"/>
  <c r="CI146" s="1"/>
  <c r="BZ146"/>
  <c r="BV146"/>
  <c r="BW146" s="1"/>
  <c r="BP146"/>
  <c r="BQ146" s="1"/>
  <c r="BL146"/>
  <c r="BM146" s="1"/>
  <c r="BH146"/>
  <c r="BI146" s="1"/>
  <c r="AZ146"/>
  <c r="BB146" s="1"/>
  <c r="AT146"/>
  <c r="AQ146"/>
  <c r="AR146" s="1"/>
  <c r="AK146"/>
  <c r="AL146" s="1"/>
  <c r="AG146"/>
  <c r="AH146" s="1"/>
  <c r="AC146"/>
  <c r="X146"/>
  <c r="Y146" s="1"/>
  <c r="T146"/>
  <c r="U146" s="1"/>
  <c r="P146"/>
  <c r="Q146" s="1"/>
  <c r="L146"/>
  <c r="M146" s="1"/>
  <c r="CK145"/>
  <c r="CL145" s="1"/>
  <c r="CN145" s="1"/>
  <c r="CF145"/>
  <c r="CG145" s="1"/>
  <c r="CI145" s="1"/>
  <c r="BZ145"/>
  <c r="CA145" s="1"/>
  <c r="BV145"/>
  <c r="BW145" s="1"/>
  <c r="BP145"/>
  <c r="BQ145" s="1"/>
  <c r="BL145"/>
  <c r="BM145" s="1"/>
  <c r="BH145"/>
  <c r="BI145" s="1"/>
  <c r="AZ145"/>
  <c r="BA145" s="1"/>
  <c r="BC145" s="1"/>
  <c r="AT145"/>
  <c r="AU145" s="1"/>
  <c r="AQ145"/>
  <c r="AR145" s="1"/>
  <c r="AK145"/>
  <c r="AL145" s="1"/>
  <c r="AG145"/>
  <c r="AH145" s="1"/>
  <c r="AC145"/>
  <c r="AD145" s="1"/>
  <c r="X145"/>
  <c r="Y145" s="1"/>
  <c r="T145"/>
  <c r="U145" s="1"/>
  <c r="P145"/>
  <c r="Q145" s="1"/>
  <c r="L145"/>
  <c r="M145" s="1"/>
  <c r="CK144"/>
  <c r="CM144" s="1"/>
  <c r="CF144"/>
  <c r="CH144" s="1"/>
  <c r="BZ144"/>
  <c r="CA144" s="1"/>
  <c r="BV144"/>
  <c r="BW144" s="1"/>
  <c r="BP144"/>
  <c r="BQ144" s="1"/>
  <c r="BL144"/>
  <c r="BM144" s="1"/>
  <c r="BH144"/>
  <c r="BI144" s="1"/>
  <c r="AZ144"/>
  <c r="BB144" s="1"/>
  <c r="AT144"/>
  <c r="AU144" s="1"/>
  <c r="AQ144"/>
  <c r="AR144" s="1"/>
  <c r="AK144"/>
  <c r="AL144" s="1"/>
  <c r="AG144"/>
  <c r="AH144" s="1"/>
  <c r="AC144"/>
  <c r="AD144" s="1"/>
  <c r="X144"/>
  <c r="Y144" s="1"/>
  <c r="T144"/>
  <c r="U144" s="1"/>
  <c r="P144"/>
  <c r="Q144" s="1"/>
  <c r="L144"/>
  <c r="M144" s="1"/>
  <c r="CK143"/>
  <c r="CL143" s="1"/>
  <c r="CN143" s="1"/>
  <c r="CF143"/>
  <c r="CG143" s="1"/>
  <c r="CI143" s="1"/>
  <c r="BZ143"/>
  <c r="CA143" s="1"/>
  <c r="BV143"/>
  <c r="BW143" s="1"/>
  <c r="BP143"/>
  <c r="BQ143" s="1"/>
  <c r="BL143"/>
  <c r="BM143" s="1"/>
  <c r="BH143"/>
  <c r="BI143" s="1"/>
  <c r="AZ143"/>
  <c r="BA143" s="1"/>
  <c r="BC143" s="1"/>
  <c r="AT143"/>
  <c r="AU143" s="1"/>
  <c r="AQ143"/>
  <c r="AR143" s="1"/>
  <c r="AK143"/>
  <c r="AL143" s="1"/>
  <c r="AG143"/>
  <c r="AH143" s="1"/>
  <c r="AC143"/>
  <c r="AD143" s="1"/>
  <c r="X143"/>
  <c r="Y143" s="1"/>
  <c r="T143"/>
  <c r="U143" s="1"/>
  <c r="P143"/>
  <c r="Q143" s="1"/>
  <c r="L143"/>
  <c r="M143" s="1"/>
  <c r="CK142"/>
  <c r="CM142" s="1"/>
  <c r="CF142"/>
  <c r="CG142" s="1"/>
  <c r="CI142" s="1"/>
  <c r="BZ142"/>
  <c r="BV142"/>
  <c r="BW142" s="1"/>
  <c r="BP142"/>
  <c r="BQ142" s="1"/>
  <c r="BL142"/>
  <c r="BM142" s="1"/>
  <c r="BH142"/>
  <c r="BI142" s="1"/>
  <c r="AZ142"/>
  <c r="BB142" s="1"/>
  <c r="AT142"/>
  <c r="AU142" s="1"/>
  <c r="AQ142"/>
  <c r="AR142" s="1"/>
  <c r="AK142"/>
  <c r="AL142" s="1"/>
  <c r="AG142"/>
  <c r="AH142" s="1"/>
  <c r="AC142"/>
  <c r="AD142" s="1"/>
  <c r="X142"/>
  <c r="Y142" s="1"/>
  <c r="T142"/>
  <c r="U142" s="1"/>
  <c r="P142"/>
  <c r="L142"/>
  <c r="M142" s="1"/>
  <c r="CK141"/>
  <c r="CL141" s="1"/>
  <c r="CN141" s="1"/>
  <c r="CF141"/>
  <c r="CG141" s="1"/>
  <c r="CI141" s="1"/>
  <c r="BZ141"/>
  <c r="CA141" s="1"/>
  <c r="BV141"/>
  <c r="BW141" s="1"/>
  <c r="BP141"/>
  <c r="BQ141" s="1"/>
  <c r="BL141"/>
  <c r="BM141" s="1"/>
  <c r="BH141"/>
  <c r="BI141" s="1"/>
  <c r="AZ141"/>
  <c r="BA141" s="1"/>
  <c r="BC141" s="1"/>
  <c r="AT141"/>
  <c r="AU141" s="1"/>
  <c r="AQ141"/>
  <c r="AR141" s="1"/>
  <c r="AK141"/>
  <c r="AL141" s="1"/>
  <c r="AG141"/>
  <c r="AH141" s="1"/>
  <c r="AC141"/>
  <c r="AD141" s="1"/>
  <c r="X141"/>
  <c r="Y141" s="1"/>
  <c r="T141"/>
  <c r="U141" s="1"/>
  <c r="P141"/>
  <c r="Q141" s="1"/>
  <c r="L141"/>
  <c r="M141" s="1"/>
  <c r="CK140"/>
  <c r="CM140" s="1"/>
  <c r="CF140"/>
  <c r="BZ140"/>
  <c r="BV140"/>
  <c r="BW140" s="1"/>
  <c r="BP140"/>
  <c r="BQ140" s="1"/>
  <c r="BL140"/>
  <c r="BH140"/>
  <c r="BI140" s="1"/>
  <c r="AZ140"/>
  <c r="BB140" s="1"/>
  <c r="AT140"/>
  <c r="AQ140"/>
  <c r="AR140" s="1"/>
  <c r="AK140"/>
  <c r="AL140" s="1"/>
  <c r="AG140"/>
  <c r="AC140"/>
  <c r="AD140" s="1"/>
  <c r="X140"/>
  <c r="Y140" s="1"/>
  <c r="T140"/>
  <c r="P140"/>
  <c r="Q140" s="1"/>
  <c r="L140"/>
  <c r="M140" s="1"/>
  <c r="B140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CK139"/>
  <c r="CM139" s="1"/>
  <c r="CF139"/>
  <c r="CH139" s="1"/>
  <c r="BZ139"/>
  <c r="BV139"/>
  <c r="BW139" s="1"/>
  <c r="BP139"/>
  <c r="BQ139" s="1"/>
  <c r="BL139"/>
  <c r="BH139"/>
  <c r="BI139" s="1"/>
  <c r="AZ139"/>
  <c r="BB139" s="1"/>
  <c r="AT139"/>
  <c r="AQ139"/>
  <c r="AR139" s="1"/>
  <c r="AK139"/>
  <c r="AL139" s="1"/>
  <c r="AG139"/>
  <c r="AC139"/>
  <c r="AD139" s="1"/>
  <c r="X139"/>
  <c r="Y139" s="1"/>
  <c r="T139"/>
  <c r="L139"/>
  <c r="M139" s="1"/>
  <c r="CK131"/>
  <c r="CL131" s="1"/>
  <c r="CN131" s="1"/>
  <c r="CF131"/>
  <c r="CG131" s="1"/>
  <c r="CI131" s="1"/>
  <c r="BZ131"/>
  <c r="CA131" s="1"/>
  <c r="BV131"/>
  <c r="BW131" s="1"/>
  <c r="BP131"/>
  <c r="BQ131" s="1"/>
  <c r="BL131"/>
  <c r="BM131" s="1"/>
  <c r="BH131"/>
  <c r="BI131" s="1"/>
  <c r="AZ131"/>
  <c r="BA131" s="1"/>
  <c r="BC131" s="1"/>
  <c r="AT131"/>
  <c r="AU131" s="1"/>
  <c r="AQ131"/>
  <c r="AR131" s="1"/>
  <c r="AK131"/>
  <c r="AL131" s="1"/>
  <c r="AG131"/>
  <c r="AH131" s="1"/>
  <c r="AC131"/>
  <c r="AD131" s="1"/>
  <c r="X131"/>
  <c r="Y131" s="1"/>
  <c r="T131"/>
  <c r="U131" s="1"/>
  <c r="P131"/>
  <c r="Q131" s="1"/>
  <c r="L131"/>
  <c r="M131" s="1"/>
  <c r="CK130"/>
  <c r="CL130" s="1"/>
  <c r="CN130" s="1"/>
  <c r="CF130"/>
  <c r="CH130" s="1"/>
  <c r="BZ130"/>
  <c r="CA130" s="1"/>
  <c r="BV130"/>
  <c r="BP130"/>
  <c r="BL130"/>
  <c r="BM130" s="1"/>
  <c r="BH130"/>
  <c r="BI130" s="1"/>
  <c r="AZ130"/>
  <c r="BA130" s="1"/>
  <c r="BC130" s="1"/>
  <c r="AT130"/>
  <c r="AU130" s="1"/>
  <c r="AQ130"/>
  <c r="AK130"/>
  <c r="AL130" s="1"/>
  <c r="AG130"/>
  <c r="AH130" s="1"/>
  <c r="AC130"/>
  <c r="X130"/>
  <c r="Y130" s="1"/>
  <c r="T130"/>
  <c r="U130" s="1"/>
  <c r="P130"/>
  <c r="L130"/>
  <c r="M130" s="1"/>
  <c r="CK129"/>
  <c r="CM129" s="1"/>
  <c r="CF129"/>
  <c r="CG129" s="1"/>
  <c r="CI129" s="1"/>
  <c r="BZ129"/>
  <c r="CA129" s="1"/>
  <c r="BV129"/>
  <c r="BW129" s="1"/>
  <c r="BP129"/>
  <c r="BQ129" s="1"/>
  <c r="BL129"/>
  <c r="BM129" s="1"/>
  <c r="BH129"/>
  <c r="BI129" s="1"/>
  <c r="AZ129"/>
  <c r="AT129"/>
  <c r="AU129" s="1"/>
  <c r="AQ129"/>
  <c r="AR129" s="1"/>
  <c r="AK129"/>
  <c r="AL129" s="1"/>
  <c r="AG129"/>
  <c r="AH129" s="1"/>
  <c r="AC129"/>
  <c r="AD129" s="1"/>
  <c r="X129"/>
  <c r="Y129" s="1"/>
  <c r="T129"/>
  <c r="U129" s="1"/>
  <c r="P129"/>
  <c r="Q129" s="1"/>
  <c r="L129"/>
  <c r="M129" s="1"/>
  <c r="CK127"/>
  <c r="CM127" s="1"/>
  <c r="CF127"/>
  <c r="CH127" s="1"/>
  <c r="BZ127"/>
  <c r="BV127"/>
  <c r="BW127" s="1"/>
  <c r="BP127"/>
  <c r="BQ127" s="1"/>
  <c r="BL127"/>
  <c r="BH127"/>
  <c r="BI127" s="1"/>
  <c r="AZ127"/>
  <c r="BB127" s="1"/>
  <c r="AT127"/>
  <c r="AV127" s="1"/>
  <c r="AQ127"/>
  <c r="AR127" s="1"/>
  <c r="AK127"/>
  <c r="AL127" s="1"/>
  <c r="AG127"/>
  <c r="AC127"/>
  <c r="AD127" s="1"/>
  <c r="X127"/>
  <c r="Y127" s="1"/>
  <c r="T127"/>
  <c r="Q127"/>
  <c r="L127"/>
  <c r="M127" s="1"/>
  <c r="CK126"/>
  <c r="CL126" s="1"/>
  <c r="CN126" s="1"/>
  <c r="CF126"/>
  <c r="CG126" s="1"/>
  <c r="CI126" s="1"/>
  <c r="BZ126"/>
  <c r="CA126" s="1"/>
  <c r="BV126"/>
  <c r="BW126" s="1"/>
  <c r="BP126"/>
  <c r="BQ126" s="1"/>
  <c r="BL126"/>
  <c r="BM126" s="1"/>
  <c r="BH126"/>
  <c r="BI126" s="1"/>
  <c r="AZ126"/>
  <c r="BA126" s="1"/>
  <c r="BC126" s="1"/>
  <c r="AT126"/>
  <c r="AU126" s="1"/>
  <c r="AQ126"/>
  <c r="AR126" s="1"/>
  <c r="AK126"/>
  <c r="AL126" s="1"/>
  <c r="AG126"/>
  <c r="AH126" s="1"/>
  <c r="AC126"/>
  <c r="AD126" s="1"/>
  <c r="X126"/>
  <c r="Y126" s="1"/>
  <c r="T126"/>
  <c r="U126" s="1"/>
  <c r="P126"/>
  <c r="Q126" s="1"/>
  <c r="L126"/>
  <c r="M126" s="1"/>
  <c r="CK125"/>
  <c r="CM125" s="1"/>
  <c r="CF125"/>
  <c r="CH125" s="1"/>
  <c r="BZ125"/>
  <c r="BV125"/>
  <c r="BW125" s="1"/>
  <c r="BP125"/>
  <c r="BQ125" s="1"/>
  <c r="BL125"/>
  <c r="BH125"/>
  <c r="BI125" s="1"/>
  <c r="AZ125"/>
  <c r="BB125" s="1"/>
  <c r="AT125"/>
  <c r="AQ125"/>
  <c r="AR125" s="1"/>
  <c r="AK125"/>
  <c r="AL125" s="1"/>
  <c r="AG125"/>
  <c r="AC125"/>
  <c r="AD125" s="1"/>
  <c r="X125"/>
  <c r="Y125" s="1"/>
  <c r="T125"/>
  <c r="P125"/>
  <c r="Q125" s="1"/>
  <c r="L125"/>
  <c r="M125" s="1"/>
  <c r="CK124"/>
  <c r="CL124" s="1"/>
  <c r="CN124" s="1"/>
  <c r="CF124"/>
  <c r="CG124" s="1"/>
  <c r="CI124" s="1"/>
  <c r="BZ124"/>
  <c r="CA124" s="1"/>
  <c r="BV124"/>
  <c r="BW124" s="1"/>
  <c r="BP124"/>
  <c r="BQ124" s="1"/>
  <c r="BL124"/>
  <c r="BM124" s="1"/>
  <c r="BH124"/>
  <c r="BI124" s="1"/>
  <c r="AZ124"/>
  <c r="BA124" s="1"/>
  <c r="BC124" s="1"/>
  <c r="AT124"/>
  <c r="AU124" s="1"/>
  <c r="AQ124"/>
  <c r="AR124" s="1"/>
  <c r="AK124"/>
  <c r="AL124" s="1"/>
  <c r="AG124"/>
  <c r="AH124" s="1"/>
  <c r="AC124"/>
  <c r="AD124" s="1"/>
  <c r="X124"/>
  <c r="Y124" s="1"/>
  <c r="T124"/>
  <c r="U124" s="1"/>
  <c r="P124"/>
  <c r="Q124" s="1"/>
  <c r="L124"/>
  <c r="M124" s="1"/>
  <c r="CK123"/>
  <c r="CL123" s="1"/>
  <c r="CN123" s="1"/>
  <c r="CF123"/>
  <c r="CH123" s="1"/>
  <c r="BZ123"/>
  <c r="CA123" s="1"/>
  <c r="BV123"/>
  <c r="BP123"/>
  <c r="BL123"/>
  <c r="BM123" s="1"/>
  <c r="BH123"/>
  <c r="BI123" s="1"/>
  <c r="AZ123"/>
  <c r="BA123" s="1"/>
  <c r="BC123" s="1"/>
  <c r="AT123"/>
  <c r="AU123" s="1"/>
  <c r="AQ123"/>
  <c r="AK123"/>
  <c r="AL123" s="1"/>
  <c r="AG123"/>
  <c r="AH123" s="1"/>
  <c r="AC123"/>
  <c r="X123"/>
  <c r="Y123" s="1"/>
  <c r="T123"/>
  <c r="U123" s="1"/>
  <c r="P123"/>
  <c r="L123"/>
  <c r="M123" s="1"/>
  <c r="CK122"/>
  <c r="CL122" s="1"/>
  <c r="CN122" s="1"/>
  <c r="CF122"/>
  <c r="CG122" s="1"/>
  <c r="CI122" s="1"/>
  <c r="BZ122"/>
  <c r="CA122" s="1"/>
  <c r="BV122"/>
  <c r="BW122" s="1"/>
  <c r="BP122"/>
  <c r="BQ122" s="1"/>
  <c r="BL122"/>
  <c r="BM122" s="1"/>
  <c r="BH122"/>
  <c r="BI122" s="1"/>
  <c r="AZ122"/>
  <c r="BA122" s="1"/>
  <c r="BC122" s="1"/>
  <c r="AT122"/>
  <c r="AU122" s="1"/>
  <c r="AQ122"/>
  <c r="AR122" s="1"/>
  <c r="AK122"/>
  <c r="AL122" s="1"/>
  <c r="AG122"/>
  <c r="AH122" s="1"/>
  <c r="AC122"/>
  <c r="AD122" s="1"/>
  <c r="X122"/>
  <c r="Y122" s="1"/>
  <c r="T122"/>
  <c r="U122" s="1"/>
  <c r="P122"/>
  <c r="Q122" s="1"/>
  <c r="L122"/>
  <c r="M122" s="1"/>
  <c r="CK121"/>
  <c r="CM121" s="1"/>
  <c r="CF121"/>
  <c r="CH121" s="1"/>
  <c r="BZ121"/>
  <c r="BV121"/>
  <c r="BW121" s="1"/>
  <c r="BP121"/>
  <c r="BQ121" s="1"/>
  <c r="BL121"/>
  <c r="BH121"/>
  <c r="BI121" s="1"/>
  <c r="AZ121"/>
  <c r="BB121" s="1"/>
  <c r="AT121"/>
  <c r="AQ121"/>
  <c r="AR121" s="1"/>
  <c r="AK121"/>
  <c r="AL121" s="1"/>
  <c r="AG121"/>
  <c r="AC121"/>
  <c r="AD121" s="1"/>
  <c r="X121"/>
  <c r="Y121" s="1"/>
  <c r="T121"/>
  <c r="P121"/>
  <c r="Q121" s="1"/>
  <c r="L121"/>
  <c r="M121" s="1"/>
  <c r="CK120"/>
  <c r="CL120" s="1"/>
  <c r="CN120" s="1"/>
  <c r="CF120"/>
  <c r="CG120" s="1"/>
  <c r="CI120" s="1"/>
  <c r="BZ120"/>
  <c r="CA120" s="1"/>
  <c r="BV120"/>
  <c r="BW120" s="1"/>
  <c r="BP120"/>
  <c r="BQ120" s="1"/>
  <c r="BL120"/>
  <c r="BM120" s="1"/>
  <c r="BH120"/>
  <c r="BI120" s="1"/>
  <c r="AZ120"/>
  <c r="BA120" s="1"/>
  <c r="BC120" s="1"/>
  <c r="AT120"/>
  <c r="AU120" s="1"/>
  <c r="AQ120"/>
  <c r="AR120" s="1"/>
  <c r="AK120"/>
  <c r="AL120" s="1"/>
  <c r="AG120"/>
  <c r="AH120" s="1"/>
  <c r="AC120"/>
  <c r="AD120" s="1"/>
  <c r="X120"/>
  <c r="Y120" s="1"/>
  <c r="T120"/>
  <c r="U120" s="1"/>
  <c r="P120"/>
  <c r="Q120" s="1"/>
  <c r="L120"/>
  <c r="M120" s="1"/>
  <c r="CK119"/>
  <c r="CL119" s="1"/>
  <c r="CN119" s="1"/>
  <c r="CF119"/>
  <c r="CH119" s="1"/>
  <c r="BZ119"/>
  <c r="CA119" s="1"/>
  <c r="BV119"/>
  <c r="BP119"/>
  <c r="BL119"/>
  <c r="BM119" s="1"/>
  <c r="BH119"/>
  <c r="BI119" s="1"/>
  <c r="AZ119"/>
  <c r="BA119" s="1"/>
  <c r="BC119" s="1"/>
  <c r="AT119"/>
  <c r="AU119" s="1"/>
  <c r="AQ119"/>
  <c r="AK119"/>
  <c r="AL119" s="1"/>
  <c r="AG119"/>
  <c r="AH119" s="1"/>
  <c r="AC119"/>
  <c r="X119"/>
  <c r="Y119" s="1"/>
  <c r="T119"/>
  <c r="U119" s="1"/>
  <c r="P119"/>
  <c r="L119"/>
  <c r="M119" s="1"/>
  <c r="CK118"/>
  <c r="CL118" s="1"/>
  <c r="CN118" s="1"/>
  <c r="CF118"/>
  <c r="CG118" s="1"/>
  <c r="CI118" s="1"/>
  <c r="BZ118"/>
  <c r="CA118" s="1"/>
  <c r="BV118"/>
  <c r="BW118" s="1"/>
  <c r="BP118"/>
  <c r="BQ118" s="1"/>
  <c r="BL118"/>
  <c r="BM118" s="1"/>
  <c r="BH118"/>
  <c r="BI118" s="1"/>
  <c r="AZ118"/>
  <c r="BB118" s="1"/>
  <c r="AT118"/>
  <c r="AU118" s="1"/>
  <c r="AQ118"/>
  <c r="AR118" s="1"/>
  <c r="AK118"/>
  <c r="AL118" s="1"/>
  <c r="AG118"/>
  <c r="AH118" s="1"/>
  <c r="AC118"/>
  <c r="AD118" s="1"/>
  <c r="X118"/>
  <c r="Y118" s="1"/>
  <c r="T118"/>
  <c r="U118" s="1"/>
  <c r="P118"/>
  <c r="Q118" s="1"/>
  <c r="L118"/>
  <c r="M118" s="1"/>
  <c r="CK117"/>
  <c r="CF117"/>
  <c r="BZ117"/>
  <c r="BV117"/>
  <c r="BW117" s="1"/>
  <c r="BP117"/>
  <c r="BQ117" s="1"/>
  <c r="BL117"/>
  <c r="BH117"/>
  <c r="BI117" s="1"/>
  <c r="AZ117"/>
  <c r="BB117" s="1"/>
  <c r="AT117"/>
  <c r="AQ117"/>
  <c r="AR117" s="1"/>
  <c r="AK117"/>
  <c r="AL117" s="1"/>
  <c r="AG117"/>
  <c r="AH117" s="1"/>
  <c r="AC117"/>
  <c r="AD117" s="1"/>
  <c r="X117"/>
  <c r="Y117" s="1"/>
  <c r="T117"/>
  <c r="P117"/>
  <c r="Q117" s="1"/>
  <c r="L117"/>
  <c r="M117" s="1"/>
  <c r="CK116"/>
  <c r="CF116"/>
  <c r="BZ116"/>
  <c r="BV116"/>
  <c r="BW116" s="1"/>
  <c r="BP116"/>
  <c r="BQ116" s="1"/>
  <c r="BL116"/>
  <c r="BM116" s="1"/>
  <c r="BH116"/>
  <c r="BI116" s="1"/>
  <c r="AZ116"/>
  <c r="AT116"/>
  <c r="AQ116"/>
  <c r="AR116" s="1"/>
  <c r="AK116"/>
  <c r="AL116" s="1"/>
  <c r="AG116"/>
  <c r="AH116" s="1"/>
  <c r="AC116"/>
  <c r="AD116" s="1"/>
  <c r="X116"/>
  <c r="Y116" s="1"/>
  <c r="T116"/>
  <c r="U116" s="1"/>
  <c r="P116"/>
  <c r="Q116" s="1"/>
  <c r="L116"/>
  <c r="M116" s="1"/>
  <c r="CK115"/>
  <c r="CL115" s="1"/>
  <c r="CN115" s="1"/>
  <c r="CF115"/>
  <c r="CH115" s="1"/>
  <c r="BZ115"/>
  <c r="CA115" s="1"/>
  <c r="BV115"/>
  <c r="BW115" s="1"/>
  <c r="BP115"/>
  <c r="BQ115" s="1"/>
  <c r="BL115"/>
  <c r="BM115" s="1"/>
  <c r="BH115"/>
  <c r="BI115" s="1"/>
  <c r="AZ115"/>
  <c r="BA115" s="1"/>
  <c r="BC115" s="1"/>
  <c r="AT115"/>
  <c r="AU115" s="1"/>
  <c r="AQ115"/>
  <c r="AK115"/>
  <c r="AL115" s="1"/>
  <c r="AG115"/>
  <c r="AH115" s="1"/>
  <c r="AC115"/>
  <c r="AD115" s="1"/>
  <c r="X115"/>
  <c r="Y115" s="1"/>
  <c r="T115"/>
  <c r="U115" s="1"/>
  <c r="P115"/>
  <c r="Q115" s="1"/>
  <c r="L115"/>
  <c r="M115" s="1"/>
  <c r="CK114"/>
  <c r="CL114" s="1"/>
  <c r="CN114" s="1"/>
  <c r="CF114"/>
  <c r="CG114" s="1"/>
  <c r="CI114" s="1"/>
  <c r="BZ114"/>
  <c r="CA114" s="1"/>
  <c r="BV114"/>
  <c r="BW114" s="1"/>
  <c r="BP114"/>
  <c r="BL114"/>
  <c r="BM114" s="1"/>
  <c r="BH114"/>
  <c r="BI114" s="1"/>
  <c r="AZ114"/>
  <c r="BA114" s="1"/>
  <c r="BC114" s="1"/>
  <c r="AT114"/>
  <c r="AU114" s="1"/>
  <c r="AQ114"/>
  <c r="AR114" s="1"/>
  <c r="AK114"/>
  <c r="AL114" s="1"/>
  <c r="AG114"/>
  <c r="AH114" s="1"/>
  <c r="AC114"/>
  <c r="X114"/>
  <c r="Y114" s="1"/>
  <c r="T114"/>
  <c r="U114" s="1"/>
  <c r="P114"/>
  <c r="L114"/>
  <c r="M114" s="1"/>
  <c r="CK113"/>
  <c r="CM113" s="1"/>
  <c r="CF113"/>
  <c r="CH113" s="1"/>
  <c r="BZ113"/>
  <c r="BV113"/>
  <c r="BW113" s="1"/>
  <c r="BP113"/>
  <c r="BQ113" s="1"/>
  <c r="BL113"/>
  <c r="BM113" s="1"/>
  <c r="BH113"/>
  <c r="BI113" s="1"/>
  <c r="AZ113"/>
  <c r="BB113" s="1"/>
  <c r="AT113"/>
  <c r="AQ113"/>
  <c r="AR113" s="1"/>
  <c r="AK113"/>
  <c r="AL113" s="1"/>
  <c r="AG113"/>
  <c r="AH113" s="1"/>
  <c r="AC113"/>
  <c r="AD113" s="1"/>
  <c r="X113"/>
  <c r="Y113" s="1"/>
  <c r="T113"/>
  <c r="P113"/>
  <c r="Q113" s="1"/>
  <c r="L113"/>
  <c r="M113" s="1"/>
  <c r="CK112"/>
  <c r="CF112"/>
  <c r="BZ112"/>
  <c r="BV112"/>
  <c r="BW112" s="1"/>
  <c r="BP112"/>
  <c r="BQ112" s="1"/>
  <c r="BL112"/>
  <c r="BM112" s="1"/>
  <c r="BH112"/>
  <c r="BI112" s="1"/>
  <c r="AZ112"/>
  <c r="AT112"/>
  <c r="AQ112"/>
  <c r="AR112" s="1"/>
  <c r="AK112"/>
  <c r="AL112" s="1"/>
  <c r="AG112"/>
  <c r="AH112" s="1"/>
  <c r="AC112"/>
  <c r="AD112" s="1"/>
  <c r="X112"/>
  <c r="Y112" s="1"/>
  <c r="T112"/>
  <c r="U112" s="1"/>
  <c r="P112"/>
  <c r="Q112" s="1"/>
  <c r="L112"/>
  <c r="M112" s="1"/>
  <c r="CK111"/>
  <c r="CL111" s="1"/>
  <c r="CN111" s="1"/>
  <c r="CF111"/>
  <c r="CH111" s="1"/>
  <c r="BZ111"/>
  <c r="CA111" s="1"/>
  <c r="BV111"/>
  <c r="BP111"/>
  <c r="BQ111" s="1"/>
  <c r="BL111"/>
  <c r="BM111" s="1"/>
  <c r="BH111"/>
  <c r="BI111" s="1"/>
  <c r="AZ111"/>
  <c r="BA111" s="1"/>
  <c r="BC111" s="1"/>
  <c r="AT111"/>
  <c r="AU111" s="1"/>
  <c r="AQ111"/>
  <c r="AK111"/>
  <c r="AL111" s="1"/>
  <c r="AG111"/>
  <c r="AH111" s="1"/>
  <c r="AC111"/>
  <c r="AD111" s="1"/>
  <c r="X111"/>
  <c r="Y111" s="1"/>
  <c r="T111"/>
  <c r="U111" s="1"/>
  <c r="P111"/>
  <c r="Q111" s="1"/>
  <c r="L111"/>
  <c r="M111" s="1"/>
  <c r="CK110"/>
  <c r="CL110" s="1"/>
  <c r="CN110" s="1"/>
  <c r="CF110"/>
  <c r="BZ110"/>
  <c r="CA110" s="1"/>
  <c r="BV110"/>
  <c r="BW110" s="1"/>
  <c r="BP110"/>
  <c r="BQ110" s="1"/>
  <c r="BL110"/>
  <c r="BH110"/>
  <c r="BI110" s="1"/>
  <c r="AZ110"/>
  <c r="BA110" s="1"/>
  <c r="BC110" s="1"/>
  <c r="AT110"/>
  <c r="AU110" s="1"/>
  <c r="AQ110"/>
  <c r="AR110" s="1"/>
  <c r="AK110"/>
  <c r="AL110" s="1"/>
  <c r="AG110"/>
  <c r="AC110"/>
  <c r="AD110" s="1"/>
  <c r="X110"/>
  <c r="Y110" s="1"/>
  <c r="T110"/>
  <c r="P110"/>
  <c r="Q110" s="1"/>
  <c r="L110"/>
  <c r="M110" s="1"/>
  <c r="CK109"/>
  <c r="CL109" s="1"/>
  <c r="CN109" s="1"/>
  <c r="CF109"/>
  <c r="BZ109"/>
  <c r="CA109" s="1"/>
  <c r="BV109"/>
  <c r="BW109" s="1"/>
  <c r="BP109"/>
  <c r="BQ109" s="1"/>
  <c r="BL109"/>
  <c r="BH109"/>
  <c r="BI109" s="1"/>
  <c r="AZ109"/>
  <c r="BA109" s="1"/>
  <c r="BC109" s="1"/>
  <c r="AT109"/>
  <c r="AU109" s="1"/>
  <c r="AQ109"/>
  <c r="AR109" s="1"/>
  <c r="AK109"/>
  <c r="AL109" s="1"/>
  <c r="AG109"/>
  <c r="AC109"/>
  <c r="AD109" s="1"/>
  <c r="X109"/>
  <c r="Y109" s="1"/>
  <c r="T109"/>
  <c r="P109"/>
  <c r="Q109" s="1"/>
  <c r="L109"/>
  <c r="M109" s="1"/>
  <c r="CK108"/>
  <c r="CL108" s="1"/>
  <c r="CN108" s="1"/>
  <c r="CF108"/>
  <c r="CH108" s="1"/>
  <c r="BZ108"/>
  <c r="CA108" s="1"/>
  <c r="BV108"/>
  <c r="BP108"/>
  <c r="BQ108" s="1"/>
  <c r="BL108"/>
  <c r="BM108" s="1"/>
  <c r="BH108"/>
  <c r="BI108" s="1"/>
  <c r="AZ108"/>
  <c r="AT108"/>
  <c r="AU108" s="1"/>
  <c r="AQ108"/>
  <c r="AK108"/>
  <c r="AL108" s="1"/>
  <c r="AG108"/>
  <c r="AH108" s="1"/>
  <c r="AC108"/>
  <c r="AD108" s="1"/>
  <c r="X108"/>
  <c r="Y108" s="1"/>
  <c r="T108"/>
  <c r="U108" s="1"/>
  <c r="P108"/>
  <c r="Q108" s="1"/>
  <c r="L108"/>
  <c r="M108" s="1"/>
  <c r="CK107"/>
  <c r="CF107"/>
  <c r="CG107" s="1"/>
  <c r="CI107" s="1"/>
  <c r="BZ107"/>
  <c r="CA107" s="1"/>
  <c r="BV107"/>
  <c r="BP107"/>
  <c r="BQ107" s="1"/>
  <c r="BL107"/>
  <c r="BM107" s="1"/>
  <c r="BH107"/>
  <c r="BI107" s="1"/>
  <c r="AZ107"/>
  <c r="BA107" s="1"/>
  <c r="BC107" s="1"/>
  <c r="AT107"/>
  <c r="AU107" s="1"/>
  <c r="AQ107"/>
  <c r="AK107"/>
  <c r="AL107" s="1"/>
  <c r="AG107"/>
  <c r="AH107" s="1"/>
  <c r="AC107"/>
  <c r="AD107" s="1"/>
  <c r="X107"/>
  <c r="Y107" s="1"/>
  <c r="T107"/>
  <c r="U107" s="1"/>
  <c r="P107"/>
  <c r="Q107" s="1"/>
  <c r="L107"/>
  <c r="M107" s="1"/>
  <c r="CK106"/>
  <c r="CL106" s="1"/>
  <c r="CN106" s="1"/>
  <c r="CF106"/>
  <c r="BZ106"/>
  <c r="CA106" s="1"/>
  <c r="BV106"/>
  <c r="BW106" s="1"/>
  <c r="BP106"/>
  <c r="BQ106" s="1"/>
  <c r="BL106"/>
  <c r="BH106"/>
  <c r="BI106" s="1"/>
  <c r="AZ106"/>
  <c r="BA106" s="1"/>
  <c r="BC106" s="1"/>
  <c r="AT106"/>
  <c r="AU106" s="1"/>
  <c r="AQ106"/>
  <c r="AR106" s="1"/>
  <c r="AK106"/>
  <c r="AL106" s="1"/>
  <c r="AG106"/>
  <c r="AC106"/>
  <c r="AD106" s="1"/>
  <c r="X106"/>
  <c r="Y106" s="1"/>
  <c r="T106"/>
  <c r="P106"/>
  <c r="Q106" s="1"/>
  <c r="L106"/>
  <c r="M106" s="1"/>
  <c r="CK105"/>
  <c r="CL105" s="1"/>
  <c r="CN105" s="1"/>
  <c r="CF105"/>
  <c r="BZ105"/>
  <c r="CA105" s="1"/>
  <c r="BV105"/>
  <c r="BW105" s="1"/>
  <c r="BP105"/>
  <c r="BQ105" s="1"/>
  <c r="BL105"/>
  <c r="BH105"/>
  <c r="BI105" s="1"/>
  <c r="AZ105"/>
  <c r="BA105" s="1"/>
  <c r="BC105" s="1"/>
  <c r="AT105"/>
  <c r="AU105" s="1"/>
  <c r="AQ105"/>
  <c r="AR105" s="1"/>
  <c r="AK105"/>
  <c r="AL105" s="1"/>
  <c r="AG105"/>
  <c r="AC105"/>
  <c r="AD105" s="1"/>
  <c r="X105"/>
  <c r="Y105" s="1"/>
  <c r="T105"/>
  <c r="P105"/>
  <c r="Q105" s="1"/>
  <c r="L105"/>
  <c r="M105" s="1"/>
  <c r="CK104"/>
  <c r="CL104" s="1"/>
  <c r="CN104" s="1"/>
  <c r="CF104"/>
  <c r="CH104" s="1"/>
  <c r="BZ104"/>
  <c r="CA104" s="1"/>
  <c r="BV104"/>
  <c r="BW104" s="1"/>
  <c r="BP104"/>
  <c r="BL104"/>
  <c r="BM104" s="1"/>
  <c r="BH104"/>
  <c r="BI104" s="1"/>
  <c r="AZ104"/>
  <c r="BA104" s="1"/>
  <c r="BC104" s="1"/>
  <c r="AT104"/>
  <c r="AU104" s="1"/>
  <c r="AQ104"/>
  <c r="AK104"/>
  <c r="AL104" s="1"/>
  <c r="AG104"/>
  <c r="AH104" s="1"/>
  <c r="AC104"/>
  <c r="AD104" s="1"/>
  <c r="X104"/>
  <c r="Y104" s="1"/>
  <c r="T104"/>
  <c r="U104" s="1"/>
  <c r="P104"/>
  <c r="Q104" s="1"/>
  <c r="L104"/>
  <c r="M104" s="1"/>
  <c r="CK103"/>
  <c r="CL103" s="1"/>
  <c r="CN103" s="1"/>
  <c r="CF103"/>
  <c r="CG103" s="1"/>
  <c r="CI103" s="1"/>
  <c r="BZ103"/>
  <c r="CA103" s="1"/>
  <c r="BV103"/>
  <c r="BW103" s="1"/>
  <c r="BP103"/>
  <c r="BL103"/>
  <c r="BM103" s="1"/>
  <c r="BH103"/>
  <c r="BI103" s="1"/>
  <c r="AZ103"/>
  <c r="AT103"/>
  <c r="AU103" s="1"/>
  <c r="AQ103"/>
  <c r="AR103" s="1"/>
  <c r="AK103"/>
  <c r="AL103" s="1"/>
  <c r="AG103"/>
  <c r="AH103" s="1"/>
  <c r="AC103"/>
  <c r="X103"/>
  <c r="Y103" s="1"/>
  <c r="T103"/>
  <c r="U103" s="1"/>
  <c r="P103"/>
  <c r="L103"/>
  <c r="M103" s="1"/>
  <c r="CK102"/>
  <c r="CF102"/>
  <c r="CH102" s="1"/>
  <c r="BZ102"/>
  <c r="CA102" s="1"/>
  <c r="BV102"/>
  <c r="BW102" s="1"/>
  <c r="BP102"/>
  <c r="BQ102" s="1"/>
  <c r="BL102"/>
  <c r="BM102" s="1"/>
  <c r="BH102"/>
  <c r="BI102" s="1"/>
  <c r="AZ102"/>
  <c r="BB102" s="1"/>
  <c r="AT102"/>
  <c r="AQ102"/>
  <c r="AR102" s="1"/>
  <c r="AK102"/>
  <c r="AL102" s="1"/>
  <c r="AG102"/>
  <c r="AH102" s="1"/>
  <c r="AC102"/>
  <c r="AD102" s="1"/>
  <c r="X102"/>
  <c r="Y102" s="1"/>
  <c r="T102"/>
  <c r="P102"/>
  <c r="Q102" s="1"/>
  <c r="L102"/>
  <c r="M102" s="1"/>
  <c r="CK101"/>
  <c r="CF101"/>
  <c r="BZ101"/>
  <c r="BV101"/>
  <c r="BW101" s="1"/>
  <c r="BP101"/>
  <c r="BL101"/>
  <c r="BM101" s="1"/>
  <c r="BH101"/>
  <c r="BI101" s="1"/>
  <c r="AZ101"/>
  <c r="AT101"/>
  <c r="AQ101"/>
  <c r="AR101" s="1"/>
  <c r="AK101"/>
  <c r="AL101" s="1"/>
  <c r="AG101"/>
  <c r="AH101" s="1"/>
  <c r="AC101"/>
  <c r="AD101" s="1"/>
  <c r="X101"/>
  <c r="Y101" s="1"/>
  <c r="T101"/>
  <c r="U101" s="1"/>
  <c r="P101"/>
  <c r="L101"/>
  <c r="M101" s="1"/>
  <c r="CK100"/>
  <c r="CL100" s="1"/>
  <c r="CN100" s="1"/>
  <c r="CF100"/>
  <c r="CH100" s="1"/>
  <c r="BZ100"/>
  <c r="CA100" s="1"/>
  <c r="BV100"/>
  <c r="BW100" s="1"/>
  <c r="BP100"/>
  <c r="BL100"/>
  <c r="BM100" s="1"/>
  <c r="BH100"/>
  <c r="BI100" s="1"/>
  <c r="AZ100"/>
  <c r="BA100" s="1"/>
  <c r="BC100" s="1"/>
  <c r="AT100"/>
  <c r="AU100" s="1"/>
  <c r="AQ100"/>
  <c r="AR100" s="1"/>
  <c r="AK100"/>
  <c r="AL100" s="1"/>
  <c r="AG100"/>
  <c r="AH100" s="1"/>
  <c r="AC100"/>
  <c r="AD100" s="1"/>
  <c r="X100"/>
  <c r="Y100" s="1"/>
  <c r="T100"/>
  <c r="U100" s="1"/>
  <c r="P100"/>
  <c r="Q100" s="1"/>
  <c r="L100"/>
  <c r="M100" s="1"/>
  <c r="CK99"/>
  <c r="CL99" s="1"/>
  <c r="CN99" s="1"/>
  <c r="CF99"/>
  <c r="CH99" s="1"/>
  <c r="BZ99"/>
  <c r="CA99" s="1"/>
  <c r="BV99"/>
  <c r="BW99" s="1"/>
  <c r="BP99"/>
  <c r="BL99"/>
  <c r="BM99" s="1"/>
  <c r="BH99"/>
  <c r="BI99" s="1"/>
  <c r="AZ99"/>
  <c r="BA99" s="1"/>
  <c r="BC99" s="1"/>
  <c r="AT99"/>
  <c r="AU99" s="1"/>
  <c r="AQ99"/>
  <c r="AK99"/>
  <c r="AL99" s="1"/>
  <c r="AG99"/>
  <c r="AH99" s="1"/>
  <c r="AC99"/>
  <c r="AD99" s="1"/>
  <c r="X99"/>
  <c r="Y99" s="1"/>
  <c r="T99"/>
  <c r="U99" s="1"/>
  <c r="P99"/>
  <c r="Q99" s="1"/>
  <c r="L99"/>
  <c r="M99" s="1"/>
  <c r="CK98"/>
  <c r="CL98" s="1"/>
  <c r="CN98" s="1"/>
  <c r="CF98"/>
  <c r="CG98" s="1"/>
  <c r="CI98" s="1"/>
  <c r="BZ98"/>
  <c r="CA98" s="1"/>
  <c r="BV98"/>
  <c r="BW98" s="1"/>
  <c r="BP98"/>
  <c r="BL98"/>
  <c r="BM98" s="1"/>
  <c r="BH98"/>
  <c r="BI98" s="1"/>
  <c r="AZ98"/>
  <c r="AT98"/>
  <c r="AU98" s="1"/>
  <c r="AQ98"/>
  <c r="AR98" s="1"/>
  <c r="AK98"/>
  <c r="AL98" s="1"/>
  <c r="AG98"/>
  <c r="AH98" s="1"/>
  <c r="AC98"/>
  <c r="X98"/>
  <c r="Y98" s="1"/>
  <c r="T98"/>
  <c r="U98" s="1"/>
  <c r="P98"/>
  <c r="L98"/>
  <c r="M98" s="1"/>
  <c r="CK97"/>
  <c r="CF97"/>
  <c r="CH97" s="1"/>
  <c r="BZ97"/>
  <c r="CA97" s="1"/>
  <c r="BV97"/>
  <c r="BW97" s="1"/>
  <c r="BP97"/>
  <c r="BQ97" s="1"/>
  <c r="BL97"/>
  <c r="BM97" s="1"/>
  <c r="BH97"/>
  <c r="BI97" s="1"/>
  <c r="AZ97"/>
  <c r="BB97" s="1"/>
  <c r="AT97"/>
  <c r="AQ97"/>
  <c r="AR97" s="1"/>
  <c r="AK97"/>
  <c r="AL97" s="1"/>
  <c r="AG97"/>
  <c r="AH97" s="1"/>
  <c r="AC97"/>
  <c r="AD97" s="1"/>
  <c r="X97"/>
  <c r="Y97" s="1"/>
  <c r="T97"/>
  <c r="P97"/>
  <c r="Q97" s="1"/>
  <c r="L97"/>
  <c r="M97" s="1"/>
  <c r="CK96"/>
  <c r="CF96"/>
  <c r="BZ96"/>
  <c r="BV96"/>
  <c r="BW96" s="1"/>
  <c r="BP96"/>
  <c r="BL96"/>
  <c r="BM96" s="1"/>
  <c r="BH96"/>
  <c r="BI96" s="1"/>
  <c r="AZ96"/>
  <c r="AT96"/>
  <c r="AQ96"/>
  <c r="AR96" s="1"/>
  <c r="AK96"/>
  <c r="AL96" s="1"/>
  <c r="AG96"/>
  <c r="AH96" s="1"/>
  <c r="AC96"/>
  <c r="AD96" s="1"/>
  <c r="X96"/>
  <c r="Y96" s="1"/>
  <c r="T96"/>
  <c r="U96" s="1"/>
  <c r="P96"/>
  <c r="L96"/>
  <c r="M96" s="1"/>
  <c r="B96"/>
  <c r="B97" s="1"/>
  <c r="B98" s="1"/>
  <c r="B99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CK95"/>
  <c r="CL95" s="1"/>
  <c r="CN95" s="1"/>
  <c r="CF95"/>
  <c r="BZ95"/>
  <c r="CA95" s="1"/>
  <c r="BV95"/>
  <c r="BP95"/>
  <c r="BQ95" s="1"/>
  <c r="BL95"/>
  <c r="BM95" s="1"/>
  <c r="BH95"/>
  <c r="BI95" s="1"/>
  <c r="AZ95"/>
  <c r="BA95" s="1"/>
  <c r="BC95" s="1"/>
  <c r="AT95"/>
  <c r="AU95" s="1"/>
  <c r="AQ95"/>
  <c r="AK95"/>
  <c r="AL95" s="1"/>
  <c r="AG95"/>
  <c r="AH95" s="1"/>
  <c r="AC95"/>
  <c r="AD95" s="1"/>
  <c r="X95"/>
  <c r="Y95" s="1"/>
  <c r="T95"/>
  <c r="U95" s="1"/>
  <c r="P95"/>
  <c r="Q95" s="1"/>
  <c r="L95"/>
  <c r="M95" s="1"/>
  <c r="CK87"/>
  <c r="CM87" s="1"/>
  <c r="CF87"/>
  <c r="CH87" s="1"/>
  <c r="BZ87"/>
  <c r="BV87"/>
  <c r="BW87" s="1"/>
  <c r="BP87"/>
  <c r="BQ87" s="1"/>
  <c r="BL87"/>
  <c r="BM87" s="1"/>
  <c r="BH87"/>
  <c r="BI87" s="1"/>
  <c r="AZ87"/>
  <c r="BB87" s="1"/>
  <c r="AT87"/>
  <c r="AQ87"/>
  <c r="AR87" s="1"/>
  <c r="AK87"/>
  <c r="AL87" s="1"/>
  <c r="AG87"/>
  <c r="AH87" s="1"/>
  <c r="AC87"/>
  <c r="AD87" s="1"/>
  <c r="X87"/>
  <c r="Y87" s="1"/>
  <c r="T87"/>
  <c r="U87" s="1"/>
  <c r="P87"/>
  <c r="Q87" s="1"/>
  <c r="L87"/>
  <c r="M87" s="1"/>
  <c r="CK86"/>
  <c r="CM86" s="1"/>
  <c r="CF86"/>
  <c r="BZ86"/>
  <c r="CA86" s="1"/>
  <c r="BV86"/>
  <c r="BP86"/>
  <c r="BQ86" s="1"/>
  <c r="BL86"/>
  <c r="BM86" s="1"/>
  <c r="BH86"/>
  <c r="BI86" s="1"/>
  <c r="AZ86"/>
  <c r="BB86" s="1"/>
  <c r="AT86"/>
  <c r="AU86" s="1"/>
  <c r="AQ86"/>
  <c r="AR86" s="1"/>
  <c r="AK86"/>
  <c r="AL86" s="1"/>
  <c r="AG86"/>
  <c r="AH86" s="1"/>
  <c r="AC86"/>
  <c r="AD86" s="1"/>
  <c r="X86"/>
  <c r="Y86" s="1"/>
  <c r="T86"/>
  <c r="U86" s="1"/>
  <c r="P86"/>
  <c r="Q86" s="1"/>
  <c r="L86"/>
  <c r="M86" s="1"/>
  <c r="CK85"/>
  <c r="CL85" s="1"/>
  <c r="CN85" s="1"/>
  <c r="CF85"/>
  <c r="BZ85"/>
  <c r="CA85" s="1"/>
  <c r="BV85"/>
  <c r="BW85" s="1"/>
  <c r="BP85"/>
  <c r="BL85"/>
  <c r="BM85" s="1"/>
  <c r="BH85"/>
  <c r="BI85" s="1"/>
  <c r="AZ85"/>
  <c r="BA85" s="1"/>
  <c r="BC85" s="1"/>
  <c r="AT85"/>
  <c r="AU85" s="1"/>
  <c r="AQ85"/>
  <c r="AR85" s="1"/>
  <c r="AK85"/>
  <c r="AL85" s="1"/>
  <c r="AG85"/>
  <c r="AH85" s="1"/>
  <c r="AC85"/>
  <c r="X85"/>
  <c r="Y85" s="1"/>
  <c r="T85"/>
  <c r="U85" s="1"/>
  <c r="P85"/>
  <c r="L85"/>
  <c r="M85" s="1"/>
  <c r="CK84"/>
  <c r="CM84" s="1"/>
  <c r="CF84"/>
  <c r="BZ84"/>
  <c r="CA84" s="1"/>
  <c r="BV84"/>
  <c r="BW84" s="1"/>
  <c r="BP84"/>
  <c r="BQ84" s="1"/>
  <c r="BL84"/>
  <c r="BM84" s="1"/>
  <c r="BH84"/>
  <c r="BI84" s="1"/>
  <c r="AZ84"/>
  <c r="AT84"/>
  <c r="AU84" s="1"/>
  <c r="AQ84"/>
  <c r="AR84" s="1"/>
  <c r="AK84"/>
  <c r="AL84" s="1"/>
  <c r="AG84"/>
  <c r="AH84" s="1"/>
  <c r="AC84"/>
  <c r="AD84" s="1"/>
  <c r="X84"/>
  <c r="Y84" s="1"/>
  <c r="T84"/>
  <c r="U84" s="1"/>
  <c r="P84"/>
  <c r="L84"/>
  <c r="M84" s="1"/>
  <c r="CK83"/>
  <c r="CM83" s="1"/>
  <c r="CF83"/>
  <c r="CH83" s="1"/>
  <c r="BZ83"/>
  <c r="BV83"/>
  <c r="BW83" s="1"/>
  <c r="BP83"/>
  <c r="BQ83" s="1"/>
  <c r="BL83"/>
  <c r="BM83" s="1"/>
  <c r="BH83"/>
  <c r="BI83" s="1"/>
  <c r="AZ83"/>
  <c r="BB83" s="1"/>
  <c r="AT83"/>
  <c r="AQ83"/>
  <c r="AR83" s="1"/>
  <c r="AK83"/>
  <c r="AL83" s="1"/>
  <c r="AG83"/>
  <c r="AH83" s="1"/>
  <c r="AC83"/>
  <c r="AD83" s="1"/>
  <c r="X83"/>
  <c r="Y83" s="1"/>
  <c r="T83"/>
  <c r="U83" s="1"/>
  <c r="P83"/>
  <c r="Q83" s="1"/>
  <c r="L83"/>
  <c r="M83" s="1"/>
  <c r="CK82"/>
  <c r="CM82" s="1"/>
  <c r="CF82"/>
  <c r="CH82" s="1"/>
  <c r="BZ82"/>
  <c r="BV82"/>
  <c r="BW82" s="1"/>
  <c r="BP82"/>
  <c r="BQ82" s="1"/>
  <c r="BL82"/>
  <c r="BM82" s="1"/>
  <c r="BH82"/>
  <c r="BI82" s="1"/>
  <c r="AZ82"/>
  <c r="BB82" s="1"/>
  <c r="AT82"/>
  <c r="AQ82"/>
  <c r="AR82" s="1"/>
  <c r="AK82"/>
  <c r="AL82" s="1"/>
  <c r="AG82"/>
  <c r="AH82" s="1"/>
  <c r="AC82"/>
  <c r="X82"/>
  <c r="Y82" s="1"/>
  <c r="T82"/>
  <c r="U82" s="1"/>
  <c r="P82"/>
  <c r="Q82" s="1"/>
  <c r="L82"/>
  <c r="M82" s="1"/>
  <c r="CK81"/>
  <c r="CL81" s="1"/>
  <c r="CN81" s="1"/>
  <c r="CF81"/>
  <c r="BZ81"/>
  <c r="CA81" s="1"/>
  <c r="BV81"/>
  <c r="BW81" s="1"/>
  <c r="BP81"/>
  <c r="BL81"/>
  <c r="BM81" s="1"/>
  <c r="BH81"/>
  <c r="BI81" s="1"/>
  <c r="AZ81"/>
  <c r="BA81" s="1"/>
  <c r="BC81" s="1"/>
  <c r="AT81"/>
  <c r="AU81" s="1"/>
  <c r="AQ81"/>
  <c r="AR81" s="1"/>
  <c r="AK81"/>
  <c r="AL81" s="1"/>
  <c r="AG81"/>
  <c r="AH81" s="1"/>
  <c r="AC81"/>
  <c r="X81"/>
  <c r="Y81" s="1"/>
  <c r="T81"/>
  <c r="U81" s="1"/>
  <c r="P81"/>
  <c r="L81"/>
  <c r="M81" s="1"/>
  <c r="CK80"/>
  <c r="CF80"/>
  <c r="CG80" s="1"/>
  <c r="CI80" s="1"/>
  <c r="BZ80"/>
  <c r="BV80"/>
  <c r="BW80" s="1"/>
  <c r="BP80"/>
  <c r="BL80"/>
  <c r="BM80" s="1"/>
  <c r="BH80"/>
  <c r="BI80" s="1"/>
  <c r="AZ80"/>
  <c r="BB80" s="1"/>
  <c r="AT80"/>
  <c r="AU80" s="1"/>
  <c r="AQ80"/>
  <c r="AR80" s="1"/>
  <c r="AK80"/>
  <c r="AL80" s="1"/>
  <c r="AG80"/>
  <c r="AH80" s="1"/>
  <c r="AC80"/>
  <c r="AD80" s="1"/>
  <c r="X80"/>
  <c r="Y80" s="1"/>
  <c r="T80"/>
  <c r="U80" s="1"/>
  <c r="P80"/>
  <c r="Q80" s="1"/>
  <c r="L80"/>
  <c r="M80" s="1"/>
  <c r="CK79"/>
  <c r="CM79" s="1"/>
  <c r="CF79"/>
  <c r="CH79" s="1"/>
  <c r="BZ79"/>
  <c r="BV79"/>
  <c r="BW79" s="1"/>
  <c r="BP79"/>
  <c r="BQ79" s="1"/>
  <c r="BL79"/>
  <c r="BM79" s="1"/>
  <c r="BH79"/>
  <c r="BI79" s="1"/>
  <c r="AZ79"/>
  <c r="BB79" s="1"/>
  <c r="AT79"/>
  <c r="AQ79"/>
  <c r="AR79" s="1"/>
  <c r="AK79"/>
  <c r="AL79" s="1"/>
  <c r="AG79"/>
  <c r="AH79" s="1"/>
  <c r="AC79"/>
  <c r="AD79" s="1"/>
  <c r="X79"/>
  <c r="Y79" s="1"/>
  <c r="T79"/>
  <c r="U79" s="1"/>
  <c r="P79"/>
  <c r="Q79" s="1"/>
  <c r="L79"/>
  <c r="M79" s="1"/>
  <c r="CK78"/>
  <c r="CM78" s="1"/>
  <c r="CF78"/>
  <c r="CH78" s="1"/>
  <c r="BZ78"/>
  <c r="BV78"/>
  <c r="BW78" s="1"/>
  <c r="BP78"/>
  <c r="BQ78" s="1"/>
  <c r="BL78"/>
  <c r="BM78" s="1"/>
  <c r="BH78"/>
  <c r="BI78" s="1"/>
  <c r="AZ78"/>
  <c r="BB78" s="1"/>
  <c r="AT78"/>
  <c r="AQ78"/>
  <c r="AR78" s="1"/>
  <c r="AK78"/>
  <c r="AL78" s="1"/>
  <c r="AG78"/>
  <c r="AH78" s="1"/>
  <c r="AC78"/>
  <c r="X78"/>
  <c r="Y78" s="1"/>
  <c r="T78"/>
  <c r="U78" s="1"/>
  <c r="P78"/>
  <c r="Q78" s="1"/>
  <c r="L78"/>
  <c r="M78" s="1"/>
  <c r="CK77"/>
  <c r="CL77" s="1"/>
  <c r="CN77" s="1"/>
  <c r="CF77"/>
  <c r="CG77" s="1"/>
  <c r="CI77" s="1"/>
  <c r="BZ77"/>
  <c r="CA77" s="1"/>
  <c r="BV77"/>
  <c r="BW77" s="1"/>
  <c r="BP77"/>
  <c r="BQ77" s="1"/>
  <c r="BL77"/>
  <c r="BM77" s="1"/>
  <c r="BH77"/>
  <c r="BI77" s="1"/>
  <c r="AZ77"/>
  <c r="BA77" s="1"/>
  <c r="BC77" s="1"/>
  <c r="AT77"/>
  <c r="AU77" s="1"/>
  <c r="AQ77"/>
  <c r="AR77" s="1"/>
  <c r="AK77"/>
  <c r="AL77" s="1"/>
  <c r="AG77"/>
  <c r="AH77" s="1"/>
  <c r="AC77"/>
  <c r="AD77" s="1"/>
  <c r="X77"/>
  <c r="Y77" s="1"/>
  <c r="T77"/>
  <c r="U77" s="1"/>
  <c r="P77"/>
  <c r="Q77" s="1"/>
  <c r="L77"/>
  <c r="M77" s="1"/>
  <c r="CK76"/>
  <c r="CM76" s="1"/>
  <c r="CF76"/>
  <c r="CG76" s="1"/>
  <c r="CI76" s="1"/>
  <c r="BZ76"/>
  <c r="CA76" s="1"/>
  <c r="BV76"/>
  <c r="BW76" s="1"/>
  <c r="BP76"/>
  <c r="BQ76" s="1"/>
  <c r="BL76"/>
  <c r="BM76" s="1"/>
  <c r="BH76"/>
  <c r="BI76" s="1"/>
  <c r="AZ76"/>
  <c r="BB76" s="1"/>
  <c r="AT76"/>
  <c r="AU76" s="1"/>
  <c r="AQ76"/>
  <c r="AR76" s="1"/>
  <c r="AK76"/>
  <c r="AL76" s="1"/>
  <c r="AG76"/>
  <c r="AH76" s="1"/>
  <c r="AC76"/>
  <c r="AD76" s="1"/>
  <c r="X76"/>
  <c r="Y76" s="1"/>
  <c r="T76"/>
  <c r="U76" s="1"/>
  <c r="P76"/>
  <c r="Q76" s="1"/>
  <c r="L76"/>
  <c r="M76" s="1"/>
  <c r="CK75"/>
  <c r="CL75" s="1"/>
  <c r="CN75" s="1"/>
  <c r="CF75"/>
  <c r="CG75" s="1"/>
  <c r="CI75" s="1"/>
  <c r="BZ75"/>
  <c r="CA75" s="1"/>
  <c r="BV75"/>
  <c r="BW75" s="1"/>
  <c r="BP75"/>
  <c r="BQ75" s="1"/>
  <c r="BL75"/>
  <c r="BM75" s="1"/>
  <c r="BH75"/>
  <c r="BI75" s="1"/>
  <c r="AZ75"/>
  <c r="BA75" s="1"/>
  <c r="BC75" s="1"/>
  <c r="AT75"/>
  <c r="AU75" s="1"/>
  <c r="AQ75"/>
  <c r="AR75" s="1"/>
  <c r="AK75"/>
  <c r="AL75" s="1"/>
  <c r="AG75"/>
  <c r="AH75" s="1"/>
  <c r="AC75"/>
  <c r="AD75" s="1"/>
  <c r="X75"/>
  <c r="Y75" s="1"/>
  <c r="T75"/>
  <c r="U75" s="1"/>
  <c r="P75"/>
  <c r="Q75" s="1"/>
  <c r="L75"/>
  <c r="M75" s="1"/>
  <c r="CK74"/>
  <c r="CM74" s="1"/>
  <c r="CF74"/>
  <c r="CH74" s="1"/>
  <c r="BZ74"/>
  <c r="BV74"/>
  <c r="BW74" s="1"/>
  <c r="BP74"/>
  <c r="BQ74" s="1"/>
  <c r="BL74"/>
  <c r="BM74" s="1"/>
  <c r="BH74"/>
  <c r="BI74" s="1"/>
  <c r="AZ74"/>
  <c r="BB74" s="1"/>
  <c r="AT74"/>
  <c r="AQ74"/>
  <c r="AR74" s="1"/>
  <c r="AK74"/>
  <c r="AL74" s="1"/>
  <c r="AG74"/>
  <c r="AH74" s="1"/>
  <c r="AC74"/>
  <c r="X74"/>
  <c r="Y74" s="1"/>
  <c r="T74"/>
  <c r="U74" s="1"/>
  <c r="P74"/>
  <c r="Q74" s="1"/>
  <c r="L74"/>
  <c r="M74" s="1"/>
  <c r="CK73"/>
  <c r="CL73" s="1"/>
  <c r="CN73" s="1"/>
  <c r="CF73"/>
  <c r="CG73" s="1"/>
  <c r="CI73" s="1"/>
  <c r="BZ73"/>
  <c r="CA73" s="1"/>
  <c r="BV73"/>
  <c r="BW73" s="1"/>
  <c r="BP73"/>
  <c r="BQ73" s="1"/>
  <c r="BL73"/>
  <c r="BM73" s="1"/>
  <c r="BH73"/>
  <c r="BI73" s="1"/>
  <c r="AZ73"/>
  <c r="BA73" s="1"/>
  <c r="BC73" s="1"/>
  <c r="AT73"/>
  <c r="AU73" s="1"/>
  <c r="AQ73"/>
  <c r="AR73" s="1"/>
  <c r="AK73"/>
  <c r="AL73" s="1"/>
  <c r="AG73"/>
  <c r="AH73" s="1"/>
  <c r="AC73"/>
  <c r="AD73" s="1"/>
  <c r="X73"/>
  <c r="Y73" s="1"/>
  <c r="T73"/>
  <c r="U73" s="1"/>
  <c r="P73"/>
  <c r="Q73" s="1"/>
  <c r="L73"/>
  <c r="M73" s="1"/>
  <c r="CK72"/>
  <c r="CM72" s="1"/>
  <c r="CF72"/>
  <c r="CG72" s="1"/>
  <c r="CI72" s="1"/>
  <c r="BZ72"/>
  <c r="CA72" s="1"/>
  <c r="BV72"/>
  <c r="BW72" s="1"/>
  <c r="BP72"/>
  <c r="BQ72" s="1"/>
  <c r="BL72"/>
  <c r="BM72" s="1"/>
  <c r="BH72"/>
  <c r="BI72" s="1"/>
  <c r="AZ72"/>
  <c r="BB72" s="1"/>
  <c r="AT72"/>
  <c r="AU72" s="1"/>
  <c r="AQ72"/>
  <c r="AR72" s="1"/>
  <c r="AK72"/>
  <c r="AL72" s="1"/>
  <c r="AG72"/>
  <c r="AH72" s="1"/>
  <c r="AC72"/>
  <c r="AD72" s="1"/>
  <c r="X72"/>
  <c r="Y72" s="1"/>
  <c r="T72"/>
  <c r="U72" s="1"/>
  <c r="P72"/>
  <c r="Q72" s="1"/>
  <c r="L72"/>
  <c r="M72" s="1"/>
  <c r="CK71"/>
  <c r="CL71" s="1"/>
  <c r="CN71" s="1"/>
  <c r="CF71"/>
  <c r="CG71" s="1"/>
  <c r="CI71" s="1"/>
  <c r="BZ71"/>
  <c r="CA71" s="1"/>
  <c r="BV71"/>
  <c r="BW71" s="1"/>
  <c r="BP71"/>
  <c r="BQ71" s="1"/>
  <c r="BL71"/>
  <c r="BM71" s="1"/>
  <c r="BH71"/>
  <c r="BI71" s="1"/>
  <c r="AZ71"/>
  <c r="BA71" s="1"/>
  <c r="BC71" s="1"/>
  <c r="AT71"/>
  <c r="AU71" s="1"/>
  <c r="AQ71"/>
  <c r="AR71" s="1"/>
  <c r="AK71"/>
  <c r="AL71" s="1"/>
  <c r="AG71"/>
  <c r="AH71" s="1"/>
  <c r="AC71"/>
  <c r="AD71" s="1"/>
  <c r="X71"/>
  <c r="Y71" s="1"/>
  <c r="T71"/>
  <c r="U71" s="1"/>
  <c r="P71"/>
  <c r="Q71" s="1"/>
  <c r="L71"/>
  <c r="M71" s="1"/>
  <c r="CK70"/>
  <c r="CM70" s="1"/>
  <c r="CF70"/>
  <c r="CH70" s="1"/>
  <c r="BZ70"/>
  <c r="CA70" s="1"/>
  <c r="BV70"/>
  <c r="BW70" s="1"/>
  <c r="BP70"/>
  <c r="BQ70" s="1"/>
  <c r="BL70"/>
  <c r="BM70" s="1"/>
  <c r="BH70"/>
  <c r="BI70" s="1"/>
  <c r="AZ70"/>
  <c r="BB70" s="1"/>
  <c r="AT70"/>
  <c r="AU70" s="1"/>
  <c r="AQ70"/>
  <c r="AR70" s="1"/>
  <c r="AK70"/>
  <c r="AL70" s="1"/>
  <c r="AG70"/>
  <c r="AH70" s="1"/>
  <c r="AC70"/>
  <c r="AD70" s="1"/>
  <c r="X70"/>
  <c r="Y70" s="1"/>
  <c r="T70"/>
  <c r="U70" s="1"/>
  <c r="P70"/>
  <c r="L70"/>
  <c r="M70" s="1"/>
  <c r="CK69"/>
  <c r="CL69" s="1"/>
  <c r="CN69" s="1"/>
  <c r="CF69"/>
  <c r="CG69" s="1"/>
  <c r="CI69" s="1"/>
  <c r="BZ69"/>
  <c r="CA69" s="1"/>
  <c r="BV69"/>
  <c r="BP69"/>
  <c r="BQ69" s="1"/>
  <c r="BL69"/>
  <c r="BM69" s="1"/>
  <c r="BH69"/>
  <c r="BI69" s="1"/>
  <c r="AZ69"/>
  <c r="BA69" s="1"/>
  <c r="BC69" s="1"/>
  <c r="AT69"/>
  <c r="AU69" s="1"/>
  <c r="AQ69"/>
  <c r="AK69"/>
  <c r="AL69" s="1"/>
  <c r="AG69"/>
  <c r="AH69" s="1"/>
  <c r="AC69"/>
  <c r="AD69" s="1"/>
  <c r="X69"/>
  <c r="Y69" s="1"/>
  <c r="T69"/>
  <c r="U69" s="1"/>
  <c r="P69"/>
  <c r="Q69" s="1"/>
  <c r="L69"/>
  <c r="M69" s="1"/>
  <c r="CK68"/>
  <c r="CM68" s="1"/>
  <c r="CF68"/>
  <c r="CH68" s="1"/>
  <c r="BZ68"/>
  <c r="CA68" s="1"/>
  <c r="BV68"/>
  <c r="BW68" s="1"/>
  <c r="BP68"/>
  <c r="BQ68" s="1"/>
  <c r="BL68"/>
  <c r="BM68" s="1"/>
  <c r="BH68"/>
  <c r="BI68" s="1"/>
  <c r="AZ68"/>
  <c r="BB68" s="1"/>
  <c r="AT68"/>
  <c r="AU68" s="1"/>
  <c r="AQ68"/>
  <c r="AR68" s="1"/>
  <c r="AK68"/>
  <c r="AL68" s="1"/>
  <c r="AG68"/>
  <c r="AH68" s="1"/>
  <c r="AC68"/>
  <c r="AD68" s="1"/>
  <c r="X68"/>
  <c r="Y68" s="1"/>
  <c r="T68"/>
  <c r="U68" s="1"/>
  <c r="P68"/>
  <c r="L68"/>
  <c r="M68" s="1"/>
  <c r="CK67"/>
  <c r="CL67" s="1"/>
  <c r="CN67" s="1"/>
  <c r="CF67"/>
  <c r="BZ67"/>
  <c r="CA67" s="1"/>
  <c r="BV67"/>
  <c r="BW67" s="1"/>
  <c r="BP67"/>
  <c r="BQ67" s="1"/>
  <c r="BL67"/>
  <c r="BH67"/>
  <c r="BI67" s="1"/>
  <c r="AZ67"/>
  <c r="BA67" s="1"/>
  <c r="BC67" s="1"/>
  <c r="AT67"/>
  <c r="AU67" s="1"/>
  <c r="AQ67"/>
  <c r="AR67" s="1"/>
  <c r="AK67"/>
  <c r="AL67" s="1"/>
  <c r="AG67"/>
  <c r="AC67"/>
  <c r="AD67" s="1"/>
  <c r="X67"/>
  <c r="Y67" s="1"/>
  <c r="T67"/>
  <c r="P67"/>
  <c r="L67"/>
  <c r="M67" s="1"/>
  <c r="CK66"/>
  <c r="CM66" s="1"/>
  <c r="CF66"/>
  <c r="CG66" s="1"/>
  <c r="CI66" s="1"/>
  <c r="BZ66"/>
  <c r="CA66" s="1"/>
  <c r="BV66"/>
  <c r="BW66" s="1"/>
  <c r="BP66"/>
  <c r="BQ66" s="1"/>
  <c r="BL66"/>
  <c r="BM66" s="1"/>
  <c r="BH66"/>
  <c r="BI66" s="1"/>
  <c r="AZ66"/>
  <c r="BB66" s="1"/>
  <c r="AT66"/>
  <c r="AU66" s="1"/>
  <c r="AQ66"/>
  <c r="AR66" s="1"/>
  <c r="AK66"/>
  <c r="AL66" s="1"/>
  <c r="AG66"/>
  <c r="AH66" s="1"/>
  <c r="AC66"/>
  <c r="AD66" s="1"/>
  <c r="X66"/>
  <c r="Y66" s="1"/>
  <c r="T66"/>
  <c r="U66" s="1"/>
  <c r="P66"/>
  <c r="Q66" s="1"/>
  <c r="L66"/>
  <c r="M66" s="1"/>
  <c r="CK65"/>
  <c r="CL65" s="1"/>
  <c r="CN65" s="1"/>
  <c r="CF65"/>
  <c r="CH65" s="1"/>
  <c r="BZ65"/>
  <c r="CA65" s="1"/>
  <c r="BV65"/>
  <c r="BP65"/>
  <c r="BQ65" s="1"/>
  <c r="BL65"/>
  <c r="BM65" s="1"/>
  <c r="BH65"/>
  <c r="BI65" s="1"/>
  <c r="AZ65"/>
  <c r="BA65" s="1"/>
  <c r="BC65" s="1"/>
  <c r="AT65"/>
  <c r="AU65" s="1"/>
  <c r="AQ65"/>
  <c r="AK65"/>
  <c r="AL65" s="1"/>
  <c r="AG65"/>
  <c r="AH65" s="1"/>
  <c r="AC65"/>
  <c r="AD65" s="1"/>
  <c r="X65"/>
  <c r="Y65" s="1"/>
  <c r="T65"/>
  <c r="U65" s="1"/>
  <c r="P65"/>
  <c r="Q65" s="1"/>
  <c r="L65"/>
  <c r="M65" s="1"/>
  <c r="CK64"/>
  <c r="CM64" s="1"/>
  <c r="CF64"/>
  <c r="CH64" s="1"/>
  <c r="BZ64"/>
  <c r="CA64" s="1"/>
  <c r="BV64"/>
  <c r="BW64" s="1"/>
  <c r="BP64"/>
  <c r="BQ64" s="1"/>
  <c r="BL64"/>
  <c r="BM64" s="1"/>
  <c r="BH64"/>
  <c r="BI64" s="1"/>
  <c r="AZ64"/>
  <c r="BB64" s="1"/>
  <c r="AT64"/>
  <c r="AU64" s="1"/>
  <c r="AQ64"/>
  <c r="AR64" s="1"/>
  <c r="AK64"/>
  <c r="AL64" s="1"/>
  <c r="AG64"/>
  <c r="AH64" s="1"/>
  <c r="AC64"/>
  <c r="AD64" s="1"/>
  <c r="X64"/>
  <c r="Y64" s="1"/>
  <c r="T64"/>
  <c r="U64" s="1"/>
  <c r="P64"/>
  <c r="Q64" s="1"/>
  <c r="L64"/>
  <c r="M64" s="1"/>
  <c r="CK63"/>
  <c r="CL63" s="1"/>
  <c r="CN63" s="1"/>
  <c r="CF63"/>
  <c r="BZ63"/>
  <c r="CA63" s="1"/>
  <c r="BV63"/>
  <c r="BW63" s="1"/>
  <c r="BP63"/>
  <c r="BL63"/>
  <c r="BM63" s="1"/>
  <c r="BH63"/>
  <c r="BI63" s="1"/>
  <c r="AZ63"/>
  <c r="BA63" s="1"/>
  <c r="BC63" s="1"/>
  <c r="AT63"/>
  <c r="AU63" s="1"/>
  <c r="AQ63"/>
  <c r="AR63" s="1"/>
  <c r="AK63"/>
  <c r="AL63" s="1"/>
  <c r="AG63"/>
  <c r="AH63" s="1"/>
  <c r="AC63"/>
  <c r="X63"/>
  <c r="Y63" s="1"/>
  <c r="T63"/>
  <c r="U63" s="1"/>
  <c r="P63"/>
  <c r="L63"/>
  <c r="M63" s="1"/>
  <c r="CK62"/>
  <c r="CM62" s="1"/>
  <c r="CF62"/>
  <c r="CG62" s="1"/>
  <c r="CI62" s="1"/>
  <c r="BZ62"/>
  <c r="BV62"/>
  <c r="BW62" s="1"/>
  <c r="BP62"/>
  <c r="BQ62" s="1"/>
  <c r="BL62"/>
  <c r="BM62" s="1"/>
  <c r="BH62"/>
  <c r="BI62" s="1"/>
  <c r="AZ62"/>
  <c r="BB62" s="1"/>
  <c r="AT62"/>
  <c r="AQ62"/>
  <c r="AR62" s="1"/>
  <c r="AK62"/>
  <c r="AL62" s="1"/>
  <c r="AG62"/>
  <c r="AH62" s="1"/>
  <c r="AC62"/>
  <c r="X62"/>
  <c r="Y62" s="1"/>
  <c r="T62"/>
  <c r="P62"/>
  <c r="Q62" s="1"/>
  <c r="L62"/>
  <c r="M62" s="1"/>
  <c r="CK61"/>
  <c r="CL61" s="1"/>
  <c r="CN61" s="1"/>
  <c r="CF61"/>
  <c r="CG61" s="1"/>
  <c r="CI61" s="1"/>
  <c r="BZ61"/>
  <c r="CA61" s="1"/>
  <c r="BV61"/>
  <c r="BW61" s="1"/>
  <c r="BP61"/>
  <c r="BQ61" s="1"/>
  <c r="BL61"/>
  <c r="BM61" s="1"/>
  <c r="BH61"/>
  <c r="BI61" s="1"/>
  <c r="AZ61"/>
  <c r="BA61" s="1"/>
  <c r="BC61" s="1"/>
  <c r="AT61"/>
  <c r="AU61" s="1"/>
  <c r="AQ61"/>
  <c r="AR61" s="1"/>
  <c r="AK61"/>
  <c r="AL61" s="1"/>
  <c r="AG61"/>
  <c r="AH61" s="1"/>
  <c r="AC61"/>
  <c r="AD61" s="1"/>
  <c r="X61"/>
  <c r="Y61" s="1"/>
  <c r="T61"/>
  <c r="U61" s="1"/>
  <c r="P61"/>
  <c r="Q61" s="1"/>
  <c r="L61"/>
  <c r="M61" s="1"/>
  <c r="CK60"/>
  <c r="CM60" s="1"/>
  <c r="CF60"/>
  <c r="CH60" s="1"/>
  <c r="BZ60"/>
  <c r="BV60"/>
  <c r="BW60" s="1"/>
  <c r="BP60"/>
  <c r="BQ60" s="1"/>
  <c r="BL60"/>
  <c r="BM60" s="1"/>
  <c r="BH60"/>
  <c r="BI60" s="1"/>
  <c r="AZ60"/>
  <c r="BB60" s="1"/>
  <c r="AT60"/>
  <c r="AU60" s="1"/>
  <c r="AQ60"/>
  <c r="AK60"/>
  <c r="AL60" s="1"/>
  <c r="AG60"/>
  <c r="AH60" s="1"/>
  <c r="AC60"/>
  <c r="AD60" s="1"/>
  <c r="X60"/>
  <c r="Y60" s="1"/>
  <c r="T60"/>
  <c r="U60" s="1"/>
  <c r="P60"/>
  <c r="Q60" s="1"/>
  <c r="L60"/>
  <c r="M60" s="1"/>
  <c r="CK59"/>
  <c r="CL59" s="1"/>
  <c r="CN59" s="1"/>
  <c r="CF59"/>
  <c r="CG59" s="1"/>
  <c r="CI59" s="1"/>
  <c r="BZ59"/>
  <c r="CA59" s="1"/>
  <c r="BV59"/>
  <c r="BW59" s="1"/>
  <c r="BP59"/>
  <c r="BQ59" s="1"/>
  <c r="BL59"/>
  <c r="BM59" s="1"/>
  <c r="BH59"/>
  <c r="BI59" s="1"/>
  <c r="AZ59"/>
  <c r="BA59" s="1"/>
  <c r="BC59" s="1"/>
  <c r="AT59"/>
  <c r="AU59" s="1"/>
  <c r="AQ59"/>
  <c r="AR59" s="1"/>
  <c r="AK59"/>
  <c r="AL59" s="1"/>
  <c r="AG59"/>
  <c r="AH59" s="1"/>
  <c r="AC59"/>
  <c r="AD59" s="1"/>
  <c r="X59"/>
  <c r="Y59" s="1"/>
  <c r="T59"/>
  <c r="U59" s="1"/>
  <c r="P59"/>
  <c r="Q59" s="1"/>
  <c r="L59"/>
  <c r="M59" s="1"/>
  <c r="CK58"/>
  <c r="CM58" s="1"/>
  <c r="CF58"/>
  <c r="CG58" s="1"/>
  <c r="CI58" s="1"/>
  <c r="BZ58"/>
  <c r="CA58" s="1"/>
  <c r="BV58"/>
  <c r="BW58" s="1"/>
  <c r="BP58"/>
  <c r="BQ58" s="1"/>
  <c r="BL58"/>
  <c r="BM58" s="1"/>
  <c r="BH58"/>
  <c r="BI58" s="1"/>
  <c r="AZ58"/>
  <c r="BB58" s="1"/>
  <c r="AT58"/>
  <c r="AQ58"/>
  <c r="AR58" s="1"/>
  <c r="AK58"/>
  <c r="AL58" s="1"/>
  <c r="AG58"/>
  <c r="AH58" s="1"/>
  <c r="AC58"/>
  <c r="X58"/>
  <c r="Y58" s="1"/>
  <c r="T58"/>
  <c r="U58" s="1"/>
  <c r="P58"/>
  <c r="Q58" s="1"/>
  <c r="L58"/>
  <c r="M58" s="1"/>
  <c r="CK57"/>
  <c r="CL57" s="1"/>
  <c r="CN57" s="1"/>
  <c r="CF57"/>
  <c r="CG57" s="1"/>
  <c r="CI57" s="1"/>
  <c r="BZ57"/>
  <c r="CA57" s="1"/>
  <c r="BV57"/>
  <c r="BW57" s="1"/>
  <c r="BP57"/>
  <c r="BQ57" s="1"/>
  <c r="BL57"/>
  <c r="BM57" s="1"/>
  <c r="BH57"/>
  <c r="BI57" s="1"/>
  <c r="AZ57"/>
  <c r="BA57" s="1"/>
  <c r="BC57" s="1"/>
  <c r="AT57"/>
  <c r="AU57" s="1"/>
  <c r="AQ57"/>
  <c r="AR57" s="1"/>
  <c r="AK57"/>
  <c r="AL57" s="1"/>
  <c r="AG57"/>
  <c r="AH57" s="1"/>
  <c r="AC57"/>
  <c r="AD57" s="1"/>
  <c r="X57"/>
  <c r="Y57" s="1"/>
  <c r="T57"/>
  <c r="U57" s="1"/>
  <c r="P57"/>
  <c r="Q57" s="1"/>
  <c r="L57"/>
  <c r="M57" s="1"/>
  <c r="CK56"/>
  <c r="CM56" s="1"/>
  <c r="CF56"/>
  <c r="CH56" s="1"/>
  <c r="BZ56"/>
  <c r="BV56"/>
  <c r="BW56" s="1"/>
  <c r="BP56"/>
  <c r="BQ56" s="1"/>
  <c r="BL56"/>
  <c r="BM56" s="1"/>
  <c r="BH56"/>
  <c r="BI56" s="1"/>
  <c r="AZ56"/>
  <c r="BA56" s="1"/>
  <c r="BC56" s="1"/>
  <c r="AT56"/>
  <c r="AU56" s="1"/>
  <c r="AQ56"/>
  <c r="AR56" s="1"/>
  <c r="AK56"/>
  <c r="AL56" s="1"/>
  <c r="AG56"/>
  <c r="AH56" s="1"/>
  <c r="AC56"/>
  <c r="AD56" s="1"/>
  <c r="X56"/>
  <c r="Y56" s="1"/>
  <c r="T56"/>
  <c r="U56" s="1"/>
  <c r="P56"/>
  <c r="Q56" s="1"/>
  <c r="L56"/>
  <c r="M56" s="1"/>
  <c r="CK55"/>
  <c r="CL55" s="1"/>
  <c r="CN55" s="1"/>
  <c r="CF55"/>
  <c r="CG55" s="1"/>
  <c r="CI55" s="1"/>
  <c r="BZ55"/>
  <c r="CA55" s="1"/>
  <c r="BV55"/>
  <c r="BW55" s="1"/>
  <c r="BP55"/>
  <c r="BQ55" s="1"/>
  <c r="BL55"/>
  <c r="BM55" s="1"/>
  <c r="BH55"/>
  <c r="BI55" s="1"/>
  <c r="AZ55"/>
  <c r="BA55" s="1"/>
  <c r="BC55" s="1"/>
  <c r="AT55"/>
  <c r="AU55" s="1"/>
  <c r="AQ55"/>
  <c r="AR55" s="1"/>
  <c r="AK55"/>
  <c r="AL55" s="1"/>
  <c r="AG55"/>
  <c r="AH55" s="1"/>
  <c r="AC55"/>
  <c r="AD55" s="1"/>
  <c r="X55"/>
  <c r="Y55" s="1"/>
  <c r="T55"/>
  <c r="U55" s="1"/>
  <c r="P55"/>
  <c r="Q55" s="1"/>
  <c r="L55"/>
  <c r="M55" s="1"/>
  <c r="CK54"/>
  <c r="CM54" s="1"/>
  <c r="CF54"/>
  <c r="CG54" s="1"/>
  <c r="CI54" s="1"/>
  <c r="BZ54"/>
  <c r="BV54"/>
  <c r="BW54" s="1"/>
  <c r="BP54"/>
  <c r="BQ54" s="1"/>
  <c r="BL54"/>
  <c r="BM54" s="1"/>
  <c r="BH54"/>
  <c r="BI54" s="1"/>
  <c r="AZ54"/>
  <c r="BB54" s="1"/>
  <c r="AT54"/>
  <c r="AQ54"/>
  <c r="AR54" s="1"/>
  <c r="AK54"/>
  <c r="AL54" s="1"/>
  <c r="AG54"/>
  <c r="AH54" s="1"/>
  <c r="AC54"/>
  <c r="X54"/>
  <c r="Y54" s="1"/>
  <c r="T54"/>
  <c r="U54" s="1"/>
  <c r="P54"/>
  <c r="Q54" s="1"/>
  <c r="L54"/>
  <c r="M54" s="1"/>
  <c r="CK53"/>
  <c r="CL53" s="1"/>
  <c r="CN53" s="1"/>
  <c r="CF53"/>
  <c r="CG53" s="1"/>
  <c r="CI53" s="1"/>
  <c r="BZ53"/>
  <c r="CA53" s="1"/>
  <c r="BV53"/>
  <c r="BW53" s="1"/>
  <c r="BP53"/>
  <c r="BQ53" s="1"/>
  <c r="BL53"/>
  <c r="BM53" s="1"/>
  <c r="BH53"/>
  <c r="BI53" s="1"/>
  <c r="AZ53"/>
  <c r="BA53" s="1"/>
  <c r="BC53" s="1"/>
  <c r="AT53"/>
  <c r="AU53" s="1"/>
  <c r="AQ53"/>
  <c r="AR53" s="1"/>
  <c r="AK53"/>
  <c r="AL53" s="1"/>
  <c r="AG53"/>
  <c r="AH53" s="1"/>
  <c r="AC53"/>
  <c r="AD53" s="1"/>
  <c r="X53"/>
  <c r="Y53" s="1"/>
  <c r="T53"/>
  <c r="U53" s="1"/>
  <c r="P53"/>
  <c r="Q53" s="1"/>
  <c r="L53"/>
  <c r="M53" s="1"/>
  <c r="CK52"/>
  <c r="CM52" s="1"/>
  <c r="CF52"/>
  <c r="CH52" s="1"/>
  <c r="BZ52"/>
  <c r="CA52" s="1"/>
  <c r="BV52"/>
  <c r="BW52" s="1"/>
  <c r="BP52"/>
  <c r="BQ52" s="1"/>
  <c r="BL52"/>
  <c r="BM52" s="1"/>
  <c r="BH52"/>
  <c r="BI52" s="1"/>
  <c r="AZ52"/>
  <c r="BB52" s="1"/>
  <c r="AT52"/>
  <c r="AU52" s="1"/>
  <c r="AQ52"/>
  <c r="AK52"/>
  <c r="AL52" s="1"/>
  <c r="AG52"/>
  <c r="AH52" s="1"/>
  <c r="AC52"/>
  <c r="X52"/>
  <c r="Y52" s="1"/>
  <c r="T52"/>
  <c r="U52" s="1"/>
  <c r="P52"/>
  <c r="Q52" s="1"/>
  <c r="L52"/>
  <c r="M52" s="1"/>
  <c r="CK51"/>
  <c r="CL51" s="1"/>
  <c r="CN51" s="1"/>
  <c r="CF51"/>
  <c r="BZ51"/>
  <c r="CA51" s="1"/>
  <c r="BV51"/>
  <c r="BW51" s="1"/>
  <c r="BP51"/>
  <c r="BL51"/>
  <c r="BM51" s="1"/>
  <c r="BH51"/>
  <c r="BI51" s="1"/>
  <c r="AZ51"/>
  <c r="BA51" s="1"/>
  <c r="BC51" s="1"/>
  <c r="AT51"/>
  <c r="AU51" s="1"/>
  <c r="AQ51"/>
  <c r="AR51" s="1"/>
  <c r="AK51"/>
  <c r="AL51" s="1"/>
  <c r="AG51"/>
  <c r="AH51" s="1"/>
  <c r="AC51"/>
  <c r="X51"/>
  <c r="Y51" s="1"/>
  <c r="T51"/>
  <c r="U51" s="1"/>
  <c r="P51"/>
  <c r="L51"/>
  <c r="M51" s="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CK50"/>
  <c r="CM50" s="1"/>
  <c r="CF50"/>
  <c r="CG50" s="1"/>
  <c r="CI50" s="1"/>
  <c r="BZ50"/>
  <c r="BV50"/>
  <c r="BW50" s="1"/>
  <c r="BP50"/>
  <c r="BQ50" s="1"/>
  <c r="BL50"/>
  <c r="BM50" s="1"/>
  <c r="BH50"/>
  <c r="BI50" s="1"/>
  <c r="AZ50"/>
  <c r="BB50" s="1"/>
  <c r="AT50"/>
  <c r="AQ50"/>
  <c r="AR50" s="1"/>
  <c r="AK50"/>
  <c r="AL50" s="1"/>
  <c r="AG50"/>
  <c r="AH50" s="1"/>
  <c r="AC50"/>
  <c r="AD50" s="1"/>
  <c r="X50"/>
  <c r="Y50" s="1"/>
  <c r="T50"/>
  <c r="U50" s="1"/>
  <c r="P50"/>
  <c r="Q50" s="1"/>
  <c r="L50"/>
  <c r="M50" s="1"/>
  <c r="L7"/>
  <c r="M7" s="1"/>
  <c r="P7"/>
  <c r="T7"/>
  <c r="U7" s="1"/>
  <c r="X7"/>
  <c r="Y7" s="1"/>
  <c r="AC7"/>
  <c r="AD7" s="1"/>
  <c r="AG7"/>
  <c r="AH7" s="1"/>
  <c r="AK7"/>
  <c r="AL7" s="1"/>
  <c r="AQ7"/>
  <c r="AR7" s="1"/>
  <c r="AT7"/>
  <c r="AU7" s="1"/>
  <c r="AZ7"/>
  <c r="BA7" s="1"/>
  <c r="BC7" s="1"/>
  <c r="BH7"/>
  <c r="BI7" s="1"/>
  <c r="BL7"/>
  <c r="BM7" s="1"/>
  <c r="BP7"/>
  <c r="BQ7" s="1"/>
  <c r="BV7"/>
  <c r="BW7" s="1"/>
  <c r="BZ7"/>
  <c r="CF7"/>
  <c r="CH7" s="1"/>
  <c r="CK7"/>
  <c r="CM7" s="1"/>
  <c r="L8"/>
  <c r="M8" s="1"/>
  <c r="P8"/>
  <c r="Q8" s="1"/>
  <c r="T8"/>
  <c r="U8" s="1"/>
  <c r="X8"/>
  <c r="Y8" s="1"/>
  <c r="AC8"/>
  <c r="AG8"/>
  <c r="AH8" s="1"/>
  <c r="AK8"/>
  <c r="AL8" s="1"/>
  <c r="AQ8"/>
  <c r="AR8" s="1"/>
  <c r="AT8"/>
  <c r="AU8" s="1"/>
  <c r="AZ8"/>
  <c r="BB8" s="1"/>
  <c r="BH8"/>
  <c r="BI8" s="1"/>
  <c r="BL8"/>
  <c r="BM8" s="1"/>
  <c r="BP8"/>
  <c r="BV8"/>
  <c r="BW8" s="1"/>
  <c r="BZ8"/>
  <c r="CA8" s="1"/>
  <c r="CF8"/>
  <c r="CH8" s="1"/>
  <c r="CK8"/>
  <c r="CM8" s="1"/>
  <c r="L9"/>
  <c r="M9" s="1"/>
  <c r="P9"/>
  <c r="T9"/>
  <c r="U9" s="1"/>
  <c r="X9"/>
  <c r="Y9" s="1"/>
  <c r="AC9"/>
  <c r="AD9" s="1"/>
  <c r="AG9"/>
  <c r="AH9" s="1"/>
  <c r="AK9"/>
  <c r="AL9" s="1"/>
  <c r="AQ9"/>
  <c r="AR9" s="1"/>
  <c r="AT9"/>
  <c r="AU9" s="1"/>
  <c r="AZ9"/>
  <c r="BA9" s="1"/>
  <c r="BC9" s="1"/>
  <c r="BH9"/>
  <c r="BI9" s="1"/>
  <c r="BL9"/>
  <c r="BM9" s="1"/>
  <c r="BP9"/>
  <c r="BV9"/>
  <c r="BW9" s="1"/>
  <c r="BZ9"/>
  <c r="CF9"/>
  <c r="CH9" s="1"/>
  <c r="CK9"/>
  <c r="CM9" s="1"/>
  <c r="L10"/>
  <c r="M10" s="1"/>
  <c r="P10"/>
  <c r="T10"/>
  <c r="U10" s="1"/>
  <c r="X10"/>
  <c r="Y10" s="1"/>
  <c r="AC10"/>
  <c r="AD10" s="1"/>
  <c r="AG10"/>
  <c r="AH10" s="1"/>
  <c r="AK10"/>
  <c r="AL10" s="1"/>
  <c r="AQ10"/>
  <c r="AR10" s="1"/>
  <c r="AT10"/>
  <c r="AU10" s="1"/>
  <c r="AZ10"/>
  <c r="BA10" s="1"/>
  <c r="BC10" s="1"/>
  <c r="BH10"/>
  <c r="BI10" s="1"/>
  <c r="BL10"/>
  <c r="BM10" s="1"/>
  <c r="BP10"/>
  <c r="BQ10" s="1"/>
  <c r="BV10"/>
  <c r="BW10" s="1"/>
  <c r="BZ10"/>
  <c r="CA10" s="1"/>
  <c r="CF10"/>
  <c r="CH10" s="1"/>
  <c r="CK10"/>
  <c r="CL10" s="1"/>
  <c r="CN10" s="1"/>
  <c r="L11"/>
  <c r="M11" s="1"/>
  <c r="P11"/>
  <c r="Q11" s="1"/>
  <c r="T11"/>
  <c r="U11" s="1"/>
  <c r="X11"/>
  <c r="Y11" s="1"/>
  <c r="AC11"/>
  <c r="AG11"/>
  <c r="AH11" s="1"/>
  <c r="AK11"/>
  <c r="AL11" s="1"/>
  <c r="AQ11"/>
  <c r="AR11" s="1"/>
  <c r="AT11"/>
  <c r="AZ11"/>
  <c r="BH11"/>
  <c r="BI11" s="1"/>
  <c r="BL11"/>
  <c r="BM11" s="1"/>
  <c r="BP11"/>
  <c r="BQ11" s="1"/>
  <c r="BV11"/>
  <c r="BW11" s="1"/>
  <c r="BZ11"/>
  <c r="CA11" s="1"/>
  <c r="CF11"/>
  <c r="CK11"/>
  <c r="CM11" s="1"/>
  <c r="L12"/>
  <c r="M12" s="1"/>
  <c r="P12"/>
  <c r="Q12" s="1"/>
  <c r="T12"/>
  <c r="U12" s="1"/>
  <c r="X12"/>
  <c r="Y12" s="1"/>
  <c r="AC12"/>
  <c r="AD12" s="1"/>
  <c r="AG12"/>
  <c r="AH12" s="1"/>
  <c r="AK12"/>
  <c r="AL12" s="1"/>
  <c r="AQ12"/>
  <c r="AR12" s="1"/>
  <c r="AT12"/>
  <c r="AZ12"/>
  <c r="BB12" s="1"/>
  <c r="BH12"/>
  <c r="BI12" s="1"/>
  <c r="BL12"/>
  <c r="BM12" s="1"/>
  <c r="BP12"/>
  <c r="BQ12" s="1"/>
  <c r="BV12"/>
  <c r="BW12" s="1"/>
  <c r="BZ12"/>
  <c r="CF12"/>
  <c r="CH12" s="1"/>
  <c r="CK12"/>
  <c r="L13"/>
  <c r="M13" s="1"/>
  <c r="P13"/>
  <c r="Q13" s="1"/>
  <c r="T13"/>
  <c r="U13" s="1"/>
  <c r="X13"/>
  <c r="Y13" s="1"/>
  <c r="AC13"/>
  <c r="AG13"/>
  <c r="AH13" s="1"/>
  <c r="AK13"/>
  <c r="AL13" s="1"/>
  <c r="AQ13"/>
  <c r="AR13" s="1"/>
  <c r="AT13"/>
  <c r="AZ13"/>
  <c r="BH13"/>
  <c r="BI13" s="1"/>
  <c r="BL13"/>
  <c r="BM13" s="1"/>
  <c r="BP13"/>
  <c r="BV13"/>
  <c r="BW13" s="1"/>
  <c r="BZ13"/>
  <c r="CA13" s="1"/>
  <c r="CF13"/>
  <c r="CG13" s="1"/>
  <c r="CI13" s="1"/>
  <c r="CK13"/>
  <c r="CL13" s="1"/>
  <c r="CN13" s="1"/>
  <c r="L14"/>
  <c r="M14" s="1"/>
  <c r="P14"/>
  <c r="Q14" s="1"/>
  <c r="T14"/>
  <c r="U14" s="1"/>
  <c r="X14"/>
  <c r="AC14"/>
  <c r="AD14" s="1"/>
  <c r="AG14"/>
  <c r="AH14" s="1"/>
  <c r="AK14"/>
  <c r="AL14" s="1"/>
  <c r="AQ14"/>
  <c r="AR14" s="1"/>
  <c r="AT14"/>
  <c r="AZ14"/>
  <c r="BB14" s="1"/>
  <c r="BH14"/>
  <c r="BI14" s="1"/>
  <c r="BL14"/>
  <c r="BM14" s="1"/>
  <c r="BP14"/>
  <c r="BQ14" s="1"/>
  <c r="BV14"/>
  <c r="BW14" s="1"/>
  <c r="BZ14"/>
  <c r="CF14"/>
  <c r="CH14" s="1"/>
  <c r="CK14"/>
  <c r="CM14" s="1"/>
  <c r="L15"/>
  <c r="M15" s="1"/>
  <c r="P15"/>
  <c r="Q15" s="1"/>
  <c r="T15"/>
  <c r="U15" s="1"/>
  <c r="X15"/>
  <c r="Y15" s="1"/>
  <c r="AC15"/>
  <c r="AG15"/>
  <c r="AH15" s="1"/>
  <c r="AK15"/>
  <c r="AL15" s="1"/>
  <c r="AQ15"/>
  <c r="AR15" s="1"/>
  <c r="AT15"/>
  <c r="AZ15"/>
  <c r="BB15" s="1"/>
  <c r="BH15"/>
  <c r="BI15" s="1"/>
  <c r="BL15"/>
  <c r="BM15" s="1"/>
  <c r="BP15"/>
  <c r="BV15"/>
  <c r="BW15" s="1"/>
  <c r="BZ15"/>
  <c r="CF15"/>
  <c r="CK15"/>
  <c r="L16"/>
  <c r="M16" s="1"/>
  <c r="P16"/>
  <c r="Q16" s="1"/>
  <c r="T16"/>
  <c r="X16"/>
  <c r="Y16" s="1"/>
  <c r="AC16"/>
  <c r="AG16"/>
  <c r="AH16" s="1"/>
  <c r="AK16"/>
  <c r="AL16" s="1"/>
  <c r="AQ16"/>
  <c r="AR16" s="1"/>
  <c r="AT16"/>
  <c r="AZ16"/>
  <c r="BB16" s="1"/>
  <c r="BH16"/>
  <c r="BI16" s="1"/>
  <c r="BL16"/>
  <c r="BM16" s="1"/>
  <c r="BP16"/>
  <c r="BQ16" s="1"/>
  <c r="BV16"/>
  <c r="BW16" s="1"/>
  <c r="BZ16"/>
  <c r="CA16" s="1"/>
  <c r="CF16"/>
  <c r="CG16" s="1"/>
  <c r="CI16" s="1"/>
  <c r="CK16"/>
  <c r="L17"/>
  <c r="M17" s="1"/>
  <c r="P17"/>
  <c r="T17"/>
  <c r="U17" s="1"/>
  <c r="X17"/>
  <c r="Y17" s="1"/>
  <c r="AC17"/>
  <c r="AG17"/>
  <c r="AH17" s="1"/>
  <c r="AK17"/>
  <c r="AL17" s="1"/>
  <c r="AQ17"/>
  <c r="AR17" s="1"/>
  <c r="AT17"/>
  <c r="AZ17"/>
  <c r="BB17" s="1"/>
  <c r="BH17"/>
  <c r="BI17" s="1"/>
  <c r="BL17"/>
  <c r="BM17" s="1"/>
  <c r="BP17"/>
  <c r="BQ17" s="1"/>
  <c r="BV17"/>
  <c r="BW17" s="1"/>
  <c r="BZ17"/>
  <c r="CF17"/>
  <c r="CH17" s="1"/>
  <c r="CK17"/>
  <c r="L18"/>
  <c r="M18" s="1"/>
  <c r="P18"/>
  <c r="Q18" s="1"/>
  <c r="T18"/>
  <c r="U18" s="1"/>
  <c r="X18"/>
  <c r="Y18" s="1"/>
  <c r="AC18"/>
  <c r="AD18" s="1"/>
  <c r="AG18"/>
  <c r="AH18" s="1"/>
  <c r="AK18"/>
  <c r="AL18" s="1"/>
  <c r="AQ18"/>
  <c r="AR18" s="1"/>
  <c r="AT18"/>
  <c r="AZ18"/>
  <c r="BH18"/>
  <c r="BI18" s="1"/>
  <c r="BL18"/>
  <c r="BM18" s="1"/>
  <c r="BP18"/>
  <c r="BQ18" s="1"/>
  <c r="BV18"/>
  <c r="BW18" s="1"/>
  <c r="BZ18"/>
  <c r="CA18" s="1"/>
  <c r="CF18"/>
  <c r="CH18" s="1"/>
  <c r="CK18"/>
  <c r="CL18" s="1"/>
  <c r="CN18" s="1"/>
  <c r="L19"/>
  <c r="M19" s="1"/>
  <c r="P19"/>
  <c r="Q19" s="1"/>
  <c r="T19"/>
  <c r="U19" s="1"/>
  <c r="X19"/>
  <c r="Y19" s="1"/>
  <c r="AC19"/>
  <c r="AD19" s="1"/>
  <c r="AG19"/>
  <c r="AH19" s="1"/>
  <c r="AK19"/>
  <c r="AL19" s="1"/>
  <c r="AQ19"/>
  <c r="AR19" s="1"/>
  <c r="AT19"/>
  <c r="AU19" s="1"/>
  <c r="AZ19"/>
  <c r="BH19"/>
  <c r="BI19" s="1"/>
  <c r="BL19"/>
  <c r="BM19" s="1"/>
  <c r="BP19"/>
  <c r="BV19"/>
  <c r="BW19" s="1"/>
  <c r="BZ19"/>
  <c r="CA19" s="1"/>
  <c r="CF19"/>
  <c r="CK19"/>
  <c r="CM19" s="1"/>
  <c r="L20"/>
  <c r="M20" s="1"/>
  <c r="P20"/>
  <c r="T20"/>
  <c r="U20" s="1"/>
  <c r="X20"/>
  <c r="Y20" s="1"/>
  <c r="AC20"/>
  <c r="AD20" s="1"/>
  <c r="AG20"/>
  <c r="AH20" s="1"/>
  <c r="AK20"/>
  <c r="AL20" s="1"/>
  <c r="AQ20"/>
  <c r="AR20" s="1"/>
  <c r="AT20"/>
  <c r="AZ20"/>
  <c r="BB20" s="1"/>
  <c r="BH20"/>
  <c r="BI20" s="1"/>
  <c r="BL20"/>
  <c r="BM20" s="1"/>
  <c r="BP20"/>
  <c r="BV20"/>
  <c r="BW20" s="1"/>
  <c r="BZ20"/>
  <c r="CF20"/>
  <c r="CH20" s="1"/>
  <c r="CK20"/>
  <c r="CM20" s="1"/>
  <c r="L21"/>
  <c r="M21" s="1"/>
  <c r="P21"/>
  <c r="T21"/>
  <c r="U21" s="1"/>
  <c r="X21"/>
  <c r="Y21" s="1"/>
  <c r="AC21"/>
  <c r="AD21" s="1"/>
  <c r="AG21"/>
  <c r="AH21" s="1"/>
  <c r="AK21"/>
  <c r="AL21" s="1"/>
  <c r="AQ21"/>
  <c r="AR21" s="1"/>
  <c r="AT21"/>
  <c r="AZ21"/>
  <c r="BB21" s="1"/>
  <c r="BH21"/>
  <c r="BI21" s="1"/>
  <c r="BL21"/>
  <c r="BM21" s="1"/>
  <c r="BP21"/>
  <c r="BQ21" s="1"/>
  <c r="BV21"/>
  <c r="BW21" s="1"/>
  <c r="BZ21"/>
  <c r="CA21" s="1"/>
  <c r="CF21"/>
  <c r="CK21"/>
  <c r="CM21" s="1"/>
  <c r="L22"/>
  <c r="M22" s="1"/>
  <c r="P22"/>
  <c r="Q22" s="1"/>
  <c r="T22"/>
  <c r="U22" s="1"/>
  <c r="X22"/>
  <c r="Y22" s="1"/>
  <c r="AC22"/>
  <c r="AG22"/>
  <c r="AH22" s="1"/>
  <c r="AK22"/>
  <c r="AL22" s="1"/>
  <c r="AQ22"/>
  <c r="AR22" s="1"/>
  <c r="AT22"/>
  <c r="AZ22"/>
  <c r="BB22" s="1"/>
  <c r="BH22"/>
  <c r="BI22" s="1"/>
  <c r="BL22"/>
  <c r="BM22" s="1"/>
  <c r="BP22"/>
  <c r="BQ22" s="1"/>
  <c r="BV22"/>
  <c r="BZ22"/>
  <c r="CA22" s="1"/>
  <c r="CF22"/>
  <c r="CG22" s="1"/>
  <c r="CI22" s="1"/>
  <c r="CK22"/>
  <c r="L23"/>
  <c r="M23" s="1"/>
  <c r="P23"/>
  <c r="Q23" s="1"/>
  <c r="T23"/>
  <c r="X23"/>
  <c r="Y23" s="1"/>
  <c r="AC23"/>
  <c r="AG23"/>
  <c r="AH23" s="1"/>
  <c r="AK23"/>
  <c r="AL23" s="1"/>
  <c r="AQ23"/>
  <c r="AR23" s="1"/>
  <c r="AT23"/>
  <c r="AU23" s="1"/>
  <c r="AZ23"/>
  <c r="BB23" s="1"/>
  <c r="BH23"/>
  <c r="BI23" s="1"/>
  <c r="BL23"/>
  <c r="BM23" s="1"/>
  <c r="BP23"/>
  <c r="BQ23" s="1"/>
  <c r="BV23"/>
  <c r="BW23" s="1"/>
  <c r="BZ23"/>
  <c r="CF23"/>
  <c r="CH23" s="1"/>
  <c r="CK23"/>
  <c r="CM23" s="1"/>
  <c r="L24"/>
  <c r="M24" s="1"/>
  <c r="P24"/>
  <c r="T24"/>
  <c r="U24" s="1"/>
  <c r="X24"/>
  <c r="Y24" s="1"/>
  <c r="AC24"/>
  <c r="AD24" s="1"/>
  <c r="AG24"/>
  <c r="AH24" s="1"/>
  <c r="AK24"/>
  <c r="AL24" s="1"/>
  <c r="AQ24"/>
  <c r="AR24" s="1"/>
  <c r="AT24"/>
  <c r="AU24" s="1"/>
  <c r="AZ24"/>
  <c r="BB24" s="1"/>
  <c r="BH24"/>
  <c r="BI24" s="1"/>
  <c r="BL24"/>
  <c r="BM24" s="1"/>
  <c r="BP24"/>
  <c r="BV24"/>
  <c r="BW24" s="1"/>
  <c r="BZ24"/>
  <c r="CF24"/>
  <c r="CH24" s="1"/>
  <c r="CK24"/>
  <c r="CL24" s="1"/>
  <c r="CN24" s="1"/>
  <c r="L25"/>
  <c r="M25" s="1"/>
  <c r="P25"/>
  <c r="Q25" s="1"/>
  <c r="T25"/>
  <c r="U25" s="1"/>
  <c r="X25"/>
  <c r="Y25" s="1"/>
  <c r="AC25"/>
  <c r="AD25" s="1"/>
  <c r="AG25"/>
  <c r="AH25" s="1"/>
  <c r="AK25"/>
  <c r="AL25" s="1"/>
  <c r="AQ25"/>
  <c r="AR25" s="1"/>
  <c r="AT25"/>
  <c r="AZ25"/>
  <c r="BB25" s="1"/>
  <c r="BH25"/>
  <c r="BI25" s="1"/>
  <c r="BL25"/>
  <c r="BM25" s="1"/>
  <c r="BP25"/>
  <c r="BV25"/>
  <c r="BW25" s="1"/>
  <c r="BZ25"/>
  <c r="CA25" s="1"/>
  <c r="CF25"/>
  <c r="CK25"/>
  <c r="CM25" s="1"/>
  <c r="L26"/>
  <c r="M26" s="1"/>
  <c r="P26"/>
  <c r="Q26" s="1"/>
  <c r="T26"/>
  <c r="U26" s="1"/>
  <c r="X26"/>
  <c r="Y26" s="1"/>
  <c r="AC26"/>
  <c r="AD26" s="1"/>
  <c r="AG26"/>
  <c r="AH26" s="1"/>
  <c r="AK26"/>
  <c r="AL26" s="1"/>
  <c r="AQ26"/>
  <c r="AZ26"/>
  <c r="BH26"/>
  <c r="BI26" s="1"/>
  <c r="BL26"/>
  <c r="BM26" s="1"/>
  <c r="BP26"/>
  <c r="BV26"/>
  <c r="BW26" s="1"/>
  <c r="BZ26"/>
  <c r="CA26" s="1"/>
  <c r="CF26"/>
  <c r="CK26"/>
  <c r="CM26" s="1"/>
  <c r="L27"/>
  <c r="M27" s="1"/>
  <c r="P27"/>
  <c r="T27"/>
  <c r="U27" s="1"/>
  <c r="X27"/>
  <c r="Y27" s="1"/>
  <c r="AC27"/>
  <c r="AD27" s="1"/>
  <c r="AG27"/>
  <c r="AH27" s="1"/>
  <c r="AK27"/>
  <c r="AL27" s="1"/>
  <c r="AQ27"/>
  <c r="AR27" s="1"/>
  <c r="AT27"/>
  <c r="AU27" s="1"/>
  <c r="AZ27"/>
  <c r="BB27" s="1"/>
  <c r="BH27"/>
  <c r="BI27" s="1"/>
  <c r="BL27"/>
  <c r="BM27" s="1"/>
  <c r="BP27"/>
  <c r="BQ27" s="1"/>
  <c r="BV27"/>
  <c r="BZ27"/>
  <c r="CA27" s="1"/>
  <c r="CF27"/>
  <c r="CH27" s="1"/>
  <c r="CK27"/>
  <c r="L28"/>
  <c r="M28" s="1"/>
  <c r="P28"/>
  <c r="T28"/>
  <c r="U28" s="1"/>
  <c r="X28"/>
  <c r="Y28" s="1"/>
  <c r="AC28"/>
  <c r="AG28"/>
  <c r="AH28" s="1"/>
  <c r="AK28"/>
  <c r="AL28" s="1"/>
  <c r="AQ28"/>
  <c r="AR28" s="1"/>
  <c r="AT28"/>
  <c r="AU28" s="1"/>
  <c r="AZ28"/>
  <c r="BB28" s="1"/>
  <c r="BH28"/>
  <c r="BI28" s="1"/>
  <c r="BL28"/>
  <c r="BM28" s="1"/>
  <c r="BP28"/>
  <c r="BV28"/>
  <c r="BW28" s="1"/>
  <c r="BZ28"/>
  <c r="CF28"/>
  <c r="CH28" s="1"/>
  <c r="CK28"/>
  <c r="CM28" s="1"/>
  <c r="L29"/>
  <c r="M29" s="1"/>
  <c r="P29"/>
  <c r="Q29" s="1"/>
  <c r="T29"/>
  <c r="U29" s="1"/>
  <c r="X29"/>
  <c r="Y29" s="1"/>
  <c r="AC29"/>
  <c r="AD29" s="1"/>
  <c r="AG29"/>
  <c r="AH29" s="1"/>
  <c r="AK29"/>
  <c r="AL29" s="1"/>
  <c r="AQ29"/>
  <c r="AR29" s="1"/>
  <c r="AT29"/>
  <c r="AZ29"/>
  <c r="BH29"/>
  <c r="BI29" s="1"/>
  <c r="BL29"/>
  <c r="BM29" s="1"/>
  <c r="BP29"/>
  <c r="BQ29" s="1"/>
  <c r="BV29"/>
  <c r="BW29" s="1"/>
  <c r="BZ29"/>
  <c r="CA29" s="1"/>
  <c r="CF29"/>
  <c r="CH29" s="1"/>
  <c r="CK29"/>
  <c r="CM29" s="1"/>
  <c r="L30"/>
  <c r="M30" s="1"/>
  <c r="P30"/>
  <c r="Q30" s="1"/>
  <c r="T30"/>
  <c r="U30" s="1"/>
  <c r="X30"/>
  <c r="Y30" s="1"/>
  <c r="AC30"/>
  <c r="AD30" s="1"/>
  <c r="AG30"/>
  <c r="AH30" s="1"/>
  <c r="AK30"/>
  <c r="AL30" s="1"/>
  <c r="AQ30"/>
  <c r="AR30" s="1"/>
  <c r="AT30"/>
  <c r="AZ30"/>
  <c r="BB30" s="1"/>
  <c r="BH30"/>
  <c r="BI30" s="1"/>
  <c r="BL30"/>
  <c r="BM30" s="1"/>
  <c r="BP30"/>
  <c r="BQ30" s="1"/>
  <c r="BV30"/>
  <c r="BW30" s="1"/>
  <c r="BZ30"/>
  <c r="CF30"/>
  <c r="CH30" s="1"/>
  <c r="CK30"/>
  <c r="CM30" s="1"/>
  <c r="L31"/>
  <c r="M31" s="1"/>
  <c r="P31"/>
  <c r="T31"/>
  <c r="U31" s="1"/>
  <c r="X31"/>
  <c r="Y31" s="1"/>
  <c r="AC31"/>
  <c r="AD31" s="1"/>
  <c r="AG31"/>
  <c r="AH31" s="1"/>
  <c r="AK31"/>
  <c r="AL31" s="1"/>
  <c r="AQ31"/>
  <c r="AR31" s="1"/>
  <c r="AT31"/>
  <c r="AU31" s="1"/>
  <c r="AZ31"/>
  <c r="BB31" s="1"/>
  <c r="BH31"/>
  <c r="BI31" s="1"/>
  <c r="BL31"/>
  <c r="BM31" s="1"/>
  <c r="BP31"/>
  <c r="BV31"/>
  <c r="BW31" s="1"/>
  <c r="BZ31"/>
  <c r="CF31"/>
  <c r="CH31" s="1"/>
  <c r="CK31"/>
  <c r="CL31" s="1"/>
  <c r="CN31" s="1"/>
  <c r="L32"/>
  <c r="M32" s="1"/>
  <c r="P32"/>
  <c r="Q32" s="1"/>
  <c r="T32"/>
  <c r="U32" s="1"/>
  <c r="X32"/>
  <c r="Y32" s="1"/>
  <c r="AC32"/>
  <c r="AD32" s="1"/>
  <c r="AG32"/>
  <c r="AK32"/>
  <c r="AL32" s="1"/>
  <c r="AQ32"/>
  <c r="AR32" s="1"/>
  <c r="AT32"/>
  <c r="AZ32"/>
  <c r="BH32"/>
  <c r="BI32" s="1"/>
  <c r="BL32"/>
  <c r="BM32" s="1"/>
  <c r="BP32"/>
  <c r="BQ32" s="1"/>
  <c r="BV32"/>
  <c r="BW32" s="1"/>
  <c r="BZ32"/>
  <c r="CF32"/>
  <c r="CK32"/>
  <c r="CM32" s="1"/>
  <c r="L33"/>
  <c r="M33" s="1"/>
  <c r="P33"/>
  <c r="Q33" s="1"/>
  <c r="T33"/>
  <c r="U33" s="1"/>
  <c r="X33"/>
  <c r="Y33" s="1"/>
  <c r="AC33"/>
  <c r="AD33" s="1"/>
  <c r="AG33"/>
  <c r="AH33" s="1"/>
  <c r="AK33"/>
  <c r="AL33" s="1"/>
  <c r="AQ33"/>
  <c r="AR33" s="1"/>
  <c r="AT33"/>
  <c r="AU33" s="1"/>
  <c r="AZ33"/>
  <c r="BB33" s="1"/>
  <c r="BH33"/>
  <c r="BI33" s="1"/>
  <c r="BL33"/>
  <c r="BM33" s="1"/>
  <c r="BP33"/>
  <c r="BQ33" s="1"/>
  <c r="BV33"/>
  <c r="BW33" s="1"/>
  <c r="BZ33"/>
  <c r="CF33"/>
  <c r="CK33"/>
  <c r="CM33" s="1"/>
  <c r="L34"/>
  <c r="M34" s="1"/>
  <c r="P34"/>
  <c r="Q34" s="1"/>
  <c r="T34"/>
  <c r="U34" s="1"/>
  <c r="X34"/>
  <c r="Y34" s="1"/>
  <c r="AC34"/>
  <c r="AD34" s="1"/>
  <c r="AG34"/>
  <c r="AH34" s="1"/>
  <c r="AK34"/>
  <c r="AL34" s="1"/>
  <c r="AQ34"/>
  <c r="AR34" s="1"/>
  <c r="AT34"/>
  <c r="AU34" s="1"/>
  <c r="AZ34"/>
  <c r="BB34" s="1"/>
  <c r="BH34"/>
  <c r="BI34" s="1"/>
  <c r="BL34"/>
  <c r="BM34" s="1"/>
  <c r="BP34"/>
  <c r="BV34"/>
  <c r="BW34" s="1"/>
  <c r="BZ34"/>
  <c r="CF34"/>
  <c r="CK34"/>
  <c r="CM34" s="1"/>
  <c r="L35"/>
  <c r="M35" s="1"/>
  <c r="P35"/>
  <c r="Q35" s="1"/>
  <c r="T35"/>
  <c r="U35" s="1"/>
  <c r="X35"/>
  <c r="Y35" s="1"/>
  <c r="AC35"/>
  <c r="AD35" s="1"/>
  <c r="AG35"/>
  <c r="AH35" s="1"/>
  <c r="AK35"/>
  <c r="AL35" s="1"/>
  <c r="AQ35"/>
  <c r="AR35" s="1"/>
  <c r="AT35"/>
  <c r="AU35" s="1"/>
  <c r="AZ35"/>
  <c r="BB35" s="1"/>
  <c r="BH35"/>
  <c r="BI35" s="1"/>
  <c r="BL35"/>
  <c r="BM35" s="1"/>
  <c r="BP35"/>
  <c r="BQ35" s="1"/>
  <c r="BV35"/>
  <c r="BW35" s="1"/>
  <c r="BZ35"/>
  <c r="CF35"/>
  <c r="CK35"/>
  <c r="CM35" s="1"/>
  <c r="L36"/>
  <c r="M36" s="1"/>
  <c r="P36"/>
  <c r="Q36" s="1"/>
  <c r="T36"/>
  <c r="U36" s="1"/>
  <c r="X36"/>
  <c r="Y36" s="1"/>
  <c r="AC36"/>
  <c r="AG36"/>
  <c r="AH36" s="1"/>
  <c r="AK36"/>
  <c r="AL36" s="1"/>
  <c r="AQ36"/>
  <c r="AR36" s="1"/>
  <c r="AT36"/>
  <c r="AU36" s="1"/>
  <c r="AZ36"/>
  <c r="BB36" s="1"/>
  <c r="BH36"/>
  <c r="BI36" s="1"/>
  <c r="BL36"/>
  <c r="BM36" s="1"/>
  <c r="BP36"/>
  <c r="BV36"/>
  <c r="BW36" s="1"/>
  <c r="BZ36"/>
  <c r="CA36" s="1"/>
  <c r="CF36"/>
  <c r="CH36" s="1"/>
  <c r="CK36"/>
  <c r="CM36" s="1"/>
  <c r="L37"/>
  <c r="M37" s="1"/>
  <c r="P37"/>
  <c r="T37"/>
  <c r="U37" s="1"/>
  <c r="X37"/>
  <c r="Y37" s="1"/>
  <c r="AC37"/>
  <c r="AG37"/>
  <c r="AH37" s="1"/>
  <c r="AK37"/>
  <c r="AL37" s="1"/>
  <c r="AQ37"/>
  <c r="AR37" s="1"/>
  <c r="AT37"/>
  <c r="AZ37"/>
  <c r="BA37" s="1"/>
  <c r="BC37" s="1"/>
  <c r="BH37"/>
  <c r="BI37" s="1"/>
  <c r="BL37"/>
  <c r="BM37" s="1"/>
  <c r="BP37"/>
  <c r="BV37"/>
  <c r="BZ37"/>
  <c r="CA37" s="1"/>
  <c r="CF37"/>
  <c r="CH37" s="1"/>
  <c r="CK37"/>
  <c r="CM37" s="1"/>
  <c r="L38"/>
  <c r="M38" s="1"/>
  <c r="P38"/>
  <c r="Q38" s="1"/>
  <c r="T38"/>
  <c r="U38" s="1"/>
  <c r="X38"/>
  <c r="Y38" s="1"/>
  <c r="AC38"/>
  <c r="AG38"/>
  <c r="AH38" s="1"/>
  <c r="AK38"/>
  <c r="AL38" s="1"/>
  <c r="AQ38"/>
  <c r="AR38" s="1"/>
  <c r="AT38"/>
  <c r="AZ38"/>
  <c r="BB38" s="1"/>
  <c r="BH38"/>
  <c r="BI38" s="1"/>
  <c r="BL38"/>
  <c r="BM38" s="1"/>
  <c r="BP38"/>
  <c r="BV38"/>
  <c r="BW38" s="1"/>
  <c r="BZ38"/>
  <c r="CF38"/>
  <c r="CH38" s="1"/>
  <c r="CK38"/>
  <c r="CM38" s="1"/>
  <c r="L39"/>
  <c r="M39" s="1"/>
  <c r="P39"/>
  <c r="T39"/>
  <c r="U39" s="1"/>
  <c r="X39"/>
  <c r="Y39" s="1"/>
  <c r="AC39"/>
  <c r="AG39"/>
  <c r="AH39" s="1"/>
  <c r="AK39"/>
  <c r="AL39" s="1"/>
  <c r="AQ39"/>
  <c r="AR39" s="1"/>
  <c r="AT39"/>
  <c r="AU39" s="1"/>
  <c r="AZ39"/>
  <c r="BH39"/>
  <c r="BI39" s="1"/>
  <c r="BL39"/>
  <c r="BM39" s="1"/>
  <c r="BP39"/>
  <c r="BV39"/>
  <c r="BZ39"/>
  <c r="CF39"/>
  <c r="CH39" s="1"/>
  <c r="CK39"/>
  <c r="CL39" s="1"/>
  <c r="CN39" s="1"/>
  <c r="L40"/>
  <c r="M40" s="1"/>
  <c r="P40"/>
  <c r="Q40" s="1"/>
  <c r="T40"/>
  <c r="U40" s="1"/>
  <c r="X40"/>
  <c r="Y40" s="1"/>
  <c r="AC40"/>
  <c r="AD40" s="1"/>
  <c r="AG40"/>
  <c r="AH40" s="1"/>
  <c r="AK40"/>
  <c r="AL40" s="1"/>
  <c r="AQ40"/>
  <c r="AR40" s="1"/>
  <c r="AT40"/>
  <c r="AZ40"/>
  <c r="BB40" s="1"/>
  <c r="BH40"/>
  <c r="BI40" s="1"/>
  <c r="BL40"/>
  <c r="BM40" s="1"/>
  <c r="BP40"/>
  <c r="BV40"/>
  <c r="BW40" s="1"/>
  <c r="BZ40"/>
  <c r="CA40" s="1"/>
  <c r="CF40"/>
  <c r="CH40" s="1"/>
  <c r="CK40"/>
  <c r="L41"/>
  <c r="M41" s="1"/>
  <c r="P41"/>
  <c r="Q41" s="1"/>
  <c r="T41"/>
  <c r="U41" s="1"/>
  <c r="X41"/>
  <c r="Y41" s="1"/>
  <c r="AC41"/>
  <c r="AD41" s="1"/>
  <c r="AG41"/>
  <c r="AH41" s="1"/>
  <c r="AK41"/>
  <c r="AL41" s="1"/>
  <c r="AQ41"/>
  <c r="AR41" s="1"/>
  <c r="AT41"/>
  <c r="AZ41"/>
  <c r="BB41" s="1"/>
  <c r="BH41"/>
  <c r="BI41" s="1"/>
  <c r="BL41"/>
  <c r="BM41" s="1"/>
  <c r="BP41"/>
  <c r="BQ41" s="1"/>
  <c r="BV41"/>
  <c r="BW41" s="1"/>
  <c r="BZ41"/>
  <c r="CF41"/>
  <c r="CG41" s="1"/>
  <c r="CI41" s="1"/>
  <c r="CK41"/>
  <c r="CL41" s="1"/>
  <c r="CN41" s="1"/>
  <c r="P42"/>
  <c r="Q42" s="1"/>
  <c r="T42"/>
  <c r="U42" s="1"/>
  <c r="X42"/>
  <c r="Y42" s="1"/>
  <c r="AC42"/>
  <c r="AD42" s="1"/>
  <c r="AG42"/>
  <c r="AH42" s="1"/>
  <c r="AK42"/>
  <c r="AL42" s="1"/>
  <c r="AQ42"/>
  <c r="AR42" s="1"/>
  <c r="AT42"/>
  <c r="AU42" s="1"/>
  <c r="AZ42"/>
  <c r="BB42" s="1"/>
  <c r="BH42"/>
  <c r="BI42" s="1"/>
  <c r="BL42"/>
  <c r="BM42" s="1"/>
  <c r="BP42"/>
  <c r="BV42"/>
  <c r="BW42" s="1"/>
  <c r="BZ42"/>
  <c r="CF42"/>
  <c r="CH42" s="1"/>
  <c r="CK42"/>
  <c r="CM42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DB46" i="11"/>
  <c r="DD46" s="1"/>
  <c r="DA46"/>
  <c r="DC46" s="1"/>
  <c r="CV46"/>
  <c r="CX46" s="1"/>
  <c r="CU46"/>
  <c r="CW46" s="1"/>
  <c r="CO46"/>
  <c r="CN46"/>
  <c r="CP46" s="1"/>
  <c r="CQ46" s="1"/>
  <c r="CJ46"/>
  <c r="CI46"/>
  <c r="CC46"/>
  <c r="CB46"/>
  <c r="BX46"/>
  <c r="BW46"/>
  <c r="CD46" s="1"/>
  <c r="CE46" s="1"/>
  <c r="BS46"/>
  <c r="BR46"/>
  <c r="BJ46"/>
  <c r="BL46" s="1"/>
  <c r="BI46"/>
  <c r="BK46" s="1"/>
  <c r="BC46"/>
  <c r="BB46"/>
  <c r="BD46" s="1"/>
  <c r="BE46" s="1"/>
  <c r="AY46"/>
  <c r="AX46"/>
  <c r="AR46"/>
  <c r="AQ46"/>
  <c r="AM46"/>
  <c r="AL46"/>
  <c r="AS46" s="1"/>
  <c r="AT46" s="1"/>
  <c r="AH46"/>
  <c r="AG46"/>
  <c r="AB46"/>
  <c r="AA46"/>
  <c r="W46"/>
  <c r="V46"/>
  <c r="BM46" s="1"/>
  <c r="R46"/>
  <c r="Q46"/>
  <c r="DB45"/>
  <c r="DD45" s="1"/>
  <c r="DA45"/>
  <c r="DC45" s="1"/>
  <c r="CV45"/>
  <c r="CX45" s="1"/>
  <c r="CU45"/>
  <c r="CW45" s="1"/>
  <c r="CO45"/>
  <c r="CN45"/>
  <c r="CP45" s="1"/>
  <c r="CQ45" s="1"/>
  <c r="CJ45"/>
  <c r="CI45"/>
  <c r="CC45"/>
  <c r="CB45"/>
  <c r="BX45"/>
  <c r="BW45"/>
  <c r="CD45" s="1"/>
  <c r="CE45" s="1"/>
  <c r="BS45"/>
  <c r="BR45"/>
  <c r="BJ45"/>
  <c r="BL45" s="1"/>
  <c r="BI45"/>
  <c r="BK45" s="1"/>
  <c r="BC45"/>
  <c r="BB45"/>
  <c r="BD45" s="1"/>
  <c r="BE45" s="1"/>
  <c r="AY45"/>
  <c r="AX45"/>
  <c r="AR45"/>
  <c r="AQ45"/>
  <c r="AM45"/>
  <c r="AL45"/>
  <c r="AS45" s="1"/>
  <c r="AT45" s="1"/>
  <c r="AH45"/>
  <c r="AG45"/>
  <c r="AB45"/>
  <c r="AA45"/>
  <c r="W45"/>
  <c r="V45"/>
  <c r="BM45" s="1"/>
  <c r="R45"/>
  <c r="Q45"/>
  <c r="DB44"/>
  <c r="DD44" s="1"/>
  <c r="DA44"/>
  <c r="DC44" s="1"/>
  <c r="CV44"/>
  <c r="CX44" s="1"/>
  <c r="CU44"/>
  <c r="CW44" s="1"/>
  <c r="CO44"/>
  <c r="CN44"/>
  <c r="CP44" s="1"/>
  <c r="CQ44" s="1"/>
  <c r="CJ44"/>
  <c r="CI44"/>
  <c r="CC44"/>
  <c r="CB44"/>
  <c r="BX44"/>
  <c r="BW44"/>
  <c r="CD44" s="1"/>
  <c r="CE44" s="1"/>
  <c r="BS44"/>
  <c r="BR44"/>
  <c r="BJ44"/>
  <c r="BL44" s="1"/>
  <c r="BI44"/>
  <c r="BK44" s="1"/>
  <c r="BC44"/>
  <c r="BB44"/>
  <c r="BD44" s="1"/>
  <c r="BE44" s="1"/>
  <c r="AY44"/>
  <c r="AX44"/>
  <c r="AR44"/>
  <c r="AQ44"/>
  <c r="AM44"/>
  <c r="AL44"/>
  <c r="AS44" s="1"/>
  <c r="AT44" s="1"/>
  <c r="AH44"/>
  <c r="AG44"/>
  <c r="AB44"/>
  <c r="AA44"/>
  <c r="W44"/>
  <c r="V44"/>
  <c r="BM44" s="1"/>
  <c r="R44"/>
  <c r="Q44"/>
  <c r="DB43"/>
  <c r="DD43" s="1"/>
  <c r="DA43"/>
  <c r="DC43" s="1"/>
  <c r="CV43"/>
  <c r="CX43" s="1"/>
  <c r="CU43"/>
  <c r="CW43" s="1"/>
  <c r="CO43"/>
  <c r="CN43"/>
  <c r="CP43" s="1"/>
  <c r="CQ43" s="1"/>
  <c r="CJ43"/>
  <c r="CI43"/>
  <c r="CC43"/>
  <c r="CB43"/>
  <c r="BX43"/>
  <c r="BW43"/>
  <c r="CD43" s="1"/>
  <c r="CE43" s="1"/>
  <c r="BS43"/>
  <c r="BR43"/>
  <c r="BJ43"/>
  <c r="BL43" s="1"/>
  <c r="BI43"/>
  <c r="BK43" s="1"/>
  <c r="BC43"/>
  <c r="BB43"/>
  <c r="BD43" s="1"/>
  <c r="BE43" s="1"/>
  <c r="AY43"/>
  <c r="AX43"/>
  <c r="AR43"/>
  <c r="AQ43"/>
  <c r="AM43"/>
  <c r="AL43"/>
  <c r="AS43" s="1"/>
  <c r="AT43" s="1"/>
  <c r="AH43"/>
  <c r="AG43"/>
  <c r="AB43"/>
  <c r="AA43"/>
  <c r="W43"/>
  <c r="V43"/>
  <c r="BM43" s="1"/>
  <c r="R43"/>
  <c r="Q43"/>
  <c r="DA42"/>
  <c r="DC42" s="1"/>
  <c r="CU42"/>
  <c r="CW42" s="1"/>
  <c r="CN42"/>
  <c r="CP42" s="1"/>
  <c r="CJ42"/>
  <c r="CI42"/>
  <c r="CC42"/>
  <c r="CB42"/>
  <c r="BW42"/>
  <c r="CD42" s="1"/>
  <c r="CE42" s="1"/>
  <c r="BS42"/>
  <c r="BR42"/>
  <c r="BI42"/>
  <c r="BK42" s="1"/>
  <c r="BB42"/>
  <c r="BD42" s="1"/>
  <c r="AY42"/>
  <c r="AX42"/>
  <c r="AR42"/>
  <c r="AQ42"/>
  <c r="AL42"/>
  <c r="AS42" s="1"/>
  <c r="AH42"/>
  <c r="AG42"/>
  <c r="AB42"/>
  <c r="AA42"/>
  <c r="V42"/>
  <c r="BM42" s="1"/>
  <c r="R42"/>
  <c r="Q42"/>
  <c r="DA41"/>
  <c r="DC41" s="1"/>
  <c r="CU41"/>
  <c r="CW41" s="1"/>
  <c r="CN41"/>
  <c r="CP41" s="1"/>
  <c r="CJ41"/>
  <c r="CI41"/>
  <c r="CC41"/>
  <c r="CB41"/>
  <c r="BW41"/>
  <c r="CD41" s="1"/>
  <c r="CE41" s="1"/>
  <c r="BS41"/>
  <c r="BR41"/>
  <c r="BI41"/>
  <c r="BK41" s="1"/>
  <c r="BB41"/>
  <c r="BD41" s="1"/>
  <c r="AY41"/>
  <c r="AX41"/>
  <c r="AR41"/>
  <c r="AQ41"/>
  <c r="AL41"/>
  <c r="AS41" s="1"/>
  <c r="AH41"/>
  <c r="AG41"/>
  <c r="AB41"/>
  <c r="AA41"/>
  <c r="V41"/>
  <c r="BM41" s="1"/>
  <c r="R41"/>
  <c r="Q41"/>
  <c r="DA40"/>
  <c r="DC40" s="1"/>
  <c r="CU40"/>
  <c r="CW40" s="1"/>
  <c r="CN40"/>
  <c r="CP40" s="1"/>
  <c r="CJ40"/>
  <c r="CI40"/>
  <c r="CB40"/>
  <c r="CC40" s="1"/>
  <c r="BW40"/>
  <c r="CD40" s="1"/>
  <c r="BR40"/>
  <c r="BS40" s="1"/>
  <c r="BI40"/>
  <c r="BK40" s="1"/>
  <c r="BB40"/>
  <c r="BD40" s="1"/>
  <c r="AX40"/>
  <c r="AY40" s="1"/>
  <c r="AQ40"/>
  <c r="AR40" s="1"/>
  <c r="AL40"/>
  <c r="AS40" s="1"/>
  <c r="AG40"/>
  <c r="AH40" s="1"/>
  <c r="AA40"/>
  <c r="AB40" s="1"/>
  <c r="V40"/>
  <c r="BM40" s="1"/>
  <c r="Q40"/>
  <c r="R40" s="1"/>
  <c r="DA39"/>
  <c r="DC39" s="1"/>
  <c r="CU39"/>
  <c r="CW39" s="1"/>
  <c r="CN39"/>
  <c r="CP39" s="1"/>
  <c r="CI39"/>
  <c r="CJ39" s="1"/>
  <c r="CB39"/>
  <c r="CC39" s="1"/>
  <c r="BW39"/>
  <c r="CD39" s="1"/>
  <c r="CE39" s="1"/>
  <c r="BR39"/>
  <c r="BS39" s="1"/>
  <c r="BI39"/>
  <c r="BK39" s="1"/>
  <c r="BB39"/>
  <c r="BD39" s="1"/>
  <c r="AX39"/>
  <c r="AY39" s="1"/>
  <c r="AQ39"/>
  <c r="AR39" s="1"/>
  <c r="AL39"/>
  <c r="AS39" s="1"/>
  <c r="AT39" s="1"/>
  <c r="AG39"/>
  <c r="AH39" s="1"/>
  <c r="AA39"/>
  <c r="AB39" s="1"/>
  <c r="V39"/>
  <c r="BM39" s="1"/>
  <c r="Q39"/>
  <c r="R39" s="1"/>
  <c r="DA38"/>
  <c r="DC38" s="1"/>
  <c r="CU38"/>
  <c r="CW38" s="1"/>
  <c r="CN38"/>
  <c r="CP38" s="1"/>
  <c r="CI38"/>
  <c r="CJ38" s="1"/>
  <c r="CB38"/>
  <c r="CC38" s="1"/>
  <c r="BW38"/>
  <c r="CD38" s="1"/>
  <c r="BR38"/>
  <c r="BS38" s="1"/>
  <c r="BI38"/>
  <c r="BK38" s="1"/>
  <c r="BB38"/>
  <c r="BD38" s="1"/>
  <c r="AX38"/>
  <c r="AY38" s="1"/>
  <c r="AQ38"/>
  <c r="AR38" s="1"/>
  <c r="AL38"/>
  <c r="AS38" s="1"/>
  <c r="AG38"/>
  <c r="AH38" s="1"/>
  <c r="AA38"/>
  <c r="AB38" s="1"/>
  <c r="V38"/>
  <c r="BM38" s="1"/>
  <c r="Q38"/>
  <c r="R38" s="1"/>
  <c r="DA37"/>
  <c r="DC37" s="1"/>
  <c r="CU37"/>
  <c r="CW37" s="1"/>
  <c r="CN37"/>
  <c r="CP37" s="1"/>
  <c r="CI37"/>
  <c r="CJ37" s="1"/>
  <c r="CB37"/>
  <c r="CC37" s="1"/>
  <c r="BW37"/>
  <c r="CD37" s="1"/>
  <c r="BR37"/>
  <c r="BS37" s="1"/>
  <c r="BI37"/>
  <c r="BK37" s="1"/>
  <c r="BB37"/>
  <c r="BD37" s="1"/>
  <c r="AX37"/>
  <c r="AY37" s="1"/>
  <c r="AQ37"/>
  <c r="AR37" s="1"/>
  <c r="AL37"/>
  <c r="AS37" s="1"/>
  <c r="AG37"/>
  <c r="AH37" s="1"/>
  <c r="AA37"/>
  <c r="AB37" s="1"/>
  <c r="V37"/>
  <c r="BM37" s="1"/>
  <c r="Q37"/>
  <c r="R37" s="1"/>
  <c r="DA36"/>
  <c r="DC36" s="1"/>
  <c r="CU36"/>
  <c r="CW36" s="1"/>
  <c r="CN36"/>
  <c r="CP36" s="1"/>
  <c r="CI36"/>
  <c r="CJ36" s="1"/>
  <c r="CB36"/>
  <c r="CC36" s="1"/>
  <c r="BW36"/>
  <c r="CD36" s="1"/>
  <c r="CE36" s="1"/>
  <c r="BR36"/>
  <c r="BS36" s="1"/>
  <c r="BI36"/>
  <c r="BK36" s="1"/>
  <c r="BB36"/>
  <c r="BD36" s="1"/>
  <c r="AX36"/>
  <c r="AY36" s="1"/>
  <c r="AQ36"/>
  <c r="AR36" s="1"/>
  <c r="AL36"/>
  <c r="AS36" s="1"/>
  <c r="AG36"/>
  <c r="AH36" s="1"/>
  <c r="AA36"/>
  <c r="AB36" s="1"/>
  <c r="V36"/>
  <c r="BM36" s="1"/>
  <c r="Q36"/>
  <c r="R36" s="1"/>
  <c r="DA35"/>
  <c r="DC35" s="1"/>
  <c r="CU35"/>
  <c r="CW35" s="1"/>
  <c r="CN35"/>
  <c r="CP35" s="1"/>
  <c r="CQ35" s="1"/>
  <c r="CI35"/>
  <c r="CJ35" s="1"/>
  <c r="CB35"/>
  <c r="CC35" s="1"/>
  <c r="BW35"/>
  <c r="CD35" s="1"/>
  <c r="BR35"/>
  <c r="BS35" s="1"/>
  <c r="BI35"/>
  <c r="BK35" s="1"/>
  <c r="BB35"/>
  <c r="BD35" s="1"/>
  <c r="BE35" s="1"/>
  <c r="AX35"/>
  <c r="AY35" s="1"/>
  <c r="AQ35"/>
  <c r="AR35" s="1"/>
  <c r="AL35"/>
  <c r="AS35" s="1"/>
  <c r="AG35"/>
  <c r="AH35" s="1"/>
  <c r="AA35"/>
  <c r="AB35" s="1"/>
  <c r="V35"/>
  <c r="BM35" s="1"/>
  <c r="Q35"/>
  <c r="R35" s="1"/>
  <c r="DA34"/>
  <c r="DC34" s="1"/>
  <c r="CU34"/>
  <c r="CW34" s="1"/>
  <c r="CN34"/>
  <c r="CP34" s="1"/>
  <c r="CI34"/>
  <c r="CJ34" s="1"/>
  <c r="CB34"/>
  <c r="CC34" s="1"/>
  <c r="BW34"/>
  <c r="CD34" s="1"/>
  <c r="BR34"/>
  <c r="BS34" s="1"/>
  <c r="BI34"/>
  <c r="BK34" s="1"/>
  <c r="BB34"/>
  <c r="BD34" s="1"/>
  <c r="AX34"/>
  <c r="AY34" s="1"/>
  <c r="AQ34"/>
  <c r="AR34" s="1"/>
  <c r="AL34"/>
  <c r="AS34" s="1"/>
  <c r="AG34"/>
  <c r="AH34" s="1"/>
  <c r="AA34"/>
  <c r="AB34" s="1"/>
  <c r="V34"/>
  <c r="BM34" s="1"/>
  <c r="Q34"/>
  <c r="R34" s="1"/>
  <c r="DA33"/>
  <c r="DC33" s="1"/>
  <c r="CU33"/>
  <c r="CW33" s="1"/>
  <c r="CN33"/>
  <c r="CP33" s="1"/>
  <c r="CI33"/>
  <c r="CJ33" s="1"/>
  <c r="CB33"/>
  <c r="CC33" s="1"/>
  <c r="BW33"/>
  <c r="CD33" s="1"/>
  <c r="CE33" s="1"/>
  <c r="BR33"/>
  <c r="BS33" s="1"/>
  <c r="BI33"/>
  <c r="BK33" s="1"/>
  <c r="BB33"/>
  <c r="BD33" s="1"/>
  <c r="AX33"/>
  <c r="AY33" s="1"/>
  <c r="AQ33"/>
  <c r="AR33" s="1"/>
  <c r="AL33"/>
  <c r="AS33" s="1"/>
  <c r="AG33"/>
  <c r="AH33" s="1"/>
  <c r="AA33"/>
  <c r="AB33" s="1"/>
  <c r="V33"/>
  <c r="BM33" s="1"/>
  <c r="Q33"/>
  <c r="R33" s="1"/>
  <c r="DA32"/>
  <c r="DC32" s="1"/>
  <c r="CU32"/>
  <c r="CW32" s="1"/>
  <c r="CN32"/>
  <c r="CP32" s="1"/>
  <c r="CI32"/>
  <c r="CJ32" s="1"/>
  <c r="CB32"/>
  <c r="CC32" s="1"/>
  <c r="BW32"/>
  <c r="CD32" s="1"/>
  <c r="CE32" s="1"/>
  <c r="BR32"/>
  <c r="BS32" s="1"/>
  <c r="BI32"/>
  <c r="BK32" s="1"/>
  <c r="BB32"/>
  <c r="BD32" s="1"/>
  <c r="BE32" s="1"/>
  <c r="AX32"/>
  <c r="AY32" s="1"/>
  <c r="AS32"/>
  <c r="AT32" s="1"/>
  <c r="AQ32"/>
  <c r="AR32" s="1"/>
  <c r="AL32"/>
  <c r="AM32" s="1"/>
  <c r="AG32"/>
  <c r="AH32" s="1"/>
  <c r="AC32"/>
  <c r="AD32" s="1"/>
  <c r="AA32"/>
  <c r="AB32" s="1"/>
  <c r="V32"/>
  <c r="Q32"/>
  <c r="R32" s="1"/>
  <c r="DA31"/>
  <c r="CU31"/>
  <c r="DE31" s="1"/>
  <c r="CN31"/>
  <c r="CI31"/>
  <c r="CJ31" s="1"/>
  <c r="CB31"/>
  <c r="CC31" s="1"/>
  <c r="BW31"/>
  <c r="BX31" s="1"/>
  <c r="BR31"/>
  <c r="BS31" s="1"/>
  <c r="BI31"/>
  <c r="BB31"/>
  <c r="AX31"/>
  <c r="AY31" s="1"/>
  <c r="AQ31"/>
  <c r="AR31" s="1"/>
  <c r="AL31"/>
  <c r="AM31" s="1"/>
  <c r="AG31"/>
  <c r="AH31" s="1"/>
  <c r="AA31"/>
  <c r="AB31" s="1"/>
  <c r="V31"/>
  <c r="W31" s="1"/>
  <c r="Q31"/>
  <c r="R31" s="1"/>
  <c r="DC30"/>
  <c r="DA30"/>
  <c r="DB30" s="1"/>
  <c r="DD30" s="1"/>
  <c r="CW30"/>
  <c r="CU30"/>
  <c r="CV30" s="1"/>
  <c r="CX30" s="1"/>
  <c r="CP30"/>
  <c r="CQ30" s="1"/>
  <c r="CN30"/>
  <c r="CO30" s="1"/>
  <c r="CI30"/>
  <c r="CJ30" s="1"/>
  <c r="CB30"/>
  <c r="CC30" s="1"/>
  <c r="BW30"/>
  <c r="BX30" s="1"/>
  <c r="BR30"/>
  <c r="BS30" s="1"/>
  <c r="BK30"/>
  <c r="BI30"/>
  <c r="BJ30" s="1"/>
  <c r="BL30" s="1"/>
  <c r="BB30"/>
  <c r="BC30" s="1"/>
  <c r="AX30"/>
  <c r="AY30" s="1"/>
  <c r="AQ30"/>
  <c r="AR30" s="1"/>
  <c r="AL30"/>
  <c r="AM30" s="1"/>
  <c r="AG30"/>
  <c r="AH30" s="1"/>
  <c r="AA30"/>
  <c r="AB30" s="1"/>
  <c r="V30"/>
  <c r="W30" s="1"/>
  <c r="Q30"/>
  <c r="R30" s="1"/>
  <c r="DB29"/>
  <c r="DD29" s="1"/>
  <c r="DA29"/>
  <c r="DC29" s="1"/>
  <c r="CX29"/>
  <c r="CV29"/>
  <c r="CU29"/>
  <c r="CW29" s="1"/>
  <c r="CO29"/>
  <c r="CN29"/>
  <c r="CP29" s="1"/>
  <c r="CQ29" s="1"/>
  <c r="CJ29"/>
  <c r="CI29"/>
  <c r="CC29"/>
  <c r="CB29"/>
  <c r="BX29"/>
  <c r="BW29"/>
  <c r="CD29" s="1"/>
  <c r="CE29" s="1"/>
  <c r="BS29"/>
  <c r="BR29"/>
  <c r="BL29"/>
  <c r="BJ29"/>
  <c r="BI29"/>
  <c r="BK29" s="1"/>
  <c r="BC29"/>
  <c r="BB29"/>
  <c r="BD29" s="1"/>
  <c r="BE29" s="1"/>
  <c r="AY29"/>
  <c r="AX29"/>
  <c r="AR29"/>
  <c r="AQ29"/>
  <c r="AM29"/>
  <c r="AL29"/>
  <c r="AS29" s="1"/>
  <c r="AT29" s="1"/>
  <c r="AH29"/>
  <c r="AG29"/>
  <c r="AB29"/>
  <c r="AA29"/>
  <c r="W29"/>
  <c r="V29"/>
  <c r="AC29" s="1"/>
  <c r="AD29" s="1"/>
  <c r="R29"/>
  <c r="Q29"/>
  <c r="BM29" s="1"/>
  <c r="DG29" s="1"/>
  <c r="DB28"/>
  <c r="DD28" s="1"/>
  <c r="DA28"/>
  <c r="DC28" s="1"/>
  <c r="CX28"/>
  <c r="CV28"/>
  <c r="CU28"/>
  <c r="CW28" s="1"/>
  <c r="CO28"/>
  <c r="CQ28" s="1"/>
  <c r="CN28"/>
  <c r="CP28" s="1"/>
  <c r="CJ28"/>
  <c r="CI28"/>
  <c r="CC28"/>
  <c r="CB28"/>
  <c r="BX28"/>
  <c r="BW28"/>
  <c r="CD28" s="1"/>
  <c r="CE28" s="1"/>
  <c r="BS28"/>
  <c r="BR28"/>
  <c r="BL28"/>
  <c r="BJ28"/>
  <c r="BI28"/>
  <c r="BK28" s="1"/>
  <c r="BC28"/>
  <c r="BE28" s="1"/>
  <c r="BB28"/>
  <c r="BD28" s="1"/>
  <c r="AY28"/>
  <c r="AX28"/>
  <c r="AR28"/>
  <c r="AQ28"/>
  <c r="AM28"/>
  <c r="AL28"/>
  <c r="AS28" s="1"/>
  <c r="AT28" s="1"/>
  <c r="AH28"/>
  <c r="AG28"/>
  <c r="AB28"/>
  <c r="AA28"/>
  <c r="W28"/>
  <c r="V28"/>
  <c r="AC28" s="1"/>
  <c r="AD28" s="1"/>
  <c r="R28"/>
  <c r="Q28"/>
  <c r="BM28" s="1"/>
  <c r="DG28" s="1"/>
  <c r="DB27"/>
  <c r="DD27" s="1"/>
  <c r="DA27"/>
  <c r="DC27" s="1"/>
  <c r="CX27"/>
  <c r="CV27"/>
  <c r="CU27"/>
  <c r="CW27" s="1"/>
  <c r="CO27"/>
  <c r="CN27"/>
  <c r="CP27" s="1"/>
  <c r="CQ27" s="1"/>
  <c r="CJ27"/>
  <c r="CI27"/>
  <c r="CC27"/>
  <c r="CB27"/>
  <c r="BX27"/>
  <c r="BW27"/>
  <c r="CD27" s="1"/>
  <c r="CE27" s="1"/>
  <c r="BS27"/>
  <c r="BR27"/>
  <c r="BL27"/>
  <c r="BJ27"/>
  <c r="BI27"/>
  <c r="BK27" s="1"/>
  <c r="BC27"/>
  <c r="BB27"/>
  <c r="BD27" s="1"/>
  <c r="BE27" s="1"/>
  <c r="AY27"/>
  <c r="AX27"/>
  <c r="AR27"/>
  <c r="AQ27"/>
  <c r="AM27"/>
  <c r="AL27"/>
  <c r="AS27" s="1"/>
  <c r="AT27" s="1"/>
  <c r="AH27"/>
  <c r="AG27"/>
  <c r="AB27"/>
  <c r="AA27"/>
  <c r="W27"/>
  <c r="V27"/>
  <c r="AC27" s="1"/>
  <c r="AD27" s="1"/>
  <c r="R27"/>
  <c r="Q27"/>
  <c r="BM27" s="1"/>
  <c r="DG27" s="1"/>
  <c r="DB26"/>
  <c r="DD26" s="1"/>
  <c r="DA26"/>
  <c r="DC26" s="1"/>
  <c r="CX26"/>
  <c r="CV26"/>
  <c r="CU26"/>
  <c r="CW26" s="1"/>
  <c r="CO26"/>
  <c r="CN26"/>
  <c r="CP26" s="1"/>
  <c r="CJ26"/>
  <c r="CQ26" s="1"/>
  <c r="CI26"/>
  <c r="CC26"/>
  <c r="CB26"/>
  <c r="BX26"/>
  <c r="BW26"/>
  <c r="CD26" s="1"/>
  <c r="CE26" s="1"/>
  <c r="BS26"/>
  <c r="BR26"/>
  <c r="BN26"/>
  <c r="BL26"/>
  <c r="BJ26"/>
  <c r="BI26"/>
  <c r="BK26" s="1"/>
  <c r="BE26"/>
  <c r="BC26"/>
  <c r="BB26"/>
  <c r="BD26" s="1"/>
  <c r="AY26"/>
  <c r="AX26"/>
  <c r="AR26"/>
  <c r="AQ26"/>
  <c r="AM26"/>
  <c r="AL26"/>
  <c r="AS26" s="1"/>
  <c r="AT26" s="1"/>
  <c r="AH26"/>
  <c r="AG26"/>
  <c r="AB26"/>
  <c r="AA26"/>
  <c r="W26"/>
  <c r="V26"/>
  <c r="AC26" s="1"/>
  <c r="AD26" s="1"/>
  <c r="R26"/>
  <c r="Q26"/>
  <c r="BM26" s="1"/>
  <c r="DG26" s="1"/>
  <c r="DA25"/>
  <c r="DB25" s="1"/>
  <c r="DD25" s="1"/>
  <c r="CU25"/>
  <c r="CV25" s="1"/>
  <c r="CX25" s="1"/>
  <c r="CN25"/>
  <c r="CO25" s="1"/>
  <c r="CI25"/>
  <c r="CJ25" s="1"/>
  <c r="CC25"/>
  <c r="CB25"/>
  <c r="BW25"/>
  <c r="BX25" s="1"/>
  <c r="BR25"/>
  <c r="BS25" s="1"/>
  <c r="BL25"/>
  <c r="BI25"/>
  <c r="BJ25" s="1"/>
  <c r="BD25"/>
  <c r="BE25" s="1"/>
  <c r="BB25"/>
  <c r="BC25" s="1"/>
  <c r="AY25"/>
  <c r="AX25"/>
  <c r="AS25"/>
  <c r="AQ25"/>
  <c r="AR25" s="1"/>
  <c r="AL25"/>
  <c r="AM25" s="1"/>
  <c r="AH25"/>
  <c r="AG25"/>
  <c r="AA25"/>
  <c r="AB25" s="1"/>
  <c r="V25"/>
  <c r="W25" s="1"/>
  <c r="R25"/>
  <c r="Q25"/>
  <c r="BM25" s="1"/>
  <c r="DA24"/>
  <c r="DB24" s="1"/>
  <c r="DD24" s="1"/>
  <c r="CU24"/>
  <c r="DE24" s="1"/>
  <c r="CN24"/>
  <c r="CO24" s="1"/>
  <c r="CI24"/>
  <c r="CJ24" s="1"/>
  <c r="CB24"/>
  <c r="CC24" s="1"/>
  <c r="BW24"/>
  <c r="CD24" s="1"/>
  <c r="BR24"/>
  <c r="BS24" s="1"/>
  <c r="BI24"/>
  <c r="BJ24" s="1"/>
  <c r="BL24" s="1"/>
  <c r="BB24"/>
  <c r="BC24" s="1"/>
  <c r="AX24"/>
  <c r="AY24" s="1"/>
  <c r="AQ24"/>
  <c r="AR24" s="1"/>
  <c r="AL24"/>
  <c r="AS24" s="1"/>
  <c r="AG24"/>
  <c r="AH24" s="1"/>
  <c r="AA24"/>
  <c r="AB24" s="1"/>
  <c r="V24"/>
  <c r="AC24" s="1"/>
  <c r="Q24"/>
  <c r="BM24" s="1"/>
  <c r="DA23"/>
  <c r="CU23"/>
  <c r="CN23"/>
  <c r="CI23"/>
  <c r="CJ23" s="1"/>
  <c r="CD23"/>
  <c r="CB23"/>
  <c r="CC23" s="1"/>
  <c r="BW23"/>
  <c r="BX23" s="1"/>
  <c r="BR23"/>
  <c r="BS23" s="1"/>
  <c r="BI23"/>
  <c r="BB23"/>
  <c r="AX23"/>
  <c r="AY23" s="1"/>
  <c r="AS23"/>
  <c r="AQ23"/>
  <c r="AR23" s="1"/>
  <c r="AL23"/>
  <c r="AM23" s="1"/>
  <c r="AG23"/>
  <c r="AH23" s="1"/>
  <c r="AC23"/>
  <c r="AA23"/>
  <c r="AB23" s="1"/>
  <c r="V23"/>
  <c r="W23" s="1"/>
  <c r="Q23"/>
  <c r="R23" s="1"/>
  <c r="DA22"/>
  <c r="CU22"/>
  <c r="DE22" s="1"/>
  <c r="CN22"/>
  <c r="CI22"/>
  <c r="CJ22" s="1"/>
  <c r="CB22"/>
  <c r="CC22" s="1"/>
  <c r="BW22"/>
  <c r="BX22" s="1"/>
  <c r="BR22"/>
  <c r="BS22" s="1"/>
  <c r="BI22"/>
  <c r="BB22"/>
  <c r="AX22"/>
  <c r="AY22" s="1"/>
  <c r="AQ22"/>
  <c r="AR22" s="1"/>
  <c r="AL22"/>
  <c r="AM22" s="1"/>
  <c r="AG22"/>
  <c r="AH22" s="1"/>
  <c r="AA22"/>
  <c r="AB22" s="1"/>
  <c r="V22"/>
  <c r="W22" s="1"/>
  <c r="Q22"/>
  <c r="R22" s="1"/>
  <c r="DD21"/>
  <c r="DC21"/>
  <c r="DB21"/>
  <c r="DA21"/>
  <c r="CX21"/>
  <c r="CW21"/>
  <c r="CV21"/>
  <c r="CU21"/>
  <c r="DE21" s="1"/>
  <c r="CO21"/>
  <c r="CN21"/>
  <c r="CJ21"/>
  <c r="CI21"/>
  <c r="CP21" s="1"/>
  <c r="CQ21" s="1"/>
  <c r="CC21"/>
  <c r="CB21"/>
  <c r="CD21" s="1"/>
  <c r="CE21" s="1"/>
  <c r="BX21"/>
  <c r="BW21"/>
  <c r="BS21"/>
  <c r="BR21"/>
  <c r="BL21"/>
  <c r="BK21"/>
  <c r="BJ21"/>
  <c r="BI21"/>
  <c r="BC21"/>
  <c r="BB21"/>
  <c r="AY21"/>
  <c r="AX21"/>
  <c r="BD21" s="1"/>
  <c r="BE21" s="1"/>
  <c r="AR21"/>
  <c r="AQ21"/>
  <c r="AM21"/>
  <c r="AL21"/>
  <c r="AH21"/>
  <c r="AG21"/>
  <c r="AS21" s="1"/>
  <c r="AB21"/>
  <c r="AA21"/>
  <c r="W21"/>
  <c r="V21"/>
  <c r="R21"/>
  <c r="Q21"/>
  <c r="BM21" s="1"/>
  <c r="DD20"/>
  <c r="DC20"/>
  <c r="DB20"/>
  <c r="DA20"/>
  <c r="CX20"/>
  <c r="CW20"/>
  <c r="CV20"/>
  <c r="CU20"/>
  <c r="DE20" s="1"/>
  <c r="CO20"/>
  <c r="CN20"/>
  <c r="CJ20"/>
  <c r="CI20"/>
  <c r="CP20" s="1"/>
  <c r="CQ20" s="1"/>
  <c r="CC20"/>
  <c r="CB20"/>
  <c r="CD20" s="1"/>
  <c r="CE20" s="1"/>
  <c r="BX20"/>
  <c r="BW20"/>
  <c r="BS20"/>
  <c r="BR20"/>
  <c r="BL20"/>
  <c r="BK20"/>
  <c r="BJ20"/>
  <c r="BI20"/>
  <c r="BC20"/>
  <c r="BB20"/>
  <c r="AY20"/>
  <c r="AX20"/>
  <c r="BD20" s="1"/>
  <c r="BE20" s="1"/>
  <c r="AR20"/>
  <c r="AQ20"/>
  <c r="AM20"/>
  <c r="AL20"/>
  <c r="AH20"/>
  <c r="AG20"/>
  <c r="AS20" s="1"/>
  <c r="AB20"/>
  <c r="AA20"/>
  <c r="W20"/>
  <c r="V20"/>
  <c r="R20"/>
  <c r="Q20"/>
  <c r="BM20" s="1"/>
  <c r="DD19"/>
  <c r="DC19"/>
  <c r="DB19"/>
  <c r="DA19"/>
  <c r="CX19"/>
  <c r="CW19"/>
  <c r="CV19"/>
  <c r="CU19"/>
  <c r="DE19" s="1"/>
  <c r="CO19"/>
  <c r="CN19"/>
  <c r="CJ19"/>
  <c r="CI19"/>
  <c r="CP19" s="1"/>
  <c r="CQ19" s="1"/>
  <c r="CC19"/>
  <c r="CB19"/>
  <c r="CD19" s="1"/>
  <c r="CE19" s="1"/>
  <c r="BX19"/>
  <c r="BW19"/>
  <c r="BS19"/>
  <c r="BR19"/>
  <c r="BL19"/>
  <c r="BK19"/>
  <c r="BJ19"/>
  <c r="BI19"/>
  <c r="BC19"/>
  <c r="BB19"/>
  <c r="AY19"/>
  <c r="AX19"/>
  <c r="BD19" s="1"/>
  <c r="BE19" s="1"/>
  <c r="AR19"/>
  <c r="AQ19"/>
  <c r="AM19"/>
  <c r="AL19"/>
  <c r="AH19"/>
  <c r="AG19"/>
  <c r="AS19" s="1"/>
  <c r="AB19"/>
  <c r="AA19"/>
  <c r="W19"/>
  <c r="V19"/>
  <c r="R19"/>
  <c r="Q19"/>
  <c r="BM19" s="1"/>
  <c r="DD18"/>
  <c r="DC18"/>
  <c r="DB18"/>
  <c r="DA18"/>
  <c r="CX18"/>
  <c r="CW18"/>
  <c r="CV18"/>
  <c r="CU18"/>
  <c r="DE18" s="1"/>
  <c r="CO18"/>
  <c r="CN18"/>
  <c r="CJ18"/>
  <c r="CI18"/>
  <c r="CP18" s="1"/>
  <c r="CQ18" s="1"/>
  <c r="CC18"/>
  <c r="CB18"/>
  <c r="CD18" s="1"/>
  <c r="CE18" s="1"/>
  <c r="BX18"/>
  <c r="BW18"/>
  <c r="BS18"/>
  <c r="BR18"/>
  <c r="BL18"/>
  <c r="BK18"/>
  <c r="BJ18"/>
  <c r="BI18"/>
  <c r="BC18"/>
  <c r="BB18"/>
  <c r="AY18"/>
  <c r="AX18"/>
  <c r="BD18" s="1"/>
  <c r="BE18" s="1"/>
  <c r="AR18"/>
  <c r="AQ18"/>
  <c r="AM18"/>
  <c r="AL18"/>
  <c r="AH18"/>
  <c r="AG18"/>
  <c r="AS18" s="1"/>
  <c r="AB18"/>
  <c r="AA18"/>
  <c r="W18"/>
  <c r="V18"/>
  <c r="R18"/>
  <c r="Q18"/>
  <c r="BM18" s="1"/>
  <c r="DD17"/>
  <c r="DC17"/>
  <c r="DB17"/>
  <c r="DA17"/>
  <c r="CX17"/>
  <c r="CW17"/>
  <c r="CV17"/>
  <c r="CU17"/>
  <c r="DE17" s="1"/>
  <c r="CO17"/>
  <c r="CN17"/>
  <c r="CJ17"/>
  <c r="CI17"/>
  <c r="CP17" s="1"/>
  <c r="CQ17" s="1"/>
  <c r="CC17"/>
  <c r="CB17"/>
  <c r="CD17" s="1"/>
  <c r="CE17" s="1"/>
  <c r="BX17"/>
  <c r="BW17"/>
  <c r="BS17"/>
  <c r="BR17"/>
  <c r="BL17"/>
  <c r="BK17"/>
  <c r="BJ17"/>
  <c r="BI17"/>
  <c r="BC17"/>
  <c r="BB17"/>
  <c r="AY17"/>
  <c r="AX17"/>
  <c r="BD17" s="1"/>
  <c r="BE17" s="1"/>
  <c r="AR17"/>
  <c r="AQ17"/>
  <c r="AM17"/>
  <c r="AL17"/>
  <c r="AH17"/>
  <c r="AG17"/>
  <c r="AS17" s="1"/>
  <c r="AB17"/>
  <c r="AA17"/>
  <c r="W17"/>
  <c r="V17"/>
  <c r="R17"/>
  <c r="Q17"/>
  <c r="BM17" s="1"/>
  <c r="DC16"/>
  <c r="DA16"/>
  <c r="DB16" s="1"/>
  <c r="DD16" s="1"/>
  <c r="CW16"/>
  <c r="CU16"/>
  <c r="DE16" s="1"/>
  <c r="CQ16"/>
  <c r="CN16"/>
  <c r="CO16" s="1"/>
  <c r="CJ16"/>
  <c r="CI16"/>
  <c r="CP16" s="1"/>
  <c r="CC16"/>
  <c r="CB16"/>
  <c r="CD16" s="1"/>
  <c r="BW16"/>
  <c r="BX16" s="1"/>
  <c r="BS16"/>
  <c r="BR16"/>
  <c r="BK16"/>
  <c r="BI16"/>
  <c r="BJ16" s="1"/>
  <c r="BL16" s="1"/>
  <c r="BE16"/>
  <c r="BB16"/>
  <c r="BC16" s="1"/>
  <c r="AY16"/>
  <c r="AX16"/>
  <c r="BD16" s="1"/>
  <c r="AR16"/>
  <c r="AQ16"/>
  <c r="AL16"/>
  <c r="AM16" s="1"/>
  <c r="AH16"/>
  <c r="AG16"/>
  <c r="AS16" s="1"/>
  <c r="AT16" s="1"/>
  <c r="AB16"/>
  <c r="AA16"/>
  <c r="V16"/>
  <c r="W16" s="1"/>
  <c r="R16"/>
  <c r="Q16"/>
  <c r="BM16" s="1"/>
  <c r="DC15"/>
  <c r="DB15"/>
  <c r="DD15" s="1"/>
  <c r="DA15"/>
  <c r="CW15"/>
  <c r="CV15"/>
  <c r="CX15" s="1"/>
  <c r="CU15"/>
  <c r="CP15"/>
  <c r="CQ15" s="1"/>
  <c r="CO15"/>
  <c r="CN15"/>
  <c r="CI15"/>
  <c r="CJ15" s="1"/>
  <c r="CB15"/>
  <c r="BX15"/>
  <c r="BW15"/>
  <c r="BR15"/>
  <c r="BS15" s="1"/>
  <c r="BK15"/>
  <c r="BJ15"/>
  <c r="BL15" s="1"/>
  <c r="BI15"/>
  <c r="BC15"/>
  <c r="BB15"/>
  <c r="AX15"/>
  <c r="AY15" s="1"/>
  <c r="AQ15"/>
  <c r="AR15" s="1"/>
  <c r="AM15"/>
  <c r="AL15"/>
  <c r="AG15"/>
  <c r="AA15"/>
  <c r="AB15" s="1"/>
  <c r="W15"/>
  <c r="V15"/>
  <c r="Q15"/>
  <c r="DC14"/>
  <c r="DB14"/>
  <c r="DD14" s="1"/>
  <c r="DA14"/>
  <c r="CW14"/>
  <c r="CV14"/>
  <c r="CX14" s="1"/>
  <c r="CU14"/>
  <c r="CO14"/>
  <c r="CN14"/>
  <c r="CI14"/>
  <c r="CJ14" s="1"/>
  <c r="CB14"/>
  <c r="BX14"/>
  <c r="BW14"/>
  <c r="BR14"/>
  <c r="BS14" s="1"/>
  <c r="BK14"/>
  <c r="BJ14"/>
  <c r="BL14" s="1"/>
  <c r="BI14"/>
  <c r="BD14"/>
  <c r="BE14" s="1"/>
  <c r="BC14"/>
  <c r="BB14"/>
  <c r="AX14"/>
  <c r="AY14" s="1"/>
  <c r="AQ14"/>
  <c r="AR14" s="1"/>
  <c r="AM14"/>
  <c r="AL14"/>
  <c r="AG14"/>
  <c r="AA14"/>
  <c r="AB14" s="1"/>
  <c r="W14"/>
  <c r="V14"/>
  <c r="Q14"/>
  <c r="DC13"/>
  <c r="DB13"/>
  <c r="DD13" s="1"/>
  <c r="DA13"/>
  <c r="CW13"/>
  <c r="CV13"/>
  <c r="CX13" s="1"/>
  <c r="CU13"/>
  <c r="CP13"/>
  <c r="CQ13" s="1"/>
  <c r="CO13"/>
  <c r="CN13"/>
  <c r="CI13"/>
  <c r="CJ13" s="1"/>
  <c r="CB13"/>
  <c r="BX13"/>
  <c r="BW13"/>
  <c r="BR13"/>
  <c r="BS13" s="1"/>
  <c r="BK13"/>
  <c r="BJ13"/>
  <c r="BL13" s="1"/>
  <c r="BI13"/>
  <c r="BC13"/>
  <c r="BB13"/>
  <c r="AX13"/>
  <c r="AY13" s="1"/>
  <c r="AQ13"/>
  <c r="AR13" s="1"/>
  <c r="AM13"/>
  <c r="AL13"/>
  <c r="AG13"/>
  <c r="AA13"/>
  <c r="AB13" s="1"/>
  <c r="W13"/>
  <c r="V13"/>
  <c r="Q13"/>
  <c r="DC12"/>
  <c r="DB12"/>
  <c r="DD12" s="1"/>
  <c r="DA12"/>
  <c r="CW12"/>
  <c r="CV12"/>
  <c r="CX12" s="1"/>
  <c r="CU12"/>
  <c r="CO12"/>
  <c r="CN12"/>
  <c r="CI12"/>
  <c r="CJ12" s="1"/>
  <c r="CB12"/>
  <c r="BX12"/>
  <c r="BW12"/>
  <c r="BR12"/>
  <c r="BS12" s="1"/>
  <c r="BK12"/>
  <c r="BJ12"/>
  <c r="BL12" s="1"/>
  <c r="BI12"/>
  <c r="BD12"/>
  <c r="BE12" s="1"/>
  <c r="BC12"/>
  <c r="BB12"/>
  <c r="AX12"/>
  <c r="AY12" s="1"/>
  <c r="AQ12"/>
  <c r="AR12" s="1"/>
  <c r="AM12"/>
  <c r="AL12"/>
  <c r="AG12"/>
  <c r="AA12"/>
  <c r="AB12" s="1"/>
  <c r="W12"/>
  <c r="V12"/>
  <c r="Q12"/>
  <c r="DC11"/>
  <c r="DB11"/>
  <c r="DD11" s="1"/>
  <c r="DA11"/>
  <c r="CW11"/>
  <c r="CV11"/>
  <c r="CX11" s="1"/>
  <c r="CU11"/>
  <c r="CP11"/>
  <c r="CQ11" s="1"/>
  <c r="CO11"/>
  <c r="CN11"/>
  <c r="CI11"/>
  <c r="CJ11" s="1"/>
  <c r="CB11"/>
  <c r="BX11"/>
  <c r="BW11"/>
  <c r="BR11"/>
  <c r="BS11" s="1"/>
  <c r="BK11"/>
  <c r="BJ11"/>
  <c r="BL11" s="1"/>
  <c r="BI11"/>
  <c r="BC11"/>
  <c r="BB11"/>
  <c r="AX11"/>
  <c r="AY11" s="1"/>
  <c r="AQ11"/>
  <c r="AR11" s="1"/>
  <c r="AM11"/>
  <c r="AL11"/>
  <c r="AG11"/>
  <c r="AA11"/>
  <c r="AB11" s="1"/>
  <c r="W11"/>
  <c r="V11"/>
  <c r="Q11"/>
  <c r="DC10"/>
  <c r="DB10"/>
  <c r="DD10" s="1"/>
  <c r="DA10"/>
  <c r="CW10"/>
  <c r="CV10"/>
  <c r="CX10" s="1"/>
  <c r="CU10"/>
  <c r="DE10" s="1"/>
  <c r="CO10"/>
  <c r="CN10"/>
  <c r="CI10"/>
  <c r="CJ10" s="1"/>
  <c r="CB10"/>
  <c r="BX10"/>
  <c r="BW10"/>
  <c r="BR10"/>
  <c r="BS10" s="1"/>
  <c r="BK10"/>
  <c r="BJ10"/>
  <c r="BL10" s="1"/>
  <c r="BI10"/>
  <c r="BD10"/>
  <c r="BE10" s="1"/>
  <c r="BC10"/>
  <c r="BB10"/>
  <c r="AX10"/>
  <c r="AY10" s="1"/>
  <c r="AQ10"/>
  <c r="AR10" s="1"/>
  <c r="AM10"/>
  <c r="AL10"/>
  <c r="AG10"/>
  <c r="AA10"/>
  <c r="AB10" s="1"/>
  <c r="W10"/>
  <c r="V10"/>
  <c r="Q10"/>
  <c r="DC9"/>
  <c r="DB9"/>
  <c r="DD9" s="1"/>
  <c r="DA9"/>
  <c r="CW9"/>
  <c r="CV9"/>
  <c r="CX9" s="1"/>
  <c r="CU9"/>
  <c r="CP9"/>
  <c r="CQ9" s="1"/>
  <c r="CO9"/>
  <c r="CN9"/>
  <c r="CI9"/>
  <c r="CJ9" s="1"/>
  <c r="CB9"/>
  <c r="BX9"/>
  <c r="BW9"/>
  <c r="BR9"/>
  <c r="BS9" s="1"/>
  <c r="BK9"/>
  <c r="BJ9"/>
  <c r="BL9" s="1"/>
  <c r="BI9"/>
  <c r="BD9"/>
  <c r="BE9" s="1"/>
  <c r="BC9"/>
  <c r="BB9"/>
  <c r="AX9"/>
  <c r="AY9" s="1"/>
  <c r="AQ9"/>
  <c r="AR9" s="1"/>
  <c r="AM9"/>
  <c r="AL9"/>
  <c r="AG9"/>
  <c r="AA9"/>
  <c r="AB9" s="1"/>
  <c r="W9"/>
  <c r="V9"/>
  <c r="Q9"/>
  <c r="DA8"/>
  <c r="DC8" s="1"/>
  <c r="CU8"/>
  <c r="CW8" s="1"/>
  <c r="CN8"/>
  <c r="CP8" s="1"/>
  <c r="CJ8"/>
  <c r="CI8"/>
  <c r="CC8"/>
  <c r="CB8"/>
  <c r="BW8"/>
  <c r="BX8" s="1"/>
  <c r="BS8"/>
  <c r="BR8"/>
  <c r="BI8"/>
  <c r="BK8" s="1"/>
  <c r="BB8"/>
  <c r="BD8" s="1"/>
  <c r="AY8"/>
  <c r="AX8"/>
  <c r="AR8"/>
  <c r="AQ8"/>
  <c r="AL8"/>
  <c r="AM8" s="1"/>
  <c r="AH8"/>
  <c r="AG8"/>
  <c r="AB8"/>
  <c r="AA8"/>
  <c r="V8"/>
  <c r="W8" s="1"/>
  <c r="R8"/>
  <c r="Q8"/>
  <c r="DA7"/>
  <c r="DC7" s="1"/>
  <c r="CU7"/>
  <c r="CW7" s="1"/>
  <c r="CN7"/>
  <c r="CP7" s="1"/>
  <c r="CJ7"/>
  <c r="CI7"/>
  <c r="CC7"/>
  <c r="CB7"/>
  <c r="BW7"/>
  <c r="CD7" s="1"/>
  <c r="BS7"/>
  <c r="BR7"/>
  <c r="BI7"/>
  <c r="BK7" s="1"/>
  <c r="BB7"/>
  <c r="BD7" s="1"/>
  <c r="AY7"/>
  <c r="AX7"/>
  <c r="AR7"/>
  <c r="AQ7"/>
  <c r="AL7"/>
  <c r="AS7" s="1"/>
  <c r="AH7"/>
  <c r="AG7"/>
  <c r="AB7"/>
  <c r="AA7"/>
  <c r="V7"/>
  <c r="BM7" s="1"/>
  <c r="R7"/>
  <c r="Q7"/>
  <c r="DE6"/>
  <c r="DF6" s="1"/>
  <c r="DB6"/>
  <c r="DD6" s="1"/>
  <c r="DA6"/>
  <c r="DC6" s="1"/>
  <c r="CU6"/>
  <c r="CW6" s="1"/>
  <c r="CQ6"/>
  <c r="CO6"/>
  <c r="CN6"/>
  <c r="CP6" s="1"/>
  <c r="CJ6"/>
  <c r="CI6"/>
  <c r="CC6"/>
  <c r="CB6"/>
  <c r="BX6"/>
  <c r="BW6"/>
  <c r="CD6" s="1"/>
  <c r="CE6" s="1"/>
  <c r="BS6"/>
  <c r="BR6"/>
  <c r="BI6"/>
  <c r="BK6" s="1"/>
  <c r="BC6"/>
  <c r="BB6"/>
  <c r="BD6" s="1"/>
  <c r="BE6" s="1"/>
  <c r="AY6"/>
  <c r="AX6"/>
  <c r="AR6"/>
  <c r="AQ6"/>
  <c r="AM6"/>
  <c r="AL6"/>
  <c r="AS6" s="1"/>
  <c r="AT6" s="1"/>
  <c r="AH6"/>
  <c r="AG6"/>
  <c r="AB6"/>
  <c r="AA6"/>
  <c r="W6"/>
  <c r="V6"/>
  <c r="AC6" s="1"/>
  <c r="AD6" s="1"/>
  <c r="R6"/>
  <c r="Q6"/>
  <c r="M42"/>
  <c r="L42"/>
  <c r="M41"/>
  <c r="L41"/>
  <c r="M40"/>
  <c r="L40"/>
  <c r="M39"/>
  <c r="L39"/>
  <c r="M38"/>
  <c r="L38"/>
  <c r="M37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DN118"/>
  <c r="BW56"/>
  <c r="AR26" i="6" l="1"/>
  <c r="AV26"/>
  <c r="BA129"/>
  <c r="BC129" s="1"/>
  <c r="BB129"/>
  <c r="CG176"/>
  <c r="CI176" s="1"/>
  <c r="AU26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M152"/>
  <c r="B127"/>
  <c r="B129" s="1"/>
  <c r="B130" s="1"/>
  <c r="B131" s="1"/>
  <c r="B174"/>
  <c r="B175" s="1"/>
  <c r="B176" s="1"/>
  <c r="CL64"/>
  <c r="CN64" s="1"/>
  <c r="CH22"/>
  <c r="CB33"/>
  <c r="CM18"/>
  <c r="AV32"/>
  <c r="CM41"/>
  <c r="BA31"/>
  <c r="BC31" s="1"/>
  <c r="AV29"/>
  <c r="Z23"/>
  <c r="AV9"/>
  <c r="Z62"/>
  <c r="CB142"/>
  <c r="BR173"/>
  <c r="BB37"/>
  <c r="CB35"/>
  <c r="BA22"/>
  <c r="BC22" s="1"/>
  <c r="CG7"/>
  <c r="CI7" s="1"/>
  <c r="BA58"/>
  <c r="BC58" s="1"/>
  <c r="CB82"/>
  <c r="CM118"/>
  <c r="AV119"/>
  <c r="BB122"/>
  <c r="AV152"/>
  <c r="AV78"/>
  <c r="CG78"/>
  <c r="CI78" s="1"/>
  <c r="CB79"/>
  <c r="BA34"/>
  <c r="BC34" s="1"/>
  <c r="CL33"/>
  <c r="CN33" s="1"/>
  <c r="CA33"/>
  <c r="BR25"/>
  <c r="BA20"/>
  <c r="BC20" s="1"/>
  <c r="AV18"/>
  <c r="CG17"/>
  <c r="CI17" s="1"/>
  <c r="CG14"/>
  <c r="CI14" s="1"/>
  <c r="CG39"/>
  <c r="CI39" s="1"/>
  <c r="CG37"/>
  <c r="CI37" s="1"/>
  <c r="CG36"/>
  <c r="CI36" s="1"/>
  <c r="BA21"/>
  <c r="BC21" s="1"/>
  <c r="CB108"/>
  <c r="CB111"/>
  <c r="CG30"/>
  <c r="CI30" s="1"/>
  <c r="AU29"/>
  <c r="BQ25"/>
  <c r="BA24"/>
  <c r="BC24" s="1"/>
  <c r="CL23"/>
  <c r="CN23" s="1"/>
  <c r="AU18"/>
  <c r="CH16"/>
  <c r="CL7"/>
  <c r="CN7" s="1"/>
  <c r="CB7"/>
  <c r="AV7"/>
  <c r="AW7" s="1"/>
  <c r="CM59"/>
  <c r="BA66"/>
  <c r="BC66" s="1"/>
  <c r="BB69"/>
  <c r="BA74"/>
  <c r="BC74" s="1"/>
  <c r="CM126"/>
  <c r="AV162"/>
  <c r="AV164"/>
  <c r="BA170"/>
  <c r="BC170" s="1"/>
  <c r="BR171"/>
  <c r="AM174"/>
  <c r="AV176"/>
  <c r="CO26"/>
  <c r="CS26" s="1"/>
  <c r="AM19"/>
  <c r="AN19" s="1"/>
  <c r="BD10"/>
  <c r="CQ10" s="1"/>
  <c r="CB50"/>
  <c r="AV54"/>
  <c r="CB171"/>
  <c r="CG56"/>
  <c r="CI56" s="1"/>
  <c r="CL70"/>
  <c r="CN70" s="1"/>
  <c r="AV82"/>
  <c r="CO42"/>
  <c r="CS42" s="1"/>
  <c r="BA42"/>
  <c r="BC42" s="1"/>
  <c r="AV41"/>
  <c r="AV20"/>
  <c r="CM10"/>
  <c r="BR9"/>
  <c r="AM152"/>
  <c r="CH41"/>
  <c r="AU41"/>
  <c r="CO40"/>
  <c r="CS40" s="1"/>
  <c r="BD36"/>
  <c r="CQ36" s="1"/>
  <c r="CL35"/>
  <c r="CN35" s="1"/>
  <c r="CA35"/>
  <c r="CB32"/>
  <c r="AM32"/>
  <c r="CM31"/>
  <c r="CG28"/>
  <c r="CI28" s="1"/>
  <c r="CG27"/>
  <c r="CI27" s="1"/>
  <c r="CM24"/>
  <c r="CG23"/>
  <c r="CI23" s="1"/>
  <c r="CL20"/>
  <c r="CN20" s="1"/>
  <c r="CG18"/>
  <c r="CI18" s="1"/>
  <c r="BA16"/>
  <c r="BC16" s="1"/>
  <c r="AV12"/>
  <c r="CL11"/>
  <c r="CN11" s="1"/>
  <c r="BQ9"/>
  <c r="AV50"/>
  <c r="AV52"/>
  <c r="AM54"/>
  <c r="BA54"/>
  <c r="BC54" s="1"/>
  <c r="CL58"/>
  <c r="CN58" s="1"/>
  <c r="CL72"/>
  <c r="CN72" s="1"/>
  <c r="AM74"/>
  <c r="BR75"/>
  <c r="BS75" s="1"/>
  <c r="CG82"/>
  <c r="CI82" s="1"/>
  <c r="CM98"/>
  <c r="AV99"/>
  <c r="Z101"/>
  <c r="CM103"/>
  <c r="AV104"/>
  <c r="CH118"/>
  <c r="AV146"/>
  <c r="BB152"/>
  <c r="CB153"/>
  <c r="AV158"/>
  <c r="CG158"/>
  <c r="CI158" s="1"/>
  <c r="BD162"/>
  <c r="CQ162" s="1"/>
  <c r="Z168"/>
  <c r="AV169"/>
  <c r="CL170"/>
  <c r="CN170" s="1"/>
  <c r="CL172"/>
  <c r="CN172" s="1"/>
  <c r="BA174"/>
  <c r="BC174" s="1"/>
  <c r="BA176"/>
  <c r="BC176" s="1"/>
  <c r="CB41"/>
  <c r="BR39"/>
  <c r="AV39"/>
  <c r="AM26"/>
  <c r="AV25"/>
  <c r="BD15"/>
  <c r="CQ15" s="1"/>
  <c r="BR13"/>
  <c r="CB54"/>
  <c r="CB56"/>
  <c r="AM58"/>
  <c r="CB60"/>
  <c r="BA62"/>
  <c r="BC62" s="1"/>
  <c r="CM65"/>
  <c r="BA76"/>
  <c r="BC76" s="1"/>
  <c r="BA78"/>
  <c r="BC78" s="1"/>
  <c r="AM82"/>
  <c r="BA82"/>
  <c r="BC82" s="1"/>
  <c r="AM85"/>
  <c r="BR85"/>
  <c r="AV87"/>
  <c r="Z96"/>
  <c r="BR106"/>
  <c r="BR109"/>
  <c r="CB113"/>
  <c r="CH114"/>
  <c r="AV117"/>
  <c r="AM119"/>
  <c r="AM130"/>
  <c r="BR150"/>
  <c r="Z164"/>
  <c r="CB176"/>
  <c r="BA50"/>
  <c r="BC50" s="1"/>
  <c r="CB84"/>
  <c r="CL84"/>
  <c r="CN84" s="1"/>
  <c r="BA86"/>
  <c r="BC86" s="1"/>
  <c r="CB174"/>
  <c r="AM40"/>
  <c r="AN40" s="1"/>
  <c r="CM39"/>
  <c r="CB39"/>
  <c r="BA36"/>
  <c r="BC36" s="1"/>
  <c r="CL29"/>
  <c r="CN29" s="1"/>
  <c r="BA27"/>
  <c r="BC27" s="1"/>
  <c r="CL26"/>
  <c r="CN26" s="1"/>
  <c r="Z26"/>
  <c r="AA26" s="1"/>
  <c r="BA25"/>
  <c r="BC25" s="1"/>
  <c r="AU20"/>
  <c r="AM62"/>
  <c r="BD63"/>
  <c r="CQ63" s="1"/>
  <c r="AV65"/>
  <c r="BD123"/>
  <c r="CB123"/>
  <c r="AV157"/>
  <c r="BD172"/>
  <c r="AM173"/>
  <c r="Z176"/>
  <c r="BR36"/>
  <c r="BQ36"/>
  <c r="CG33"/>
  <c r="CI33" s="1"/>
  <c r="CH33"/>
  <c r="CA41"/>
  <c r="CO41"/>
  <c r="BA41"/>
  <c r="BC41" s="1"/>
  <c r="CG40"/>
  <c r="CI40" s="1"/>
  <c r="AM36"/>
  <c r="CM40"/>
  <c r="CL40"/>
  <c r="CN40" s="1"/>
  <c r="AM42"/>
  <c r="AN42" s="1"/>
  <c r="BD40"/>
  <c r="CQ40" s="1"/>
  <c r="BR42"/>
  <c r="Z42"/>
  <c r="AA42" s="1"/>
  <c r="Z38"/>
  <c r="AA38" s="1"/>
  <c r="AD36"/>
  <c r="BB39"/>
  <c r="BA39"/>
  <c r="BC39" s="1"/>
  <c r="CG35"/>
  <c r="CI35" s="1"/>
  <c r="CH35"/>
  <c r="CO37"/>
  <c r="BR40"/>
  <c r="BQ40"/>
  <c r="CH34"/>
  <c r="CO34"/>
  <c r="CS34" s="1"/>
  <c r="AV40"/>
  <c r="BR38"/>
  <c r="BD38"/>
  <c r="CQ38" s="1"/>
  <c r="AV37"/>
  <c r="Z36"/>
  <c r="AA36" s="1"/>
  <c r="BR34"/>
  <c r="Z34"/>
  <c r="AA34" s="1"/>
  <c r="BD32"/>
  <c r="CQ32" s="1"/>
  <c r="BA30"/>
  <c r="BC30" s="1"/>
  <c r="CG29"/>
  <c r="CI29" s="1"/>
  <c r="CL28"/>
  <c r="CN28" s="1"/>
  <c r="BD26"/>
  <c r="CQ26" s="1"/>
  <c r="CU26" s="1"/>
  <c r="BD25"/>
  <c r="CQ25" s="1"/>
  <c r="AU25"/>
  <c r="AM25"/>
  <c r="AN25" s="1"/>
  <c r="CO23"/>
  <c r="CS23" s="1"/>
  <c r="BA23"/>
  <c r="BC23" s="1"/>
  <c r="CL21"/>
  <c r="CN21" s="1"/>
  <c r="CG20"/>
  <c r="CI20" s="1"/>
  <c r="CB18"/>
  <c r="CC18" s="1"/>
  <c r="BR18"/>
  <c r="CB17"/>
  <c r="BA17"/>
  <c r="BC17" s="1"/>
  <c r="BA14"/>
  <c r="BC14" s="1"/>
  <c r="CG12"/>
  <c r="CI12" s="1"/>
  <c r="AM12"/>
  <c r="AN12" s="1"/>
  <c r="CO9"/>
  <c r="CS9" s="1"/>
  <c r="BR8"/>
  <c r="CA7"/>
  <c r="BB7"/>
  <c r="CB62"/>
  <c r="BR63"/>
  <c r="AM64"/>
  <c r="AV64"/>
  <c r="AW64" s="1"/>
  <c r="CB64"/>
  <c r="BB65"/>
  <c r="BD66"/>
  <c r="CQ66" s="1"/>
  <c r="CL66"/>
  <c r="CN66" s="1"/>
  <c r="AM72"/>
  <c r="AV72"/>
  <c r="AW72" s="1"/>
  <c r="CB72"/>
  <c r="CB74"/>
  <c r="BD76"/>
  <c r="CQ76" s="1"/>
  <c r="AM78"/>
  <c r="AM80"/>
  <c r="AN80" s="1"/>
  <c r="AV80"/>
  <c r="BD86"/>
  <c r="CQ86" s="1"/>
  <c r="AV86"/>
  <c r="AW86" s="1"/>
  <c r="AV95"/>
  <c r="AV97"/>
  <c r="BR102"/>
  <c r="BS102" s="1"/>
  <c r="CM104"/>
  <c r="BB111"/>
  <c r="BD113"/>
  <c r="CQ113" s="1"/>
  <c r="CM114"/>
  <c r="BR117"/>
  <c r="BB119"/>
  <c r="CM119"/>
  <c r="BD121"/>
  <c r="CQ121" s="1"/>
  <c r="CB121"/>
  <c r="BR123"/>
  <c r="AM127"/>
  <c r="CH129"/>
  <c r="BD139"/>
  <c r="CB139"/>
  <c r="AV140"/>
  <c r="AV142"/>
  <c r="CL144"/>
  <c r="CN144" s="1"/>
  <c r="AM146"/>
  <c r="BA146"/>
  <c r="BC146" s="1"/>
  <c r="BR147"/>
  <c r="BS147" s="1"/>
  <c r="BA148"/>
  <c r="BC148" s="1"/>
  <c r="CG148"/>
  <c r="CI148" s="1"/>
  <c r="AV154"/>
  <c r="AW154" s="1"/>
  <c r="CL154"/>
  <c r="CN154" s="1"/>
  <c r="CL155"/>
  <c r="CN155" s="1"/>
  <c r="BD157"/>
  <c r="AM158"/>
  <c r="BA158"/>
  <c r="BC158" s="1"/>
  <c r="BR159"/>
  <c r="BS159" s="1"/>
  <c r="CH161"/>
  <c r="BA164"/>
  <c r="BC164" s="1"/>
  <c r="AV174"/>
  <c r="AW39"/>
  <c r="AV35"/>
  <c r="AW35" s="1"/>
  <c r="CC33"/>
  <c r="AV33"/>
  <c r="AW33" s="1"/>
  <c r="CB29"/>
  <c r="CC29" s="1"/>
  <c r="BR29"/>
  <c r="BR28"/>
  <c r="BR23"/>
  <c r="BS23" s="1"/>
  <c r="CB22"/>
  <c r="AV21"/>
  <c r="CL19"/>
  <c r="CN19" s="1"/>
  <c r="CO16"/>
  <c r="CS16" s="1"/>
  <c r="AV16"/>
  <c r="AV15"/>
  <c r="CO13"/>
  <c r="CS13" s="1"/>
  <c r="BA12"/>
  <c r="BC12" s="1"/>
  <c r="BB9"/>
  <c r="CO8"/>
  <c r="CS8" s="1"/>
  <c r="AU50"/>
  <c r="AW50" s="1"/>
  <c r="CA50"/>
  <c r="CL50"/>
  <c r="CN50" s="1"/>
  <c r="AR52"/>
  <c r="BA52"/>
  <c r="BC52" s="1"/>
  <c r="AM56"/>
  <c r="AV56"/>
  <c r="AW56" s="1"/>
  <c r="BB56"/>
  <c r="CL56"/>
  <c r="CN56" s="1"/>
  <c r="CB57"/>
  <c r="CC57" s="1"/>
  <c r="AV58"/>
  <c r="BB59"/>
  <c r="AV60"/>
  <c r="CG60"/>
  <c r="CI60" s="1"/>
  <c r="AV62"/>
  <c r="BA64"/>
  <c r="BC64" s="1"/>
  <c r="CG64"/>
  <c r="CI64" s="1"/>
  <c r="Z67"/>
  <c r="BD68"/>
  <c r="BA72"/>
  <c r="BC72" s="1"/>
  <c r="AV74"/>
  <c r="CL76"/>
  <c r="CN76" s="1"/>
  <c r="CB78"/>
  <c r="AV79"/>
  <c r="BA80"/>
  <c r="BC80" s="1"/>
  <c r="AD82"/>
  <c r="AU82"/>
  <c r="CA82"/>
  <c r="CL82"/>
  <c r="CN82" s="1"/>
  <c r="BB95"/>
  <c r="CM95"/>
  <c r="Q96"/>
  <c r="CH98"/>
  <c r="AR99"/>
  <c r="AW99" s="1"/>
  <c r="BB100"/>
  <c r="AV102"/>
  <c r="CH103"/>
  <c r="AR104"/>
  <c r="AM105"/>
  <c r="BR105"/>
  <c r="BB107"/>
  <c r="BD117"/>
  <c r="CQ117" s="1"/>
  <c r="AV125"/>
  <c r="BB126"/>
  <c r="CM130"/>
  <c r="AM144"/>
  <c r="AN144" s="1"/>
  <c r="AV144"/>
  <c r="CB144"/>
  <c r="CB146"/>
  <c r="BD150"/>
  <c r="CQ150" s="1"/>
  <c r="CH152"/>
  <c r="Z154"/>
  <c r="CB154"/>
  <c r="AM155"/>
  <c r="AN155" s="1"/>
  <c r="AV155"/>
  <c r="CB155"/>
  <c r="CB156"/>
  <c r="CB158"/>
  <c r="BA160"/>
  <c r="BC160" s="1"/>
  <c r="CH162"/>
  <c r="CB164"/>
  <c r="BB166"/>
  <c r="CM166"/>
  <c r="CB168"/>
  <c r="CL168"/>
  <c r="CN168" s="1"/>
  <c r="AV170"/>
  <c r="CG170"/>
  <c r="CI170" s="1"/>
  <c r="U176"/>
  <c r="AU176"/>
  <c r="CA176"/>
  <c r="AM34"/>
  <c r="AN34" s="1"/>
  <c r="BR30"/>
  <c r="BS30" s="1"/>
  <c r="BR21"/>
  <c r="BR14"/>
  <c r="BS14" s="1"/>
  <c r="Z14"/>
  <c r="BD12"/>
  <c r="CQ12" s="1"/>
  <c r="Z12"/>
  <c r="AA12" s="1"/>
  <c r="BD11"/>
  <c r="CQ11" s="1"/>
  <c r="CM51"/>
  <c r="AM52"/>
  <c r="CL52"/>
  <c r="CN52" s="1"/>
  <c r="AD54"/>
  <c r="AU54"/>
  <c r="CA54"/>
  <c r="CL54"/>
  <c r="CN54" s="1"/>
  <c r="CM57"/>
  <c r="CH59"/>
  <c r="BR61"/>
  <c r="BS61" s="1"/>
  <c r="CL68"/>
  <c r="CN68" s="1"/>
  <c r="BD70"/>
  <c r="CQ70" s="1"/>
  <c r="CG74"/>
  <c r="CI74" s="1"/>
  <c r="CB83"/>
  <c r="AM84"/>
  <c r="AN84" s="1"/>
  <c r="BD97"/>
  <c r="CQ97" s="1"/>
  <c r="CM99"/>
  <c r="Q101"/>
  <c r="BB104"/>
  <c r="BR104"/>
  <c r="AV113"/>
  <c r="BD140"/>
  <c r="CQ140" s="1"/>
  <c r="CB140"/>
  <c r="AM142"/>
  <c r="CA142"/>
  <c r="CL142"/>
  <c r="CN142" s="1"/>
  <c r="BA144"/>
  <c r="BC144" s="1"/>
  <c r="CG144"/>
  <c r="CI144" s="1"/>
  <c r="BD148"/>
  <c r="CQ148" s="1"/>
  <c r="CL148"/>
  <c r="CN148" s="1"/>
  <c r="CL150"/>
  <c r="CN150" s="1"/>
  <c r="AD152"/>
  <c r="AU152"/>
  <c r="BA155"/>
  <c r="BC155" s="1"/>
  <c r="CG155"/>
  <c r="CI155" s="1"/>
  <c r="BD160"/>
  <c r="CQ160" s="1"/>
  <c r="CM160"/>
  <c r="CB161"/>
  <c r="CC161" s="1"/>
  <c r="CM161"/>
  <c r="Q162"/>
  <c r="AR162"/>
  <c r="BA162"/>
  <c r="BC162" s="1"/>
  <c r="AM166"/>
  <c r="BB167"/>
  <c r="U168"/>
  <c r="AV168"/>
  <c r="BB169"/>
  <c r="CM169"/>
  <c r="AM170"/>
  <c r="CH32"/>
  <c r="CG32"/>
  <c r="CI32" s="1"/>
  <c r="BB32"/>
  <c r="BA32"/>
  <c r="BC32" s="1"/>
  <c r="CB30"/>
  <c r="CO30"/>
  <c r="CS30" s="1"/>
  <c r="CB28"/>
  <c r="CA28"/>
  <c r="CO27"/>
  <c r="BW27"/>
  <c r="BQ26"/>
  <c r="BR26"/>
  <c r="AM22"/>
  <c r="AD22"/>
  <c r="CA20"/>
  <c r="CB20"/>
  <c r="CH19"/>
  <c r="CO19"/>
  <c r="CS19" s="1"/>
  <c r="BA18"/>
  <c r="BC18" s="1"/>
  <c r="BB18"/>
  <c r="CB14"/>
  <c r="CO14"/>
  <c r="CS14" s="1"/>
  <c r="CB12"/>
  <c r="CO12"/>
  <c r="CS12" s="1"/>
  <c r="CA12"/>
  <c r="AV11"/>
  <c r="AU11"/>
  <c r="AM11"/>
  <c r="AD11"/>
  <c r="Z39"/>
  <c r="CO38"/>
  <c r="CS38" s="1"/>
  <c r="AM37"/>
  <c r="CO32"/>
  <c r="CS32" s="1"/>
  <c r="Z21"/>
  <c r="CO17"/>
  <c r="CS17" s="1"/>
  <c r="AM16"/>
  <c r="BD16"/>
  <c r="CQ16" s="1"/>
  <c r="CA31"/>
  <c r="CB31"/>
  <c r="Q28"/>
  <c r="Z28"/>
  <c r="BD28"/>
  <c r="CQ28" s="1"/>
  <c r="CH26"/>
  <c r="CG26"/>
  <c r="CI26" s="1"/>
  <c r="CA24"/>
  <c r="CB24"/>
  <c r="CB23"/>
  <c r="CA23"/>
  <c r="CL22"/>
  <c r="CN22" s="1"/>
  <c r="CM22"/>
  <c r="BR20"/>
  <c r="BQ20"/>
  <c r="CL16"/>
  <c r="CN16" s="1"/>
  <c r="CM16"/>
  <c r="CL15"/>
  <c r="CN15" s="1"/>
  <c r="CM15"/>
  <c r="CA15"/>
  <c r="CB15"/>
  <c r="AV13"/>
  <c r="AU13"/>
  <c r="CH11"/>
  <c r="CO11"/>
  <c r="CS11" s="1"/>
  <c r="CG11"/>
  <c r="CI11" s="1"/>
  <c r="BB11"/>
  <c r="BA11"/>
  <c r="BC11" s="1"/>
  <c r="CB9"/>
  <c r="CA9"/>
  <c r="Z40"/>
  <c r="AA40" s="1"/>
  <c r="CB37"/>
  <c r="CG42"/>
  <c r="CI42" s="1"/>
  <c r="BQ42"/>
  <c r="Z41"/>
  <c r="AA41" s="1"/>
  <c r="AU40"/>
  <c r="AW40" s="1"/>
  <c r="CA39"/>
  <c r="BQ39"/>
  <c r="BS39" s="1"/>
  <c r="Q39"/>
  <c r="CG38"/>
  <c r="CI38" s="1"/>
  <c r="BQ38"/>
  <c r="BS38" s="1"/>
  <c r="BA38"/>
  <c r="BC38" s="1"/>
  <c r="AD38"/>
  <c r="CL37"/>
  <c r="CN37" s="1"/>
  <c r="BW37"/>
  <c r="AU37"/>
  <c r="AD37"/>
  <c r="CL36"/>
  <c r="CN36" s="1"/>
  <c r="CO35"/>
  <c r="BA35"/>
  <c r="BC35" s="1"/>
  <c r="AM35"/>
  <c r="AN35" s="1"/>
  <c r="CG34"/>
  <c r="CI34" s="1"/>
  <c r="BQ34"/>
  <c r="BS34" s="1"/>
  <c r="CO33"/>
  <c r="BA33"/>
  <c r="BC33" s="1"/>
  <c r="AM33"/>
  <c r="AN33" s="1"/>
  <c r="AH32"/>
  <c r="Z32"/>
  <c r="AA32" s="1"/>
  <c r="CL30"/>
  <c r="CN30" s="1"/>
  <c r="CA30"/>
  <c r="BD30"/>
  <c r="CQ30" s="1"/>
  <c r="Z30"/>
  <c r="AA30" s="1"/>
  <c r="Z29"/>
  <c r="AA29" s="1"/>
  <c r="BQ28"/>
  <c r="CL25"/>
  <c r="CN25" s="1"/>
  <c r="Z25"/>
  <c r="AA25" s="1"/>
  <c r="Q21"/>
  <c r="AW20"/>
  <c r="CG19"/>
  <c r="CI19" s="1"/>
  <c r="BS18"/>
  <c r="CB16"/>
  <c r="CC16" s="1"/>
  <c r="AU16"/>
  <c r="AD16"/>
  <c r="U16"/>
  <c r="BA15"/>
  <c r="BC15" s="1"/>
  <c r="CL14"/>
  <c r="CN14" s="1"/>
  <c r="CA14"/>
  <c r="BD14"/>
  <c r="CQ14" s="1"/>
  <c r="BR12"/>
  <c r="BS12" s="1"/>
  <c r="CC7"/>
  <c r="BR31"/>
  <c r="BQ31"/>
  <c r="AV30"/>
  <c r="AU30"/>
  <c r="BA29"/>
  <c r="BC29" s="1"/>
  <c r="BB29"/>
  <c r="AD28"/>
  <c r="AM28"/>
  <c r="BR24"/>
  <c r="BQ24"/>
  <c r="CO22"/>
  <c r="BW22"/>
  <c r="CC22" s="1"/>
  <c r="AU22"/>
  <c r="AV22"/>
  <c r="CH21"/>
  <c r="CG21"/>
  <c r="CI21" s="1"/>
  <c r="CO21"/>
  <c r="CS21" s="1"/>
  <c r="Z20"/>
  <c r="Q20"/>
  <c r="BB19"/>
  <c r="BA19"/>
  <c r="BC19" s="1"/>
  <c r="AV17"/>
  <c r="AU17"/>
  <c r="Q17"/>
  <c r="BD17"/>
  <c r="CQ17" s="1"/>
  <c r="Z17"/>
  <c r="BR15"/>
  <c r="BQ15"/>
  <c r="AV14"/>
  <c r="AU14"/>
  <c r="BB13"/>
  <c r="BA13"/>
  <c r="BC13" s="1"/>
  <c r="CB42"/>
  <c r="AM39"/>
  <c r="AM38"/>
  <c r="BR37"/>
  <c r="CB34"/>
  <c r="BD23"/>
  <c r="CQ23" s="1"/>
  <c r="CU23" s="1"/>
  <c r="AM17"/>
  <c r="AM15"/>
  <c r="BS9"/>
  <c r="Z31"/>
  <c r="Q31"/>
  <c r="CL27"/>
  <c r="CN27" s="1"/>
  <c r="CM27"/>
  <c r="Z27"/>
  <c r="Q27"/>
  <c r="BB26"/>
  <c r="BA26"/>
  <c r="BC26" s="1"/>
  <c r="CH25"/>
  <c r="CG25"/>
  <c r="CI25" s="1"/>
  <c r="CO25"/>
  <c r="CS25" s="1"/>
  <c r="Z24"/>
  <c r="Q24"/>
  <c r="AD23"/>
  <c r="AM23"/>
  <c r="BQ19"/>
  <c r="BR19"/>
  <c r="CM17"/>
  <c r="CL17"/>
  <c r="CN17" s="1"/>
  <c r="CG15"/>
  <c r="CI15" s="1"/>
  <c r="CH15"/>
  <c r="AM13"/>
  <c r="AD13"/>
  <c r="CM12"/>
  <c r="CL12"/>
  <c r="CN12" s="1"/>
  <c r="Z10"/>
  <c r="Q10"/>
  <c r="CO39"/>
  <c r="CB38"/>
  <c r="AV38"/>
  <c r="Z37"/>
  <c r="CL42"/>
  <c r="CN42" s="1"/>
  <c r="CA42"/>
  <c r="BD42"/>
  <c r="CQ42" s="1"/>
  <c r="CU42" s="1"/>
  <c r="AV42"/>
  <c r="AW42" s="1"/>
  <c r="BR41"/>
  <c r="BS41" s="1"/>
  <c r="AM41"/>
  <c r="AN41" s="1"/>
  <c r="CB40"/>
  <c r="CC40" s="1"/>
  <c r="BA40"/>
  <c r="BC40" s="1"/>
  <c r="BW39"/>
  <c r="AD39"/>
  <c r="CL38"/>
  <c r="CN38" s="1"/>
  <c r="CA38"/>
  <c r="AU38"/>
  <c r="BQ37"/>
  <c r="Q37"/>
  <c r="CO36"/>
  <c r="CS36" s="1"/>
  <c r="CB36"/>
  <c r="CC36" s="1"/>
  <c r="AV36"/>
  <c r="AW36" s="1"/>
  <c r="BR35"/>
  <c r="BS35" s="1"/>
  <c r="Z35"/>
  <c r="AA35" s="1"/>
  <c r="CL34"/>
  <c r="CN34" s="1"/>
  <c r="CA34"/>
  <c r="BD34"/>
  <c r="CQ34" s="1"/>
  <c r="CU34" s="1"/>
  <c r="AV34"/>
  <c r="AW34" s="1"/>
  <c r="BR33"/>
  <c r="BS33" s="1"/>
  <c r="CL32"/>
  <c r="CN32" s="1"/>
  <c r="CA32"/>
  <c r="CC32" s="1"/>
  <c r="BR32"/>
  <c r="BS32" s="1"/>
  <c r="AU32"/>
  <c r="AW32" s="1"/>
  <c r="CG31"/>
  <c r="CI31" s="1"/>
  <c r="AV31"/>
  <c r="AW31" s="1"/>
  <c r="AM30"/>
  <c r="AN30" s="1"/>
  <c r="BS29"/>
  <c r="CO28"/>
  <c r="CS28" s="1"/>
  <c r="BA28"/>
  <c r="BC28" s="1"/>
  <c r="CB27"/>
  <c r="AV27"/>
  <c r="AW27" s="1"/>
  <c r="AW25"/>
  <c r="CG24"/>
  <c r="CI24" s="1"/>
  <c r="AV24"/>
  <c r="AW24" s="1"/>
  <c r="U23"/>
  <c r="BD21"/>
  <c r="CQ21" s="1"/>
  <c r="AU21"/>
  <c r="AW21" s="1"/>
  <c r="AM21"/>
  <c r="AN21" s="1"/>
  <c r="BD19"/>
  <c r="CQ19" s="1"/>
  <c r="Z19"/>
  <c r="AA19" s="1"/>
  <c r="Z18"/>
  <c r="AA18" s="1"/>
  <c r="CA17"/>
  <c r="CC17" s="1"/>
  <c r="BR17"/>
  <c r="BS17" s="1"/>
  <c r="AD17"/>
  <c r="CO15"/>
  <c r="CS15" s="1"/>
  <c r="AU15"/>
  <c r="AW15" s="1"/>
  <c r="AD15"/>
  <c r="AM14"/>
  <c r="AN14" s="1"/>
  <c r="BD13"/>
  <c r="CQ13" s="1"/>
  <c r="CU13" s="1"/>
  <c r="AV10"/>
  <c r="AW10" s="1"/>
  <c r="AW9"/>
  <c r="CB80"/>
  <c r="CA80"/>
  <c r="CB86"/>
  <c r="BW86"/>
  <c r="CO95"/>
  <c r="CH95"/>
  <c r="CO31"/>
  <c r="AM31"/>
  <c r="AN31" s="1"/>
  <c r="AW29"/>
  <c r="BR27"/>
  <c r="BS27" s="1"/>
  <c r="AM27"/>
  <c r="AN27" s="1"/>
  <c r="CB26"/>
  <c r="CC26" s="1"/>
  <c r="AW26"/>
  <c r="AN26"/>
  <c r="CB25"/>
  <c r="CC25" s="1"/>
  <c r="BS25"/>
  <c r="CO24"/>
  <c r="AM24"/>
  <c r="AN24" s="1"/>
  <c r="BR22"/>
  <c r="BS22" s="1"/>
  <c r="Z22"/>
  <c r="AA22" s="1"/>
  <c r="CB21"/>
  <c r="CC21" s="1"/>
  <c r="BS21"/>
  <c r="CO20"/>
  <c r="AM20"/>
  <c r="AN20" s="1"/>
  <c r="AV19"/>
  <c r="AW19" s="1"/>
  <c r="AW18"/>
  <c r="BR16"/>
  <c r="BS16" s="1"/>
  <c r="CM13"/>
  <c r="CH13"/>
  <c r="CB13"/>
  <c r="CC13" s="1"/>
  <c r="BR11"/>
  <c r="BS11" s="1"/>
  <c r="CB10"/>
  <c r="CC10" s="1"/>
  <c r="BR10"/>
  <c r="BS10" s="1"/>
  <c r="BB10"/>
  <c r="CG9"/>
  <c r="CI9" s="1"/>
  <c r="CL8"/>
  <c r="CN8" s="1"/>
  <c r="BD8"/>
  <c r="CQ8" s="1"/>
  <c r="CU8" s="1"/>
  <c r="AV8"/>
  <c r="AW8" s="1"/>
  <c r="Z8"/>
  <c r="AA8" s="1"/>
  <c r="CO7"/>
  <c r="CS7" s="1"/>
  <c r="BR7"/>
  <c r="BS7" s="1"/>
  <c r="BD50"/>
  <c r="CQ50" s="1"/>
  <c r="AM50"/>
  <c r="AN50" s="1"/>
  <c r="BR50"/>
  <c r="BS50" s="1"/>
  <c r="CO50"/>
  <c r="CO51"/>
  <c r="AD52"/>
  <c r="AN52" s="1"/>
  <c r="CG52"/>
  <c r="CI52" s="1"/>
  <c r="BD54"/>
  <c r="CQ54" s="1"/>
  <c r="CO54"/>
  <c r="CS54" s="1"/>
  <c r="BD56"/>
  <c r="CQ56" s="1"/>
  <c r="CA56"/>
  <c r="CC56" s="1"/>
  <c r="BB57"/>
  <c r="CH57"/>
  <c r="AD58"/>
  <c r="AN58" s="1"/>
  <c r="AU58"/>
  <c r="BR58"/>
  <c r="BS58" s="1"/>
  <c r="CB58"/>
  <c r="CC58" s="1"/>
  <c r="AV59"/>
  <c r="AW59" s="1"/>
  <c r="AM60"/>
  <c r="AN60" s="1"/>
  <c r="AR60"/>
  <c r="AW60" s="1"/>
  <c r="BA60"/>
  <c r="BC60" s="1"/>
  <c r="CA60"/>
  <c r="CC60" s="1"/>
  <c r="CL60"/>
  <c r="CN60" s="1"/>
  <c r="U62"/>
  <c r="AD62"/>
  <c r="AN62" s="1"/>
  <c r="AU62"/>
  <c r="CA62"/>
  <c r="CC62" s="1"/>
  <c r="CL62"/>
  <c r="CN62" s="1"/>
  <c r="BD64"/>
  <c r="CO65"/>
  <c r="AM66"/>
  <c r="AN66" s="1"/>
  <c r="AV66"/>
  <c r="AW66" s="1"/>
  <c r="BR67"/>
  <c r="CO67"/>
  <c r="Q68"/>
  <c r="BA68"/>
  <c r="BC68" s="1"/>
  <c r="CG68"/>
  <c r="CI68" s="1"/>
  <c r="CH69"/>
  <c r="Q70"/>
  <c r="BA70"/>
  <c r="BC70" s="1"/>
  <c r="CG70"/>
  <c r="CI70" s="1"/>
  <c r="BD72"/>
  <c r="CQ72" s="1"/>
  <c r="CO72"/>
  <c r="CS72" s="1"/>
  <c r="AD74"/>
  <c r="AN74" s="1"/>
  <c r="AU74"/>
  <c r="AW74" s="1"/>
  <c r="CA74"/>
  <c r="CC74" s="1"/>
  <c r="CL74"/>
  <c r="CN74" s="1"/>
  <c r="AM76"/>
  <c r="AN76" s="1"/>
  <c r="AV76"/>
  <c r="AW76" s="1"/>
  <c r="BR76"/>
  <c r="BS76" s="1"/>
  <c r="CB76"/>
  <c r="CC76" s="1"/>
  <c r="AD78"/>
  <c r="AU78"/>
  <c r="AW78" s="1"/>
  <c r="CA78"/>
  <c r="CC78" s="1"/>
  <c r="CL78"/>
  <c r="CN78" s="1"/>
  <c r="BD80"/>
  <c r="CQ80" s="1"/>
  <c r="AM81"/>
  <c r="BR81"/>
  <c r="AV84"/>
  <c r="AW84" s="1"/>
  <c r="CB87"/>
  <c r="AV98"/>
  <c r="AW98" s="1"/>
  <c r="BB99"/>
  <c r="BR99"/>
  <c r="AV100"/>
  <c r="AW100" s="1"/>
  <c r="CM100"/>
  <c r="AV107"/>
  <c r="CM80"/>
  <c r="CL80"/>
  <c r="CN80" s="1"/>
  <c r="CO84"/>
  <c r="CG84"/>
  <c r="CI84" s="1"/>
  <c r="CO86"/>
  <c r="CH86"/>
  <c r="CG86"/>
  <c r="CI86" s="1"/>
  <c r="BR101"/>
  <c r="BQ101"/>
  <c r="CM102"/>
  <c r="CL102"/>
  <c r="CN102" s="1"/>
  <c r="BA108"/>
  <c r="BC108" s="1"/>
  <c r="BB108"/>
  <c r="Z9"/>
  <c r="Z7"/>
  <c r="BR56"/>
  <c r="BS56" s="1"/>
  <c r="BR60"/>
  <c r="BS60" s="1"/>
  <c r="BR62"/>
  <c r="BS62" s="1"/>
  <c r="CO66"/>
  <c r="BR74"/>
  <c r="BS74" s="1"/>
  <c r="BR78"/>
  <c r="BS78" s="1"/>
  <c r="BD102"/>
  <c r="CQ102" s="1"/>
  <c r="BD84"/>
  <c r="CQ84" s="1"/>
  <c r="Q84"/>
  <c r="BB84"/>
  <c r="BA84"/>
  <c r="BC84" s="1"/>
  <c r="BR96"/>
  <c r="BQ96"/>
  <c r="CM97"/>
  <c r="CL97"/>
  <c r="CN97" s="1"/>
  <c r="BB103"/>
  <c r="BA103"/>
  <c r="BC103" s="1"/>
  <c r="Q9"/>
  <c r="CG8"/>
  <c r="CI8" s="1"/>
  <c r="BQ8"/>
  <c r="BS8" s="1"/>
  <c r="BA8"/>
  <c r="BC8" s="1"/>
  <c r="AM8"/>
  <c r="Q7"/>
  <c r="CC50"/>
  <c r="BD51"/>
  <c r="CQ51" s="1"/>
  <c r="AW52"/>
  <c r="AN54"/>
  <c r="BR54"/>
  <c r="BS54" s="1"/>
  <c r="CC54"/>
  <c r="BR55"/>
  <c r="BS55" s="1"/>
  <c r="AN56"/>
  <c r="CO58"/>
  <c r="CS58" s="1"/>
  <c r="BD60"/>
  <c r="CQ60" s="1"/>
  <c r="AM63"/>
  <c r="AN64"/>
  <c r="BR64"/>
  <c r="BS64" s="1"/>
  <c r="CC64"/>
  <c r="CB65"/>
  <c r="BD67"/>
  <c r="CQ67" s="1"/>
  <c r="AM67"/>
  <c r="AV69"/>
  <c r="AN72"/>
  <c r="BR72"/>
  <c r="BS72" s="1"/>
  <c r="CC72"/>
  <c r="BR73"/>
  <c r="BS73" s="1"/>
  <c r="CO76"/>
  <c r="CS76" s="1"/>
  <c r="AW80"/>
  <c r="BR84"/>
  <c r="BS84" s="1"/>
  <c r="CO106"/>
  <c r="BR80"/>
  <c r="BQ80"/>
  <c r="BB98"/>
  <c r="BA98"/>
  <c r="BC98" s="1"/>
  <c r="CL107"/>
  <c r="CN107" s="1"/>
  <c r="CM107"/>
  <c r="Z33"/>
  <c r="AA33" s="1"/>
  <c r="CO29"/>
  <c r="AM29"/>
  <c r="AN29" s="1"/>
  <c r="AV28"/>
  <c r="AW28" s="1"/>
  <c r="AV23"/>
  <c r="AW23" s="1"/>
  <c r="CB19"/>
  <c r="CC19" s="1"/>
  <c r="CO18"/>
  <c r="AM18"/>
  <c r="AN18" s="1"/>
  <c r="Z16"/>
  <c r="Z15"/>
  <c r="AA15" s="1"/>
  <c r="Y14"/>
  <c r="BQ13"/>
  <c r="BS13" s="1"/>
  <c r="Z13"/>
  <c r="AA13" s="1"/>
  <c r="AU12"/>
  <c r="AW12" s="1"/>
  <c r="CB11"/>
  <c r="CC11" s="1"/>
  <c r="Z11"/>
  <c r="AA11" s="1"/>
  <c r="CO10"/>
  <c r="CS10" s="1"/>
  <c r="CU10" s="1"/>
  <c r="CG10"/>
  <c r="CI10" s="1"/>
  <c r="AM10"/>
  <c r="AN10" s="1"/>
  <c r="CL9"/>
  <c r="CN9" s="1"/>
  <c r="BD9"/>
  <c r="CQ9" s="1"/>
  <c r="CU9" s="1"/>
  <c r="AM9"/>
  <c r="AN9" s="1"/>
  <c r="CB8"/>
  <c r="CC8" s="1"/>
  <c r="AD8"/>
  <c r="BD7"/>
  <c r="CQ7" s="1"/>
  <c r="AM7"/>
  <c r="AN7" s="1"/>
  <c r="AM51"/>
  <c r="BR51"/>
  <c r="BD52"/>
  <c r="CQ52" s="1"/>
  <c r="BR52"/>
  <c r="BS52" s="1"/>
  <c r="CB52"/>
  <c r="CC52" s="1"/>
  <c r="BR53"/>
  <c r="BS53" s="1"/>
  <c r="BD58"/>
  <c r="CQ58" s="1"/>
  <c r="BD62"/>
  <c r="CQ62" s="1"/>
  <c r="CO62"/>
  <c r="CO63"/>
  <c r="BR66"/>
  <c r="BS66" s="1"/>
  <c r="CB66"/>
  <c r="CC66" s="1"/>
  <c r="AM68"/>
  <c r="AN68" s="1"/>
  <c r="AV68"/>
  <c r="AW68" s="1"/>
  <c r="BR68"/>
  <c r="BS68" s="1"/>
  <c r="CB68"/>
  <c r="CC68" s="1"/>
  <c r="CO69"/>
  <c r="AM70"/>
  <c r="AN70" s="1"/>
  <c r="AV70"/>
  <c r="AW70" s="1"/>
  <c r="BR70"/>
  <c r="BS70" s="1"/>
  <c r="CB70"/>
  <c r="CC70" s="1"/>
  <c r="BR71"/>
  <c r="BS71" s="1"/>
  <c r="BD74"/>
  <c r="CQ74" s="1"/>
  <c r="BD78"/>
  <c r="CO80"/>
  <c r="BD81"/>
  <c r="CQ81" s="1"/>
  <c r="AN82"/>
  <c r="AW82"/>
  <c r="BR82"/>
  <c r="BS82" s="1"/>
  <c r="CC82"/>
  <c r="CC84"/>
  <c r="CO85"/>
  <c r="CL86"/>
  <c r="CN86" s="1"/>
  <c r="BR97"/>
  <c r="BS97" s="1"/>
  <c r="AV103"/>
  <c r="AW104"/>
  <c r="CO81"/>
  <c r="BD82"/>
  <c r="CQ82" s="1"/>
  <c r="AV83"/>
  <c r="BD85"/>
  <c r="CQ85" s="1"/>
  <c r="AM86"/>
  <c r="AN86" s="1"/>
  <c r="Z97"/>
  <c r="CB97"/>
  <c r="Z102"/>
  <c r="CB102"/>
  <c r="AM106"/>
  <c r="CB107"/>
  <c r="AV108"/>
  <c r="CM108"/>
  <c r="BD109"/>
  <c r="CO109"/>
  <c r="BD110"/>
  <c r="CQ110" s="1"/>
  <c r="BB114"/>
  <c r="CB114"/>
  <c r="CC114" s="1"/>
  <c r="AM115"/>
  <c r="AN115" s="1"/>
  <c r="BB115"/>
  <c r="CB115"/>
  <c r="CM115"/>
  <c r="AM117"/>
  <c r="BA118"/>
  <c r="BC118" s="1"/>
  <c r="BD119"/>
  <c r="CQ119" s="1"/>
  <c r="BR119"/>
  <c r="AV121"/>
  <c r="CM122"/>
  <c r="AV123"/>
  <c r="CM123"/>
  <c r="BD125"/>
  <c r="CQ125" s="1"/>
  <c r="CB125"/>
  <c r="CH126"/>
  <c r="BR127"/>
  <c r="CO129"/>
  <c r="CL129"/>
  <c r="CN129" s="1"/>
  <c r="BB130"/>
  <c r="CB130"/>
  <c r="AV139"/>
  <c r="AM140"/>
  <c r="BR140"/>
  <c r="CO140"/>
  <c r="CS140" s="1"/>
  <c r="BD142"/>
  <c r="CQ142" s="1"/>
  <c r="CO142"/>
  <c r="CS142" s="1"/>
  <c r="BD144"/>
  <c r="CQ144" s="1"/>
  <c r="AD146"/>
  <c r="AN146" s="1"/>
  <c r="AU146"/>
  <c r="AW146" s="1"/>
  <c r="CA146"/>
  <c r="CC146" s="1"/>
  <c r="CL146"/>
  <c r="CN146" s="1"/>
  <c r="AM148"/>
  <c r="AV148"/>
  <c r="AW148" s="1"/>
  <c r="BR148"/>
  <c r="BS148" s="1"/>
  <c r="CB148"/>
  <c r="CC148" s="1"/>
  <c r="BR149"/>
  <c r="BS149" s="1"/>
  <c r="Q150"/>
  <c r="BA150"/>
  <c r="BC150" s="1"/>
  <c r="BM150"/>
  <c r="BS150" s="1"/>
  <c r="BD152"/>
  <c r="CQ152" s="1"/>
  <c r="BD154"/>
  <c r="CQ154" s="1"/>
  <c r="AM154"/>
  <c r="BR154"/>
  <c r="BS154" s="1"/>
  <c r="CO154"/>
  <c r="BD155"/>
  <c r="CQ155" s="1"/>
  <c r="AV156"/>
  <c r="Q157"/>
  <c r="AR157"/>
  <c r="AW157" s="1"/>
  <c r="BA157"/>
  <c r="BC157" s="1"/>
  <c r="CB157"/>
  <c r="CC157" s="1"/>
  <c r="AD158"/>
  <c r="AN158" s="1"/>
  <c r="AU158"/>
  <c r="AW158" s="1"/>
  <c r="CA158"/>
  <c r="CC158" s="1"/>
  <c r="CL158"/>
  <c r="CN158" s="1"/>
  <c r="AM160"/>
  <c r="AV160"/>
  <c r="BR160"/>
  <c r="CB160"/>
  <c r="AM162"/>
  <c r="AN162" s="1"/>
  <c r="CB162"/>
  <c r="CC162" s="1"/>
  <c r="CO162"/>
  <c r="CS162" s="1"/>
  <c r="CL162"/>
  <c r="CN162" s="1"/>
  <c r="U164"/>
  <c r="AA164" s="1"/>
  <c r="AU164"/>
  <c r="AW164" s="1"/>
  <c r="CA164"/>
  <c r="CC164" s="1"/>
  <c r="CL164"/>
  <c r="CN164" s="1"/>
  <c r="AD166"/>
  <c r="CB166"/>
  <c r="CO166"/>
  <c r="CS166" s="1"/>
  <c r="BD168"/>
  <c r="CQ168" s="1"/>
  <c r="AM168"/>
  <c r="CO168"/>
  <c r="AM169"/>
  <c r="CO169"/>
  <c r="CS169" s="1"/>
  <c r="AD170"/>
  <c r="AU170"/>
  <c r="AW170" s="1"/>
  <c r="BR170"/>
  <c r="CB170"/>
  <c r="AV171"/>
  <c r="Q172"/>
  <c r="BA172"/>
  <c r="BC172" s="1"/>
  <c r="BD173"/>
  <c r="CQ173" s="1"/>
  <c r="AD174"/>
  <c r="AN174" s="1"/>
  <c r="AU174"/>
  <c r="AW174" s="1"/>
  <c r="CA174"/>
  <c r="CC174" s="1"/>
  <c r="CL174"/>
  <c r="CN174" s="1"/>
  <c r="CO175"/>
  <c r="BD176"/>
  <c r="CQ176" s="1"/>
  <c r="AM176"/>
  <c r="AN176" s="1"/>
  <c r="BR176"/>
  <c r="BS176" s="1"/>
  <c r="CO107"/>
  <c r="AM110"/>
  <c r="AM113"/>
  <c r="AN113" s="1"/>
  <c r="BR113"/>
  <c r="BS113" s="1"/>
  <c r="CG113"/>
  <c r="CI113" s="1"/>
  <c r="U117"/>
  <c r="AU117"/>
  <c r="BM117"/>
  <c r="BS117" s="1"/>
  <c r="CB117"/>
  <c r="CO119"/>
  <c r="BR121"/>
  <c r="CO122"/>
  <c r="BB123"/>
  <c r="AM125"/>
  <c r="BD127"/>
  <c r="CQ127" s="1"/>
  <c r="CB127"/>
  <c r="BD130"/>
  <c r="BR130"/>
  <c r="BR139"/>
  <c r="U140"/>
  <c r="AU140"/>
  <c r="AW140" s="1"/>
  <c r="CA140"/>
  <c r="CC140" s="1"/>
  <c r="CL140"/>
  <c r="CN140" s="1"/>
  <c r="BR146"/>
  <c r="BS146" s="1"/>
  <c r="CO150"/>
  <c r="CS150" s="1"/>
  <c r="BR152"/>
  <c r="BS152" s="1"/>
  <c r="BR157"/>
  <c r="BS157" s="1"/>
  <c r="BR158"/>
  <c r="BS158" s="1"/>
  <c r="CO172"/>
  <c r="CS172" s="1"/>
  <c r="BR174"/>
  <c r="BS174" s="1"/>
  <c r="CL176"/>
  <c r="CN176" s="1"/>
  <c r="CO126"/>
  <c r="CO130"/>
  <c r="AN142"/>
  <c r="AW142"/>
  <c r="BR142"/>
  <c r="BS142" s="1"/>
  <c r="CC142"/>
  <c r="BR143"/>
  <c r="BS143" s="1"/>
  <c r="AW144"/>
  <c r="BR144"/>
  <c r="BS144" s="1"/>
  <c r="CC144"/>
  <c r="BR145"/>
  <c r="BS145" s="1"/>
  <c r="AN152"/>
  <c r="AW152"/>
  <c r="CC154"/>
  <c r="AW155"/>
  <c r="BR155"/>
  <c r="BS155" s="1"/>
  <c r="CC155"/>
  <c r="CO160"/>
  <c r="CS160" s="1"/>
  <c r="BR162"/>
  <c r="BS162" s="1"/>
  <c r="AW168"/>
  <c r="BR168"/>
  <c r="BS168" s="1"/>
  <c r="CC168"/>
  <c r="CB169"/>
  <c r="AV173"/>
  <c r="CO173"/>
  <c r="BD175"/>
  <c r="CQ175" s="1"/>
  <c r="AA176"/>
  <c r="AW176"/>
  <c r="CC176"/>
  <c r="BR86"/>
  <c r="BS86" s="1"/>
  <c r="CB95"/>
  <c r="BR100"/>
  <c r="BD105"/>
  <c r="CQ105" s="1"/>
  <c r="CO105"/>
  <c r="BD106"/>
  <c r="CQ106" s="1"/>
  <c r="CH107"/>
  <c r="CO108"/>
  <c r="CS108" s="1"/>
  <c r="AM109"/>
  <c r="BR110"/>
  <c r="CO110"/>
  <c r="AV111"/>
  <c r="AM112"/>
  <c r="AN112" s="1"/>
  <c r="AV115"/>
  <c r="AM116"/>
  <c r="AN116" s="1"/>
  <c r="CO118"/>
  <c r="CB119"/>
  <c r="AM121"/>
  <c r="CH122"/>
  <c r="AM123"/>
  <c r="CO123"/>
  <c r="BR125"/>
  <c r="AV130"/>
  <c r="AM139"/>
  <c r="AH140"/>
  <c r="BA140"/>
  <c r="BC140" s="1"/>
  <c r="BM140"/>
  <c r="CG140"/>
  <c r="CI140" s="1"/>
  <c r="BR141"/>
  <c r="BS141" s="1"/>
  <c r="Q142"/>
  <c r="BA142"/>
  <c r="BC142" s="1"/>
  <c r="BD146"/>
  <c r="CQ146" s="1"/>
  <c r="CO146"/>
  <c r="CS146" s="1"/>
  <c r="AD148"/>
  <c r="AM150"/>
  <c r="AN150" s="1"/>
  <c r="AV150"/>
  <c r="AW150" s="1"/>
  <c r="CB150"/>
  <c r="CC150" s="1"/>
  <c r="BR151"/>
  <c r="BS151" s="1"/>
  <c r="CB152"/>
  <c r="CC152" s="1"/>
  <c r="CO152"/>
  <c r="CS152" s="1"/>
  <c r="AV153"/>
  <c r="Q154"/>
  <c r="AA154" s="1"/>
  <c r="AH154"/>
  <c r="BA154"/>
  <c r="BC154" s="1"/>
  <c r="AM157"/>
  <c r="AN157" s="1"/>
  <c r="BD158"/>
  <c r="CQ158" s="1"/>
  <c r="AD160"/>
  <c r="AU160"/>
  <c r="BQ160"/>
  <c r="CA160"/>
  <c r="BB161"/>
  <c r="BD164"/>
  <c r="CQ164" s="1"/>
  <c r="AM164"/>
  <c r="AN164" s="1"/>
  <c r="BR164"/>
  <c r="BS164" s="1"/>
  <c r="CO164"/>
  <c r="CS164" s="1"/>
  <c r="BD166"/>
  <c r="CQ166" s="1"/>
  <c r="AV166"/>
  <c r="AW166" s="1"/>
  <c r="BR166"/>
  <c r="BS166" s="1"/>
  <c r="BW166"/>
  <c r="CG166"/>
  <c r="CI166" s="1"/>
  <c r="Q168"/>
  <c r="AH168"/>
  <c r="BA168"/>
  <c r="BC168" s="1"/>
  <c r="CG168"/>
  <c r="CI168" s="1"/>
  <c r="BD169"/>
  <c r="CQ169" s="1"/>
  <c r="BR169"/>
  <c r="CH169"/>
  <c r="BD170"/>
  <c r="CQ170" s="1"/>
  <c r="BQ170"/>
  <c r="CA170"/>
  <c r="AM172"/>
  <c r="AN172" s="1"/>
  <c r="AV172"/>
  <c r="AW172" s="1"/>
  <c r="BR172"/>
  <c r="BS172" s="1"/>
  <c r="CB172"/>
  <c r="CC172" s="1"/>
  <c r="BD174"/>
  <c r="CQ174" s="1"/>
  <c r="CO174"/>
  <c r="CS174" s="1"/>
  <c r="AM175"/>
  <c r="BR175"/>
  <c r="CQ139"/>
  <c r="U139"/>
  <c r="AH139"/>
  <c r="AU139"/>
  <c r="BA139"/>
  <c r="BC139" s="1"/>
  <c r="BM139"/>
  <c r="CA139"/>
  <c r="CC139" s="1"/>
  <c r="CG139"/>
  <c r="CI139" s="1"/>
  <c r="CL139"/>
  <c r="CN139" s="1"/>
  <c r="CH140"/>
  <c r="AV141"/>
  <c r="AW141" s="1"/>
  <c r="CH141"/>
  <c r="AV143"/>
  <c r="AW143" s="1"/>
  <c r="CH143"/>
  <c r="AV145"/>
  <c r="AW145" s="1"/>
  <c r="CH145"/>
  <c r="AV147"/>
  <c r="AW147" s="1"/>
  <c r="CH147"/>
  <c r="AV149"/>
  <c r="AW149" s="1"/>
  <c r="CH149"/>
  <c r="AV151"/>
  <c r="AW151" s="1"/>
  <c r="CH151"/>
  <c r="Z139"/>
  <c r="CO139"/>
  <c r="BD141"/>
  <c r="CO141"/>
  <c r="BD143"/>
  <c r="CO143"/>
  <c r="BD145"/>
  <c r="CO145"/>
  <c r="BD147"/>
  <c r="CO147"/>
  <c r="BD149"/>
  <c r="CO149"/>
  <c r="BD151"/>
  <c r="CO151"/>
  <c r="CQ157"/>
  <c r="Z140"/>
  <c r="AA140" s="1"/>
  <c r="BB141"/>
  <c r="CB141"/>
  <c r="CC141" s="1"/>
  <c r="CM141"/>
  <c r="BB143"/>
  <c r="CB143"/>
  <c r="CC143" s="1"/>
  <c r="CM143"/>
  <c r="BB145"/>
  <c r="CB145"/>
  <c r="CC145" s="1"/>
  <c r="CM145"/>
  <c r="BB147"/>
  <c r="CB147"/>
  <c r="CC147" s="1"/>
  <c r="CM147"/>
  <c r="BB149"/>
  <c r="CB149"/>
  <c r="CC149" s="1"/>
  <c r="CM149"/>
  <c r="BB151"/>
  <c r="CB151"/>
  <c r="CC151" s="1"/>
  <c r="CM151"/>
  <c r="Q153"/>
  <c r="BD153"/>
  <c r="Z153"/>
  <c r="Z141"/>
  <c r="AA141" s="1"/>
  <c r="AM141"/>
  <c r="AN141" s="1"/>
  <c r="Z143"/>
  <c r="AA143" s="1"/>
  <c r="AM143"/>
  <c r="AN143" s="1"/>
  <c r="Z145"/>
  <c r="AA145" s="1"/>
  <c r="AM145"/>
  <c r="AN145" s="1"/>
  <c r="Z147"/>
  <c r="AA147" s="1"/>
  <c r="AM147"/>
  <c r="AN147" s="1"/>
  <c r="Z149"/>
  <c r="AA149" s="1"/>
  <c r="AM149"/>
  <c r="AN149" s="1"/>
  <c r="Z151"/>
  <c r="AA151" s="1"/>
  <c r="AM151"/>
  <c r="AN151" s="1"/>
  <c r="CS175"/>
  <c r="CH142"/>
  <c r="Z144"/>
  <c r="AA144" s="1"/>
  <c r="CO144"/>
  <c r="CH146"/>
  <c r="Z148"/>
  <c r="AA148" s="1"/>
  <c r="CO148"/>
  <c r="CH150"/>
  <c r="Z152"/>
  <c r="AA152" s="1"/>
  <c r="AU153"/>
  <c r="BA153"/>
  <c r="BC153" s="1"/>
  <c r="CA153"/>
  <c r="CC153" s="1"/>
  <c r="CG153"/>
  <c r="CI153" s="1"/>
  <c r="CL153"/>
  <c r="CN153" s="1"/>
  <c r="CH154"/>
  <c r="Z155"/>
  <c r="AA155" s="1"/>
  <c r="CO155"/>
  <c r="AU156"/>
  <c r="BA156"/>
  <c r="BC156" s="1"/>
  <c r="CA156"/>
  <c r="CC156" s="1"/>
  <c r="CG156"/>
  <c r="CI156" s="1"/>
  <c r="CL156"/>
  <c r="CN156" s="1"/>
  <c r="CM157"/>
  <c r="BB159"/>
  <c r="CB159"/>
  <c r="CC159" s="1"/>
  <c r="CM159"/>
  <c r="Z161"/>
  <c r="AA161" s="1"/>
  <c r="AM161"/>
  <c r="AN161" s="1"/>
  <c r="BB163"/>
  <c r="CB163"/>
  <c r="CC163" s="1"/>
  <c r="CM163"/>
  <c r="BB165"/>
  <c r="CB165"/>
  <c r="CC165" s="1"/>
  <c r="CM165"/>
  <c r="BD167"/>
  <c r="BR167"/>
  <c r="BS167" s="1"/>
  <c r="CH167"/>
  <c r="CO167"/>
  <c r="CG167"/>
  <c r="CI167" s="1"/>
  <c r="CS168"/>
  <c r="CQ172"/>
  <c r="AM153"/>
  <c r="AN153" s="1"/>
  <c r="BR153"/>
  <c r="BS153" s="1"/>
  <c r="CO153"/>
  <c r="Z156"/>
  <c r="AA156" s="1"/>
  <c r="AM156"/>
  <c r="AN156" s="1"/>
  <c r="BD156"/>
  <c r="BR156"/>
  <c r="BS156" s="1"/>
  <c r="CO156"/>
  <c r="Z159"/>
  <c r="AA159" s="1"/>
  <c r="AM159"/>
  <c r="AN159" s="1"/>
  <c r="AV161"/>
  <c r="AW161" s="1"/>
  <c r="Z163"/>
  <c r="AA163" s="1"/>
  <c r="AM163"/>
  <c r="AN163" s="1"/>
  <c r="Z165"/>
  <c r="AA165" s="1"/>
  <c r="AM165"/>
  <c r="AN165" s="1"/>
  <c r="CB167"/>
  <c r="CA167"/>
  <c r="CS173"/>
  <c r="Z142"/>
  <c r="Z146"/>
  <c r="AA146" s="1"/>
  <c r="Z150"/>
  <c r="Z157"/>
  <c r="AA157" s="1"/>
  <c r="CH157"/>
  <c r="AV159"/>
  <c r="AW159" s="1"/>
  <c r="CH159"/>
  <c r="BD161"/>
  <c r="BR161"/>
  <c r="BS161" s="1"/>
  <c r="CO161"/>
  <c r="AV163"/>
  <c r="AW163" s="1"/>
  <c r="CH163"/>
  <c r="AV165"/>
  <c r="AW165" s="1"/>
  <c r="CH165"/>
  <c r="Z167"/>
  <c r="AA167" s="1"/>
  <c r="AM167"/>
  <c r="AN167" s="1"/>
  <c r="CO157"/>
  <c r="BD159"/>
  <c r="CO159"/>
  <c r="BD163"/>
  <c r="BR163"/>
  <c r="BS163" s="1"/>
  <c r="CO163"/>
  <c r="BD165"/>
  <c r="BR165"/>
  <c r="BS165" s="1"/>
  <c r="CO165"/>
  <c r="AV167"/>
  <c r="AW167" s="1"/>
  <c r="Z158"/>
  <c r="AA158" s="1"/>
  <c r="CO158"/>
  <c r="CH160"/>
  <c r="Z162"/>
  <c r="AA162" s="1"/>
  <c r="CH164"/>
  <c r="Z166"/>
  <c r="AA166" s="1"/>
  <c r="CL167"/>
  <c r="CN167" s="1"/>
  <c r="CH168"/>
  <c r="Q169"/>
  <c r="AD169"/>
  <c r="AN169" s="1"/>
  <c r="AR169"/>
  <c r="BQ169"/>
  <c r="BS169" s="1"/>
  <c r="BW169"/>
  <c r="Z170"/>
  <c r="AA170" s="1"/>
  <c r="CO170"/>
  <c r="AU171"/>
  <c r="BA171"/>
  <c r="BC171" s="1"/>
  <c r="BM171"/>
  <c r="BS171" s="1"/>
  <c r="CA171"/>
  <c r="CC171" s="1"/>
  <c r="CG171"/>
  <c r="CI171" s="1"/>
  <c r="CL171"/>
  <c r="CN171" s="1"/>
  <c r="CH172"/>
  <c r="Q173"/>
  <c r="AD173"/>
  <c r="AN173" s="1"/>
  <c r="AR173"/>
  <c r="AW173" s="1"/>
  <c r="BQ173"/>
  <c r="BS173" s="1"/>
  <c r="CH174"/>
  <c r="Q175"/>
  <c r="AD175"/>
  <c r="BQ175"/>
  <c r="CO176"/>
  <c r="Z171"/>
  <c r="AA171" s="1"/>
  <c r="AM171"/>
  <c r="AN171" s="1"/>
  <c r="BD171"/>
  <c r="CO171"/>
  <c r="BB173"/>
  <c r="CB173"/>
  <c r="CC173" s="1"/>
  <c r="CH173"/>
  <c r="CM173"/>
  <c r="AV175"/>
  <c r="AW175" s="1"/>
  <c r="BB175"/>
  <c r="CB175"/>
  <c r="CC175" s="1"/>
  <c r="CH175"/>
  <c r="CM175"/>
  <c r="Z160"/>
  <c r="AA160" s="1"/>
  <c r="CG169"/>
  <c r="CI169" s="1"/>
  <c r="Z172"/>
  <c r="CG173"/>
  <c r="CI173" s="1"/>
  <c r="Z174"/>
  <c r="AA174" s="1"/>
  <c r="CG175"/>
  <c r="CI175" s="1"/>
  <c r="Z169"/>
  <c r="Z173"/>
  <c r="Z175"/>
  <c r="CS95"/>
  <c r="AU96"/>
  <c r="AV96"/>
  <c r="AU101"/>
  <c r="AV101"/>
  <c r="CS105"/>
  <c r="CS110"/>
  <c r="CG95"/>
  <c r="CI95" s="1"/>
  <c r="BD96"/>
  <c r="U97"/>
  <c r="AM97"/>
  <c r="AN97" s="1"/>
  <c r="AU97"/>
  <c r="AW97" s="1"/>
  <c r="CC97"/>
  <c r="CB98"/>
  <c r="CC98" s="1"/>
  <c r="BQ99"/>
  <c r="BS99" s="1"/>
  <c r="CB99"/>
  <c r="CC99" s="1"/>
  <c r="BQ100"/>
  <c r="BS100" s="1"/>
  <c r="CB100"/>
  <c r="CC100" s="1"/>
  <c r="BD101"/>
  <c r="U102"/>
  <c r="AA102" s="1"/>
  <c r="AM102"/>
  <c r="AN102" s="1"/>
  <c r="AU102"/>
  <c r="CC102"/>
  <c r="CB103"/>
  <c r="CC103" s="1"/>
  <c r="BQ104"/>
  <c r="BS104" s="1"/>
  <c r="CB104"/>
  <c r="CC104" s="1"/>
  <c r="CG96"/>
  <c r="CI96" s="1"/>
  <c r="CH96"/>
  <c r="AD98"/>
  <c r="AM98"/>
  <c r="BQ98"/>
  <c r="BR98"/>
  <c r="CG101"/>
  <c r="CI101" s="1"/>
  <c r="CH101"/>
  <c r="AD103"/>
  <c r="AM103"/>
  <c r="BQ103"/>
  <c r="BR103"/>
  <c r="CQ109"/>
  <c r="CS109"/>
  <c r="Z95"/>
  <c r="AA95" s="1"/>
  <c r="AM95"/>
  <c r="AN95" s="1"/>
  <c r="BD95"/>
  <c r="BR95"/>
  <c r="BS95" s="1"/>
  <c r="CO96"/>
  <c r="CG97"/>
  <c r="CI97" s="1"/>
  <c r="AM99"/>
  <c r="AN99" s="1"/>
  <c r="AM100"/>
  <c r="AN100" s="1"/>
  <c r="CO101"/>
  <c r="CG102"/>
  <c r="CI102" s="1"/>
  <c r="AW103"/>
  <c r="AM104"/>
  <c r="AN104" s="1"/>
  <c r="CC115"/>
  <c r="AN117"/>
  <c r="BA96"/>
  <c r="BC96" s="1"/>
  <c r="BB96"/>
  <c r="Q98"/>
  <c r="BD98"/>
  <c r="Z98"/>
  <c r="BD99"/>
  <c r="Z99"/>
  <c r="AA99" s="1"/>
  <c r="BD100"/>
  <c r="Z100"/>
  <c r="AA100" s="1"/>
  <c r="BA101"/>
  <c r="BC101" s="1"/>
  <c r="BB101"/>
  <c r="Q103"/>
  <c r="BD103"/>
  <c r="Z103"/>
  <c r="BD104"/>
  <c r="Z104"/>
  <c r="AA104" s="1"/>
  <c r="CS107"/>
  <c r="AR95"/>
  <c r="BW95"/>
  <c r="CC95" s="1"/>
  <c r="BS96"/>
  <c r="BA97"/>
  <c r="BC97" s="1"/>
  <c r="CO97"/>
  <c r="CO99"/>
  <c r="CO100"/>
  <c r="BS101"/>
  <c r="BA102"/>
  <c r="BC102" s="1"/>
  <c r="CO102"/>
  <c r="CO104"/>
  <c r="CA96"/>
  <c r="CB96"/>
  <c r="CL96"/>
  <c r="CN96" s="1"/>
  <c r="CM96"/>
  <c r="CA101"/>
  <c r="CB101"/>
  <c r="CL101"/>
  <c r="CN101" s="1"/>
  <c r="CM101"/>
  <c r="CS106"/>
  <c r="AM96"/>
  <c r="AN96" s="1"/>
  <c r="CO98"/>
  <c r="AM101"/>
  <c r="AN101" s="1"/>
  <c r="CO103"/>
  <c r="CO111"/>
  <c r="CG111"/>
  <c r="CI111" s="1"/>
  <c r="BA112"/>
  <c r="BC112" s="1"/>
  <c r="BB112"/>
  <c r="Q114"/>
  <c r="BD114"/>
  <c r="Z114"/>
  <c r="BD115"/>
  <c r="Z115"/>
  <c r="AA115" s="1"/>
  <c r="BA116"/>
  <c r="BC116" s="1"/>
  <c r="BB116"/>
  <c r="CH117"/>
  <c r="CG117"/>
  <c r="CI117" s="1"/>
  <c r="CS118"/>
  <c r="CQ130"/>
  <c r="CG99"/>
  <c r="CI99" s="1"/>
  <c r="CG100"/>
  <c r="CI100" s="1"/>
  <c r="CG104"/>
  <c r="CI104" s="1"/>
  <c r="AV105"/>
  <c r="AW105" s="1"/>
  <c r="BB105"/>
  <c r="CB105"/>
  <c r="CC105" s="1"/>
  <c r="CH105"/>
  <c r="CM105"/>
  <c r="Z107"/>
  <c r="AA107" s="1"/>
  <c r="AM107"/>
  <c r="AN107" s="1"/>
  <c r="BD107"/>
  <c r="BR107"/>
  <c r="BS107" s="1"/>
  <c r="CG108"/>
  <c r="CI108" s="1"/>
  <c r="AV109"/>
  <c r="AW109" s="1"/>
  <c r="BB109"/>
  <c r="CB109"/>
  <c r="CC109" s="1"/>
  <c r="CH109"/>
  <c r="CM109"/>
  <c r="Z111"/>
  <c r="AA111" s="1"/>
  <c r="AM111"/>
  <c r="AN111" s="1"/>
  <c r="BD111"/>
  <c r="BR111"/>
  <c r="BS111" s="1"/>
  <c r="CM111"/>
  <c r="BR112"/>
  <c r="BS112" s="1"/>
  <c r="Z113"/>
  <c r="BA113"/>
  <c r="BC113" s="1"/>
  <c r="CO113"/>
  <c r="CO115"/>
  <c r="BR116"/>
  <c r="BS116" s="1"/>
  <c r="Z117"/>
  <c r="AA117" s="1"/>
  <c r="BA117"/>
  <c r="BC117" s="1"/>
  <c r="CA112"/>
  <c r="CB112"/>
  <c r="CL112"/>
  <c r="CN112" s="1"/>
  <c r="CM112"/>
  <c r="CA116"/>
  <c r="CB116"/>
  <c r="CL116"/>
  <c r="CN116" s="1"/>
  <c r="CM116"/>
  <c r="CS122"/>
  <c r="CS130"/>
  <c r="U105"/>
  <c r="AH105"/>
  <c r="AN105" s="1"/>
  <c r="BM105"/>
  <c r="BS105" s="1"/>
  <c r="CG105"/>
  <c r="CI105" s="1"/>
  <c r="AV106"/>
  <c r="AW106" s="1"/>
  <c r="BB106"/>
  <c r="CB106"/>
  <c r="CC106" s="1"/>
  <c r="CH106"/>
  <c r="CM106"/>
  <c r="AR107"/>
  <c r="AW107" s="1"/>
  <c r="BW107"/>
  <c r="CC107" s="1"/>
  <c r="Z108"/>
  <c r="AA108" s="1"/>
  <c r="AM108"/>
  <c r="AN108" s="1"/>
  <c r="BD108"/>
  <c r="BR108"/>
  <c r="BS108" s="1"/>
  <c r="U109"/>
  <c r="AH109"/>
  <c r="AN109" s="1"/>
  <c r="BM109"/>
  <c r="BS109" s="1"/>
  <c r="CG109"/>
  <c r="CI109" s="1"/>
  <c r="AV110"/>
  <c r="AW110" s="1"/>
  <c r="BB110"/>
  <c r="CB110"/>
  <c r="CC110" s="1"/>
  <c r="CH110"/>
  <c r="CM110"/>
  <c r="AR111"/>
  <c r="BW111"/>
  <c r="CC111" s="1"/>
  <c r="CA113"/>
  <c r="CC113" s="1"/>
  <c r="CL113"/>
  <c r="CN113" s="1"/>
  <c r="CO114"/>
  <c r="AR115"/>
  <c r="AW115" s="1"/>
  <c r="CA117"/>
  <c r="AU112"/>
  <c r="AV112"/>
  <c r="AU116"/>
  <c r="AV116"/>
  <c r="CS119"/>
  <c r="CQ123"/>
  <c r="CS126"/>
  <c r="Z105"/>
  <c r="U106"/>
  <c r="AH106"/>
  <c r="AN106" s="1"/>
  <c r="BM106"/>
  <c r="BS106" s="1"/>
  <c r="CG106"/>
  <c r="CI106" s="1"/>
  <c r="AR108"/>
  <c r="BW108"/>
  <c r="CC108" s="1"/>
  <c r="Z109"/>
  <c r="U110"/>
  <c r="AH110"/>
  <c r="AN110" s="1"/>
  <c r="BM110"/>
  <c r="BS110" s="1"/>
  <c r="CG110"/>
  <c r="CI110" s="1"/>
  <c r="BD112"/>
  <c r="U113"/>
  <c r="AU113"/>
  <c r="AW113" s="1"/>
  <c r="BD116"/>
  <c r="CC117"/>
  <c r="CO117"/>
  <c r="CG112"/>
  <c r="CI112" s="1"/>
  <c r="CH112"/>
  <c r="AD114"/>
  <c r="AM114"/>
  <c r="BQ114"/>
  <c r="BR114"/>
  <c r="CG116"/>
  <c r="CI116" s="1"/>
  <c r="CH116"/>
  <c r="CM117"/>
  <c r="CL117"/>
  <c r="CN117" s="1"/>
  <c r="CS123"/>
  <c r="CS129"/>
  <c r="Z106"/>
  <c r="Z110"/>
  <c r="Z112"/>
  <c r="AA112" s="1"/>
  <c r="CO112"/>
  <c r="AV114"/>
  <c r="AW114" s="1"/>
  <c r="BR115"/>
  <c r="BS115" s="1"/>
  <c r="Z116"/>
  <c r="AA116" s="1"/>
  <c r="CO116"/>
  <c r="AW117"/>
  <c r="AV118"/>
  <c r="AW118" s="1"/>
  <c r="CB118"/>
  <c r="CC118" s="1"/>
  <c r="Q119"/>
  <c r="AD119"/>
  <c r="AR119"/>
  <c r="BQ119"/>
  <c r="BS119" s="1"/>
  <c r="BW119"/>
  <c r="CC119" s="1"/>
  <c r="Z120"/>
  <c r="AA120" s="1"/>
  <c r="AM120"/>
  <c r="AN120" s="1"/>
  <c r="BD120"/>
  <c r="BR120"/>
  <c r="BS120" s="1"/>
  <c r="CO120"/>
  <c r="U121"/>
  <c r="AH121"/>
  <c r="AN121" s="1"/>
  <c r="AU121"/>
  <c r="AW121" s="1"/>
  <c r="BA121"/>
  <c r="BC121" s="1"/>
  <c r="BM121"/>
  <c r="BS121" s="1"/>
  <c r="CA121"/>
  <c r="CC121" s="1"/>
  <c r="CG121"/>
  <c r="CI121" s="1"/>
  <c r="CL121"/>
  <c r="CN121" s="1"/>
  <c r="AV122"/>
  <c r="AW122" s="1"/>
  <c r="CB122"/>
  <c r="CC122" s="1"/>
  <c r="Q123"/>
  <c r="AD123"/>
  <c r="AN123" s="1"/>
  <c r="AR123"/>
  <c r="BQ123"/>
  <c r="BS123" s="1"/>
  <c r="BW123"/>
  <c r="CC123" s="1"/>
  <c r="Z124"/>
  <c r="AA124" s="1"/>
  <c r="AM124"/>
  <c r="AN124" s="1"/>
  <c r="BD124"/>
  <c r="BR124"/>
  <c r="BS124" s="1"/>
  <c r="CO124"/>
  <c r="U125"/>
  <c r="AH125"/>
  <c r="AU125"/>
  <c r="AW125" s="1"/>
  <c r="BA125"/>
  <c r="BC125" s="1"/>
  <c r="BM125"/>
  <c r="BS125" s="1"/>
  <c r="CA125"/>
  <c r="CC125" s="1"/>
  <c r="CG125"/>
  <c r="CI125" s="1"/>
  <c r="CL125"/>
  <c r="CN125" s="1"/>
  <c r="AV126"/>
  <c r="AW126" s="1"/>
  <c r="CB126"/>
  <c r="CC126" s="1"/>
  <c r="U127"/>
  <c r="AH127"/>
  <c r="AN127" s="1"/>
  <c r="AU127"/>
  <c r="BA127"/>
  <c r="BC127" s="1"/>
  <c r="BM127"/>
  <c r="BS127" s="1"/>
  <c r="CA127"/>
  <c r="CC127" s="1"/>
  <c r="CG127"/>
  <c r="CI127" s="1"/>
  <c r="CL127"/>
  <c r="CN127" s="1"/>
  <c r="AV129"/>
  <c r="AW129" s="1"/>
  <c r="CB129"/>
  <c r="CC129" s="1"/>
  <c r="Q130"/>
  <c r="AD130"/>
  <c r="AN130" s="1"/>
  <c r="AR130"/>
  <c r="AW130" s="1"/>
  <c r="BQ130"/>
  <c r="BS130" s="1"/>
  <c r="BW130"/>
  <c r="CC130" s="1"/>
  <c r="Z131"/>
  <c r="AA131" s="1"/>
  <c r="AM131"/>
  <c r="AN131" s="1"/>
  <c r="BD131"/>
  <c r="BR131"/>
  <c r="BS131" s="1"/>
  <c r="CO131"/>
  <c r="Z121"/>
  <c r="CO121"/>
  <c r="Z125"/>
  <c r="CO125"/>
  <c r="Z127"/>
  <c r="AA127" s="1"/>
  <c r="CO127"/>
  <c r="CG115"/>
  <c r="CI115" s="1"/>
  <c r="Z118"/>
  <c r="AA118" s="1"/>
  <c r="AM118"/>
  <c r="AN118" s="1"/>
  <c r="BD118"/>
  <c r="BR118"/>
  <c r="BS118" s="1"/>
  <c r="CG119"/>
  <c r="CI119" s="1"/>
  <c r="AV120"/>
  <c r="AW120" s="1"/>
  <c r="BB120"/>
  <c r="CB120"/>
  <c r="CC120" s="1"/>
  <c r="CH120"/>
  <c r="CM120"/>
  <c r="Z122"/>
  <c r="AA122" s="1"/>
  <c r="AM122"/>
  <c r="AN122" s="1"/>
  <c r="BD122"/>
  <c r="BR122"/>
  <c r="BS122" s="1"/>
  <c r="CG123"/>
  <c r="CI123" s="1"/>
  <c r="AV124"/>
  <c r="AW124" s="1"/>
  <c r="BB124"/>
  <c r="CB124"/>
  <c r="CC124" s="1"/>
  <c r="CH124"/>
  <c r="CM124"/>
  <c r="Z126"/>
  <c r="AA126" s="1"/>
  <c r="AM126"/>
  <c r="AN126" s="1"/>
  <c r="BD126"/>
  <c r="BR126"/>
  <c r="BS126" s="1"/>
  <c r="Z129"/>
  <c r="AA129" s="1"/>
  <c r="AM129"/>
  <c r="AN129" s="1"/>
  <c r="BD129"/>
  <c r="BR129"/>
  <c r="BS129" s="1"/>
  <c r="CG130"/>
  <c r="CI130" s="1"/>
  <c r="AV131"/>
  <c r="AW131" s="1"/>
  <c r="BB131"/>
  <c r="CB131"/>
  <c r="CC131" s="1"/>
  <c r="CH131"/>
  <c r="CM131"/>
  <c r="Z119"/>
  <c r="Z123"/>
  <c r="AA123" s="1"/>
  <c r="Z130"/>
  <c r="CS50"/>
  <c r="CP50"/>
  <c r="CS51"/>
  <c r="CH50"/>
  <c r="Q51"/>
  <c r="AD51"/>
  <c r="BQ51"/>
  <c r="BS51" s="1"/>
  <c r="AV53"/>
  <c r="AW53" s="1"/>
  <c r="CH53"/>
  <c r="CP54"/>
  <c r="AV55"/>
  <c r="AW55" s="1"/>
  <c r="CH55"/>
  <c r="BD57"/>
  <c r="BR57"/>
  <c r="BS57" s="1"/>
  <c r="CO57"/>
  <c r="BD59"/>
  <c r="BR59"/>
  <c r="BS59" s="1"/>
  <c r="CO59"/>
  <c r="BB61"/>
  <c r="CB61"/>
  <c r="CC61" s="1"/>
  <c r="CM61"/>
  <c r="CS62"/>
  <c r="CS63"/>
  <c r="CQ64"/>
  <c r="CS65"/>
  <c r="CS67"/>
  <c r="CQ68"/>
  <c r="AV51"/>
  <c r="AW51" s="1"/>
  <c r="BB51"/>
  <c r="CB51"/>
  <c r="CC51" s="1"/>
  <c r="CH51"/>
  <c r="BD53"/>
  <c r="CO53"/>
  <c r="BD55"/>
  <c r="CO55"/>
  <c r="CB59"/>
  <c r="CC59" s="1"/>
  <c r="Z61"/>
  <c r="AA61" s="1"/>
  <c r="AM61"/>
  <c r="AN61" s="1"/>
  <c r="CS66"/>
  <c r="CP66"/>
  <c r="Z50"/>
  <c r="AA50" s="1"/>
  <c r="CG51"/>
  <c r="CI51" s="1"/>
  <c r="BB53"/>
  <c r="CB53"/>
  <c r="CC53" s="1"/>
  <c r="CM53"/>
  <c r="BB55"/>
  <c r="CB55"/>
  <c r="CC55" s="1"/>
  <c r="CM55"/>
  <c r="Z57"/>
  <c r="AA57" s="1"/>
  <c r="AM57"/>
  <c r="AN57" s="1"/>
  <c r="Z59"/>
  <c r="AA59" s="1"/>
  <c r="AM59"/>
  <c r="AN59" s="1"/>
  <c r="AV61"/>
  <c r="AW61" s="1"/>
  <c r="CH61"/>
  <c r="CS69"/>
  <c r="Z51"/>
  <c r="Z53"/>
  <c r="AA53" s="1"/>
  <c r="AM53"/>
  <c r="AN53" s="1"/>
  <c r="Z55"/>
  <c r="AA55" s="1"/>
  <c r="AM55"/>
  <c r="AN55" s="1"/>
  <c r="AV57"/>
  <c r="AW57" s="1"/>
  <c r="BD61"/>
  <c r="CO61"/>
  <c r="CS84"/>
  <c r="CP84"/>
  <c r="CS86"/>
  <c r="Z52"/>
  <c r="AA52" s="1"/>
  <c r="CO52"/>
  <c r="CH54"/>
  <c r="Z56"/>
  <c r="AA56" s="1"/>
  <c r="CO56"/>
  <c r="CH58"/>
  <c r="Z60"/>
  <c r="AA60" s="1"/>
  <c r="CO60"/>
  <c r="CH62"/>
  <c r="Q63"/>
  <c r="AD63"/>
  <c r="BQ63"/>
  <c r="BS63" s="1"/>
  <c r="Z64"/>
  <c r="AA64" s="1"/>
  <c r="CO64"/>
  <c r="CG65"/>
  <c r="CI65" s="1"/>
  <c r="CH66"/>
  <c r="Q67"/>
  <c r="Z68"/>
  <c r="AA68" s="1"/>
  <c r="BE68" s="1"/>
  <c r="CO68"/>
  <c r="CM69"/>
  <c r="BB71"/>
  <c r="CB71"/>
  <c r="CC71" s="1"/>
  <c r="CM71"/>
  <c r="BB73"/>
  <c r="CB73"/>
  <c r="CC73" s="1"/>
  <c r="CM73"/>
  <c r="BB75"/>
  <c r="CB75"/>
  <c r="CC75" s="1"/>
  <c r="CM75"/>
  <c r="CU76"/>
  <c r="BB77"/>
  <c r="CB77"/>
  <c r="CC77" s="1"/>
  <c r="CM77"/>
  <c r="CS85"/>
  <c r="AV63"/>
  <c r="AW63" s="1"/>
  <c r="BB63"/>
  <c r="CB63"/>
  <c r="CC63" s="1"/>
  <c r="CH63"/>
  <c r="CM63"/>
  <c r="Z65"/>
  <c r="AA65" s="1"/>
  <c r="AM65"/>
  <c r="AN65" s="1"/>
  <c r="BD65"/>
  <c r="BR65"/>
  <c r="BS65" s="1"/>
  <c r="AV67"/>
  <c r="AW67" s="1"/>
  <c r="BB67"/>
  <c r="CB67"/>
  <c r="CC67" s="1"/>
  <c r="CH67"/>
  <c r="CM67"/>
  <c r="Z69"/>
  <c r="AA69" s="1"/>
  <c r="AM69"/>
  <c r="AN69" s="1"/>
  <c r="BD69"/>
  <c r="BR69"/>
  <c r="BS69" s="1"/>
  <c r="Z71"/>
  <c r="AA71" s="1"/>
  <c r="AM71"/>
  <c r="AN71" s="1"/>
  <c r="Z73"/>
  <c r="AA73" s="1"/>
  <c r="AM73"/>
  <c r="AN73" s="1"/>
  <c r="Z75"/>
  <c r="AA75" s="1"/>
  <c r="AM75"/>
  <c r="AN75" s="1"/>
  <c r="Z77"/>
  <c r="AA77" s="1"/>
  <c r="AM77"/>
  <c r="AN77" s="1"/>
  <c r="CS80"/>
  <c r="Z54"/>
  <c r="AA54" s="1"/>
  <c r="Z58"/>
  <c r="AA58" s="1"/>
  <c r="CG63"/>
  <c r="CI63" s="1"/>
  <c r="AR65"/>
  <c r="BW65"/>
  <c r="CC65" s="1"/>
  <c r="Z66"/>
  <c r="AA66" s="1"/>
  <c r="U67"/>
  <c r="AH67"/>
  <c r="BM67"/>
  <c r="BS67" s="1"/>
  <c r="CG67"/>
  <c r="CI67" s="1"/>
  <c r="AR69"/>
  <c r="BW69"/>
  <c r="AV71"/>
  <c r="AW71" s="1"/>
  <c r="CH71"/>
  <c r="CP72"/>
  <c r="AV73"/>
  <c r="AW73" s="1"/>
  <c r="CH73"/>
  <c r="AV75"/>
  <c r="AW75" s="1"/>
  <c r="CH75"/>
  <c r="CP76"/>
  <c r="AV77"/>
  <c r="AW77" s="1"/>
  <c r="CH77"/>
  <c r="CQ78"/>
  <c r="CS81"/>
  <c r="Z63"/>
  <c r="CB69"/>
  <c r="BD71"/>
  <c r="CO71"/>
  <c r="BD73"/>
  <c r="CO73"/>
  <c r="BD75"/>
  <c r="CO75"/>
  <c r="BD77"/>
  <c r="BR77"/>
  <c r="BS77" s="1"/>
  <c r="CO77"/>
  <c r="Z70"/>
  <c r="AA70" s="1"/>
  <c r="CO70"/>
  <c r="CH72"/>
  <c r="Z74"/>
  <c r="AA74" s="1"/>
  <c r="CO74"/>
  <c r="CH76"/>
  <c r="Z78"/>
  <c r="AA78" s="1"/>
  <c r="CO78"/>
  <c r="AU79"/>
  <c r="BA79"/>
  <c r="BC79" s="1"/>
  <c r="CA79"/>
  <c r="CC79" s="1"/>
  <c r="CG79"/>
  <c r="CI79" s="1"/>
  <c r="CL79"/>
  <c r="CN79" s="1"/>
  <c r="CH80"/>
  <c r="Q81"/>
  <c r="AD81"/>
  <c r="AN81" s="1"/>
  <c r="BQ81"/>
  <c r="BS81" s="1"/>
  <c r="Z82"/>
  <c r="AA82" s="1"/>
  <c r="BE82" s="1"/>
  <c r="CO82"/>
  <c r="AU83"/>
  <c r="AW83" s="1"/>
  <c r="BA83"/>
  <c r="BC83" s="1"/>
  <c r="CA83"/>
  <c r="CC83" s="1"/>
  <c r="CG83"/>
  <c r="CI83" s="1"/>
  <c r="CL83"/>
  <c r="CN83" s="1"/>
  <c r="CH84"/>
  <c r="Q85"/>
  <c r="AD85"/>
  <c r="BQ85"/>
  <c r="BS85" s="1"/>
  <c r="Z86"/>
  <c r="AA86" s="1"/>
  <c r="AU87"/>
  <c r="BA87"/>
  <c r="BC87" s="1"/>
  <c r="CA87"/>
  <c r="CC87" s="1"/>
  <c r="CG87"/>
  <c r="CI87" s="1"/>
  <c r="CL87"/>
  <c r="CN87" s="1"/>
  <c r="Z79"/>
  <c r="AA79" s="1"/>
  <c r="AM79"/>
  <c r="AN79" s="1"/>
  <c r="BD79"/>
  <c r="BR79"/>
  <c r="BS79" s="1"/>
  <c r="CO79"/>
  <c r="AV81"/>
  <c r="AW81" s="1"/>
  <c r="BB81"/>
  <c r="CB81"/>
  <c r="CC81" s="1"/>
  <c r="CH81"/>
  <c r="CM81"/>
  <c r="Z83"/>
  <c r="AA83" s="1"/>
  <c r="AM83"/>
  <c r="AN83" s="1"/>
  <c r="BD83"/>
  <c r="BR83"/>
  <c r="BS83" s="1"/>
  <c r="CO83"/>
  <c r="AV85"/>
  <c r="AW85" s="1"/>
  <c r="BB85"/>
  <c r="CB85"/>
  <c r="CC85" s="1"/>
  <c r="CH85"/>
  <c r="CM85"/>
  <c r="Z87"/>
  <c r="AA87" s="1"/>
  <c r="AM87"/>
  <c r="AN87" s="1"/>
  <c r="BD87"/>
  <c r="BR87"/>
  <c r="BS87" s="1"/>
  <c r="CO87"/>
  <c r="Z72"/>
  <c r="AA72" s="1"/>
  <c r="Z76"/>
  <c r="AA76" s="1"/>
  <c r="BE76" s="1"/>
  <c r="Z80"/>
  <c r="AA80" s="1"/>
  <c r="CG81"/>
  <c r="CI81" s="1"/>
  <c r="Z84"/>
  <c r="AA84" s="1"/>
  <c r="CG85"/>
  <c r="CI85" s="1"/>
  <c r="Z81"/>
  <c r="Z85"/>
  <c r="CP33"/>
  <c r="CS33"/>
  <c r="CS24"/>
  <c r="CS20"/>
  <c r="CU28"/>
  <c r="CS41"/>
  <c r="CS39"/>
  <c r="CS29"/>
  <c r="CP10"/>
  <c r="CS35"/>
  <c r="CS27"/>
  <c r="CS22"/>
  <c r="CS18"/>
  <c r="BE42"/>
  <c r="CS37"/>
  <c r="CS31"/>
  <c r="BD41"/>
  <c r="BD39"/>
  <c r="BD37"/>
  <c r="BD35"/>
  <c r="BD33"/>
  <c r="BD31"/>
  <c r="BD29"/>
  <c r="BD27"/>
  <c r="BD24"/>
  <c r="BD22"/>
  <c r="BD20"/>
  <c r="BD18"/>
  <c r="DG7" i="11"/>
  <c r="DF22"/>
  <c r="DI22"/>
  <c r="CC9"/>
  <c r="CD9"/>
  <c r="CE9" s="1"/>
  <c r="DI10"/>
  <c r="DF10"/>
  <c r="DE7"/>
  <c r="AC8"/>
  <c r="AD8" s="1"/>
  <c r="AH9"/>
  <c r="AS9"/>
  <c r="CC13"/>
  <c r="CD13"/>
  <c r="AH15"/>
  <c r="AS15"/>
  <c r="BJ23"/>
  <c r="BL23" s="1"/>
  <c r="BK23"/>
  <c r="DF31"/>
  <c r="DI31"/>
  <c r="R9"/>
  <c r="BM9"/>
  <c r="AC9"/>
  <c r="AD9" s="1"/>
  <c r="CC10"/>
  <c r="CD10"/>
  <c r="CE10" s="1"/>
  <c r="R12"/>
  <c r="BM12"/>
  <c r="AC12"/>
  <c r="AH12"/>
  <c r="AS12"/>
  <c r="AT12" s="1"/>
  <c r="CC14"/>
  <c r="CD14"/>
  <c r="BN16"/>
  <c r="DG16"/>
  <c r="BN18"/>
  <c r="DG18"/>
  <c r="DI18"/>
  <c r="DK18" s="1"/>
  <c r="DF18"/>
  <c r="DG20"/>
  <c r="DI20"/>
  <c r="DK20" s="1"/>
  <c r="DF20"/>
  <c r="BC23"/>
  <c r="BD23"/>
  <c r="BE23" s="1"/>
  <c r="CO23"/>
  <c r="CP23"/>
  <c r="DI24"/>
  <c r="BN28"/>
  <c r="BM6"/>
  <c r="CV6"/>
  <c r="CX6" s="1"/>
  <c r="DI6"/>
  <c r="W7"/>
  <c r="AM7"/>
  <c r="AT7" s="1"/>
  <c r="BC7"/>
  <c r="BX7"/>
  <c r="CE7" s="1"/>
  <c r="CO7"/>
  <c r="DB7"/>
  <c r="DD7" s="1"/>
  <c r="BJ8"/>
  <c r="BL8" s="1"/>
  <c r="CV8"/>
  <c r="CX8" s="1"/>
  <c r="CP10"/>
  <c r="CQ10" s="1"/>
  <c r="BD11"/>
  <c r="BE11" s="1"/>
  <c r="DE11"/>
  <c r="CP14"/>
  <c r="CQ14" s="1"/>
  <c r="BD15"/>
  <c r="BE15" s="1"/>
  <c r="DE15"/>
  <c r="CE16"/>
  <c r="AT17"/>
  <c r="BN17" s="1"/>
  <c r="AT19"/>
  <c r="AT21"/>
  <c r="BN21" s="1"/>
  <c r="R11"/>
  <c r="BM11"/>
  <c r="AC11"/>
  <c r="BC22"/>
  <c r="BD22"/>
  <c r="BE22" s="1"/>
  <c r="CV23"/>
  <c r="CX23" s="1"/>
  <c r="CW23"/>
  <c r="CC11"/>
  <c r="CD11"/>
  <c r="CE11" s="1"/>
  <c r="R13"/>
  <c r="BM13"/>
  <c r="AC13"/>
  <c r="AH13"/>
  <c r="AS13"/>
  <c r="CC15"/>
  <c r="CD15"/>
  <c r="DB22"/>
  <c r="DD22" s="1"/>
  <c r="DC22"/>
  <c r="CQ8"/>
  <c r="AC7"/>
  <c r="AD7" s="1"/>
  <c r="BE7"/>
  <c r="CQ7"/>
  <c r="DE8"/>
  <c r="DE12"/>
  <c r="AC22"/>
  <c r="AD22" s="1"/>
  <c r="AS22"/>
  <c r="AT22" s="1"/>
  <c r="BM22"/>
  <c r="CD22"/>
  <c r="CE22" s="1"/>
  <c r="DE23"/>
  <c r="AH11"/>
  <c r="AS11"/>
  <c r="R15"/>
  <c r="BM15"/>
  <c r="AC15"/>
  <c r="CO22"/>
  <c r="CP22"/>
  <c r="CQ22" s="1"/>
  <c r="R10"/>
  <c r="BM10"/>
  <c r="AC10"/>
  <c r="AD10" s="1"/>
  <c r="AH10"/>
  <c r="AS10"/>
  <c r="CC12"/>
  <c r="CD12"/>
  <c r="CE12" s="1"/>
  <c r="R14"/>
  <c r="BM14"/>
  <c r="AC14"/>
  <c r="AH14"/>
  <c r="AS14"/>
  <c r="AT14" s="1"/>
  <c r="DI16"/>
  <c r="DK16" s="1"/>
  <c r="DG17"/>
  <c r="DI17"/>
  <c r="DF17"/>
  <c r="BN19"/>
  <c r="DG19"/>
  <c r="DI19"/>
  <c r="DF19"/>
  <c r="DG21"/>
  <c r="DI21"/>
  <c r="DF21"/>
  <c r="BJ22"/>
  <c r="BL22" s="1"/>
  <c r="BK22"/>
  <c r="CV22"/>
  <c r="CX22" s="1"/>
  <c r="CW22"/>
  <c r="DB23"/>
  <c r="DD23" s="1"/>
  <c r="DC23"/>
  <c r="DG24"/>
  <c r="DG25"/>
  <c r="AS8"/>
  <c r="AT8" s="1"/>
  <c r="BM8"/>
  <c r="CD8"/>
  <c r="CE8" s="1"/>
  <c r="DE14"/>
  <c r="BJ6"/>
  <c r="BL6" s="1"/>
  <c r="BJ7"/>
  <c r="BL7" s="1"/>
  <c r="CV7"/>
  <c r="CX7" s="1"/>
  <c r="BC8"/>
  <c r="BE8" s="1"/>
  <c r="CO8"/>
  <c r="DB8"/>
  <c r="DD8" s="1"/>
  <c r="DE9"/>
  <c r="CP12"/>
  <c r="CQ12" s="1"/>
  <c r="BD13"/>
  <c r="BE13" s="1"/>
  <c r="DE13"/>
  <c r="AT18"/>
  <c r="AT20"/>
  <c r="BN20" s="1"/>
  <c r="AD23"/>
  <c r="AT23"/>
  <c r="BM23"/>
  <c r="CE23"/>
  <c r="BD31"/>
  <c r="BE31" s="1"/>
  <c r="BC31"/>
  <c r="CP31"/>
  <c r="CQ31" s="1"/>
  <c r="CO31"/>
  <c r="R24"/>
  <c r="AD24" s="1"/>
  <c r="BK25"/>
  <c r="CD25"/>
  <c r="CE25" s="1"/>
  <c r="CP25"/>
  <c r="CQ25" s="1"/>
  <c r="DC25"/>
  <c r="AC30"/>
  <c r="AD30" s="1"/>
  <c r="AS30"/>
  <c r="AT30" s="1"/>
  <c r="AT34"/>
  <c r="AT36"/>
  <c r="AT38"/>
  <c r="AT41"/>
  <c r="BM32"/>
  <c r="W32"/>
  <c r="DG41"/>
  <c r="DG42"/>
  <c r="DG43"/>
  <c r="DG44"/>
  <c r="DG45"/>
  <c r="DG46"/>
  <c r="CV16"/>
  <c r="CX16" s="1"/>
  <c r="DF16" s="1"/>
  <c r="BD24"/>
  <c r="BE24" s="1"/>
  <c r="BK24"/>
  <c r="CP24"/>
  <c r="CQ24" s="1"/>
  <c r="CW24"/>
  <c r="DC24"/>
  <c r="AC25"/>
  <c r="AD25" s="1"/>
  <c r="BD30"/>
  <c r="BE30" s="1"/>
  <c r="DC31"/>
  <c r="DB31"/>
  <c r="DD31" s="1"/>
  <c r="AC16"/>
  <c r="AD16" s="1"/>
  <c r="AC17"/>
  <c r="AD17" s="1"/>
  <c r="AC18"/>
  <c r="AD18" s="1"/>
  <c r="AC19"/>
  <c r="AD19" s="1"/>
  <c r="AC20"/>
  <c r="AD20" s="1"/>
  <c r="AC21"/>
  <c r="AD21" s="1"/>
  <c r="W24"/>
  <c r="AM24"/>
  <c r="AT24" s="1"/>
  <c r="BX24"/>
  <c r="CE24" s="1"/>
  <c r="CV24"/>
  <c r="CX24" s="1"/>
  <c r="CW25"/>
  <c r="BN27"/>
  <c r="BN29"/>
  <c r="BM30"/>
  <c r="CD30"/>
  <c r="CE30" s="1"/>
  <c r="DE30"/>
  <c r="AC31"/>
  <c r="AD31" s="1"/>
  <c r="AS31"/>
  <c r="AT31" s="1"/>
  <c r="BM31"/>
  <c r="CD31"/>
  <c r="CE31" s="1"/>
  <c r="CQ40"/>
  <c r="CQ42"/>
  <c r="BK31"/>
  <c r="BJ31"/>
  <c r="BL31" s="1"/>
  <c r="CW31"/>
  <c r="CV31"/>
  <c r="CX31" s="1"/>
  <c r="DG33"/>
  <c r="DG34"/>
  <c r="BN34"/>
  <c r="DG35"/>
  <c r="BN35"/>
  <c r="DG36"/>
  <c r="BN36"/>
  <c r="DG37"/>
  <c r="DG38"/>
  <c r="DG39"/>
  <c r="BN39"/>
  <c r="DG40"/>
  <c r="AT25"/>
  <c r="BN25" s="1"/>
  <c r="DE25"/>
  <c r="CQ33"/>
  <c r="CQ34"/>
  <c r="CQ36"/>
  <c r="CQ38"/>
  <c r="DE26"/>
  <c r="DE27"/>
  <c r="DE28"/>
  <c r="DE29"/>
  <c r="BC32"/>
  <c r="BJ32"/>
  <c r="BL32" s="1"/>
  <c r="BX32"/>
  <c r="CO32"/>
  <c r="CQ32" s="1"/>
  <c r="CV32"/>
  <c r="CX32" s="1"/>
  <c r="DB32"/>
  <c r="DD32" s="1"/>
  <c r="W33"/>
  <c r="AM33"/>
  <c r="AT33" s="1"/>
  <c r="BC33"/>
  <c r="BE33" s="1"/>
  <c r="BJ33"/>
  <c r="BL33" s="1"/>
  <c r="BX33"/>
  <c r="CO33"/>
  <c r="CV33"/>
  <c r="CX33" s="1"/>
  <c r="DB33"/>
  <c r="DD33" s="1"/>
  <c r="W34"/>
  <c r="AM34"/>
  <c r="BC34"/>
  <c r="BE34" s="1"/>
  <c r="BJ34"/>
  <c r="BL34" s="1"/>
  <c r="BX34"/>
  <c r="CE34" s="1"/>
  <c r="CO34"/>
  <c r="CV34"/>
  <c r="CX34" s="1"/>
  <c r="DB34"/>
  <c r="DD34" s="1"/>
  <c r="W35"/>
  <c r="AM35"/>
  <c r="AT35" s="1"/>
  <c r="BC35"/>
  <c r="BJ35"/>
  <c r="BL35" s="1"/>
  <c r="BX35"/>
  <c r="CE35" s="1"/>
  <c r="CO35"/>
  <c r="CV35"/>
  <c r="CX35" s="1"/>
  <c r="DB35"/>
  <c r="DD35" s="1"/>
  <c r="W36"/>
  <c r="AM36"/>
  <c r="BC36"/>
  <c r="BE36" s="1"/>
  <c r="BJ36"/>
  <c r="BL36" s="1"/>
  <c r="BX36"/>
  <c r="CO36"/>
  <c r="CV36"/>
  <c r="CX36" s="1"/>
  <c r="DB36"/>
  <c r="DD36" s="1"/>
  <c r="W37"/>
  <c r="AM37"/>
  <c r="AT37" s="1"/>
  <c r="BC37"/>
  <c r="BE37" s="1"/>
  <c r="BJ37"/>
  <c r="BL37" s="1"/>
  <c r="BX37"/>
  <c r="CE37" s="1"/>
  <c r="CO37"/>
  <c r="CQ37" s="1"/>
  <c r="CV37"/>
  <c r="CX37" s="1"/>
  <c r="DB37"/>
  <c r="DD37" s="1"/>
  <c r="W38"/>
  <c r="AM38"/>
  <c r="BC38"/>
  <c r="BE38" s="1"/>
  <c r="BJ38"/>
  <c r="BL38" s="1"/>
  <c r="BX38"/>
  <c r="CE38" s="1"/>
  <c r="CO38"/>
  <c r="CV38"/>
  <c r="CX38" s="1"/>
  <c r="DB38"/>
  <c r="DD38" s="1"/>
  <c r="W39"/>
  <c r="AM39"/>
  <c r="BC39"/>
  <c r="BE39" s="1"/>
  <c r="BJ39"/>
  <c r="BL39" s="1"/>
  <c r="BX39"/>
  <c r="CO39"/>
  <c r="CQ39" s="1"/>
  <c r="CV39"/>
  <c r="CX39" s="1"/>
  <c r="DB39"/>
  <c r="DD39" s="1"/>
  <c r="W40"/>
  <c r="AM40"/>
  <c r="AT40" s="1"/>
  <c r="BC40"/>
  <c r="BE40" s="1"/>
  <c r="BJ40"/>
  <c r="BL40" s="1"/>
  <c r="BX40"/>
  <c r="CE40" s="1"/>
  <c r="CO40"/>
  <c r="CV40"/>
  <c r="CX40" s="1"/>
  <c r="DB40"/>
  <c r="DD40" s="1"/>
  <c r="W41"/>
  <c r="AM41"/>
  <c r="BC41"/>
  <c r="BE41" s="1"/>
  <c r="BJ41"/>
  <c r="BL41" s="1"/>
  <c r="BX41"/>
  <c r="CO41"/>
  <c r="CQ41" s="1"/>
  <c r="CV41"/>
  <c r="CX41" s="1"/>
  <c r="DB41"/>
  <c r="DD41" s="1"/>
  <c r="W42"/>
  <c r="AM42"/>
  <c r="AT42" s="1"/>
  <c r="BC42"/>
  <c r="BE42" s="1"/>
  <c r="BJ42"/>
  <c r="BL42" s="1"/>
  <c r="BX42"/>
  <c r="CO42"/>
  <c r="CV42"/>
  <c r="CX42" s="1"/>
  <c r="DB42"/>
  <c r="DD42" s="1"/>
  <c r="DE32"/>
  <c r="AC33"/>
  <c r="AD33" s="1"/>
  <c r="DE33"/>
  <c r="AC34"/>
  <c r="AD34" s="1"/>
  <c r="DE34"/>
  <c r="AC35"/>
  <c r="AD35" s="1"/>
  <c r="DE35"/>
  <c r="AC36"/>
  <c r="AD36" s="1"/>
  <c r="DE36"/>
  <c r="AC37"/>
  <c r="AD37" s="1"/>
  <c r="DE37"/>
  <c r="AC38"/>
  <c r="DE38"/>
  <c r="AC39"/>
  <c r="AD39" s="1"/>
  <c r="DE39"/>
  <c r="AC40"/>
  <c r="AD40" s="1"/>
  <c r="DE40"/>
  <c r="AC41"/>
  <c r="AD41" s="1"/>
  <c r="DE41"/>
  <c r="AC42"/>
  <c r="DE42"/>
  <c r="AC43"/>
  <c r="AD43" s="1"/>
  <c r="BN43" s="1"/>
  <c r="DE43"/>
  <c r="AC44"/>
  <c r="AD44" s="1"/>
  <c r="BN44" s="1"/>
  <c r="DE44"/>
  <c r="AC45"/>
  <c r="AD45" s="1"/>
  <c r="BN45" s="1"/>
  <c r="DE45"/>
  <c r="AC46"/>
  <c r="AD46" s="1"/>
  <c r="BN46" s="1"/>
  <c r="DE46"/>
  <c r="CU166" i="6" l="1"/>
  <c r="CU72"/>
  <c r="CU38"/>
  <c r="CU40"/>
  <c r="AA96"/>
  <c r="AA101"/>
  <c r="AW54"/>
  <c r="BE54" s="1"/>
  <c r="CR54" s="1"/>
  <c r="CU162"/>
  <c r="CU142"/>
  <c r="CU54"/>
  <c r="AA172"/>
  <c r="BE172" s="1"/>
  <c r="AA169"/>
  <c r="CU160"/>
  <c r="AW171"/>
  <c r="AW169"/>
  <c r="BE169" s="1"/>
  <c r="AW139"/>
  <c r="AW108"/>
  <c r="AW69"/>
  <c r="AW62"/>
  <c r="AW127"/>
  <c r="AW123"/>
  <c r="AW119"/>
  <c r="AW102"/>
  <c r="AW87"/>
  <c r="AW65"/>
  <c r="AW58"/>
  <c r="AW16"/>
  <c r="AN170"/>
  <c r="AN125"/>
  <c r="AN67"/>
  <c r="AN63"/>
  <c r="AN51"/>
  <c r="AN32"/>
  <c r="BE72"/>
  <c r="BE66"/>
  <c r="CU32"/>
  <c r="CU15"/>
  <c r="AN166"/>
  <c r="BE166" s="1"/>
  <c r="CR166" s="1"/>
  <c r="AN119"/>
  <c r="AN85"/>
  <c r="AN78"/>
  <c r="BE50"/>
  <c r="AA97"/>
  <c r="AA168"/>
  <c r="BE86"/>
  <c r="BE84"/>
  <c r="BE70"/>
  <c r="AA62"/>
  <c r="BE34"/>
  <c r="CR34" s="1"/>
  <c r="CT10"/>
  <c r="CP85"/>
  <c r="CU25"/>
  <c r="AA23"/>
  <c r="AW162"/>
  <c r="CU150"/>
  <c r="BE80"/>
  <c r="AW79"/>
  <c r="BE79" s="1"/>
  <c r="BE64"/>
  <c r="BE56"/>
  <c r="CU36"/>
  <c r="AA14"/>
  <c r="BE162"/>
  <c r="CR162" s="1"/>
  <c r="AA142"/>
  <c r="BE142" s="1"/>
  <c r="BE12"/>
  <c r="AA21"/>
  <c r="BE21" s="1"/>
  <c r="AA119"/>
  <c r="CC27"/>
  <c r="CP27" s="1"/>
  <c r="BS28"/>
  <c r="CP18"/>
  <c r="AA121"/>
  <c r="CP142"/>
  <c r="CU16"/>
  <c r="AW95"/>
  <c r="CP168"/>
  <c r="BE176"/>
  <c r="AW111"/>
  <c r="BE111" s="1"/>
  <c r="AN175"/>
  <c r="CC169"/>
  <c r="AA175"/>
  <c r="CP51"/>
  <c r="AW41"/>
  <c r="BE41" s="1"/>
  <c r="CP62"/>
  <c r="CC35"/>
  <c r="CP35" s="1"/>
  <c r="CP174"/>
  <c r="CP154"/>
  <c r="CP58"/>
  <c r="AA150"/>
  <c r="BE150" s="1"/>
  <c r="CS154"/>
  <c r="CU152"/>
  <c r="AW156"/>
  <c r="BE152"/>
  <c r="CU164"/>
  <c r="AA16"/>
  <c r="AW37"/>
  <c r="BS42"/>
  <c r="CU81"/>
  <c r="BS175"/>
  <c r="BE155"/>
  <c r="CU12"/>
  <c r="BE60"/>
  <c r="CU106"/>
  <c r="CP29"/>
  <c r="CU11"/>
  <c r="AN11"/>
  <c r="CP164"/>
  <c r="CP172"/>
  <c r="CU146"/>
  <c r="AN38"/>
  <c r="CC41"/>
  <c r="CP41" s="1"/>
  <c r="AN139"/>
  <c r="BS40"/>
  <c r="CP40" s="1"/>
  <c r="CT40" s="1"/>
  <c r="AA106"/>
  <c r="BE106" s="1"/>
  <c r="AW153"/>
  <c r="BS36"/>
  <c r="CP36" s="1"/>
  <c r="BE170"/>
  <c r="CP146"/>
  <c r="AA153"/>
  <c r="BE153" s="1"/>
  <c r="AA85"/>
  <c r="CP107"/>
  <c r="CC12"/>
  <c r="CP12" s="1"/>
  <c r="BE164"/>
  <c r="BE74"/>
  <c r="CU80"/>
  <c r="BE157"/>
  <c r="CU169"/>
  <c r="BE25"/>
  <c r="CP32"/>
  <c r="AA51"/>
  <c r="BE51" s="1"/>
  <c r="CU51"/>
  <c r="AA130"/>
  <c r="CP95"/>
  <c r="BS139"/>
  <c r="CP139" s="1"/>
  <c r="CP150"/>
  <c r="CP162"/>
  <c r="AA63"/>
  <c r="AA109"/>
  <c r="BE109" s="1"/>
  <c r="BS103"/>
  <c r="BS98"/>
  <c r="CP173"/>
  <c r="AW38"/>
  <c r="BS19"/>
  <c r="CP19" s="1"/>
  <c r="AA24"/>
  <c r="BE24" s="1"/>
  <c r="AN17"/>
  <c r="BS15"/>
  <c r="BS31"/>
  <c r="CC31"/>
  <c r="CU110"/>
  <c r="BE144"/>
  <c r="BS80"/>
  <c r="CP8"/>
  <c r="CT8" s="1"/>
  <c r="AA17"/>
  <c r="CP22"/>
  <c r="CP16"/>
  <c r="BS26"/>
  <c r="CP26" s="1"/>
  <c r="CT26" s="1"/>
  <c r="CP129"/>
  <c r="CP126"/>
  <c r="CP122"/>
  <c r="CP118"/>
  <c r="CU119"/>
  <c r="BE117"/>
  <c r="CU109"/>
  <c r="AA37"/>
  <c r="AA10"/>
  <c r="BE10" s="1"/>
  <c r="CR10" s="1"/>
  <c r="AN13"/>
  <c r="AN23"/>
  <c r="AW14"/>
  <c r="CU21"/>
  <c r="AW22"/>
  <c r="BS24"/>
  <c r="AN28"/>
  <c r="AW30"/>
  <c r="CC37"/>
  <c r="CC9"/>
  <c r="CP9" s="1"/>
  <c r="CT9" s="1"/>
  <c r="CC15"/>
  <c r="CP15" s="1"/>
  <c r="CT15" s="1"/>
  <c r="AN16"/>
  <c r="CU84"/>
  <c r="CT84" s="1"/>
  <c r="AA110"/>
  <c r="BE110" s="1"/>
  <c r="AN8"/>
  <c r="BE8" s="1"/>
  <c r="CR8" s="1"/>
  <c r="CP7"/>
  <c r="CP13"/>
  <c r="CT13" s="1"/>
  <c r="BE40"/>
  <c r="CR40" s="1"/>
  <c r="BE32"/>
  <c r="CR32" s="1"/>
  <c r="AW11"/>
  <c r="AN36"/>
  <c r="BE36" s="1"/>
  <c r="CR36" s="1"/>
  <c r="CP17"/>
  <c r="BE62"/>
  <c r="BE78"/>
  <c r="CP123"/>
  <c r="BE127"/>
  <c r="CP130"/>
  <c r="BE174"/>
  <c r="BS170"/>
  <c r="BS160"/>
  <c r="BS140"/>
  <c r="CP140" s="1"/>
  <c r="BS37"/>
  <c r="CC42"/>
  <c r="BE19"/>
  <c r="BE30"/>
  <c r="AA67"/>
  <c r="BE67" s="1"/>
  <c r="BE52"/>
  <c r="CP106"/>
  <c r="AA105"/>
  <c r="BE105" s="1"/>
  <c r="AW116"/>
  <c r="CP105"/>
  <c r="AA103"/>
  <c r="CU105"/>
  <c r="BE146"/>
  <c r="CU173"/>
  <c r="CU172"/>
  <c r="CU168"/>
  <c r="CP152"/>
  <c r="CC170"/>
  <c r="CC160"/>
  <c r="AN148"/>
  <c r="BE148" s="1"/>
  <c r="CC80"/>
  <c r="CP80" s="1"/>
  <c r="AA27"/>
  <c r="AA31"/>
  <c r="BE31" s="1"/>
  <c r="AW17"/>
  <c r="AA20"/>
  <c r="CP25"/>
  <c r="CC24"/>
  <c r="AN37"/>
  <c r="CC14"/>
  <c r="CP14" s="1"/>
  <c r="AN22"/>
  <c r="CC30"/>
  <c r="CP30" s="1"/>
  <c r="BE58"/>
  <c r="CP119"/>
  <c r="BE121"/>
  <c r="BE158"/>
  <c r="AN168"/>
  <c r="BE168" s="1"/>
  <c r="AN160"/>
  <c r="CU58"/>
  <c r="AA9"/>
  <c r="BE9" s="1"/>
  <c r="CR9" s="1"/>
  <c r="CC34"/>
  <c r="CP34" s="1"/>
  <c r="CT34" s="1"/>
  <c r="AN39"/>
  <c r="CC39"/>
  <c r="CP39" s="1"/>
  <c r="CU17"/>
  <c r="CU14"/>
  <c r="CU19"/>
  <c r="CU30"/>
  <c r="CP81"/>
  <c r="CC69"/>
  <c r="CP69" s="1"/>
  <c r="CP63"/>
  <c r="BS114"/>
  <c r="CP114" s="1"/>
  <c r="CP108"/>
  <c r="AW101"/>
  <c r="BE101" s="1"/>
  <c r="AW96"/>
  <c r="BE96" s="1"/>
  <c r="CU174"/>
  <c r="CC167"/>
  <c r="CP167" s="1"/>
  <c r="CC166"/>
  <c r="CP166" s="1"/>
  <c r="CT166" s="1"/>
  <c r="AW160"/>
  <c r="AN154"/>
  <c r="BE154" s="1"/>
  <c r="AN140"/>
  <c r="BE140" s="1"/>
  <c r="AA7"/>
  <c r="BE7" s="1"/>
  <c r="CU7"/>
  <c r="BE26"/>
  <c r="CR26" s="1"/>
  <c r="CC86"/>
  <c r="CP86" s="1"/>
  <c r="CC38"/>
  <c r="CP38" s="1"/>
  <c r="AN15"/>
  <c r="BE15" s="1"/>
  <c r="CR15" s="1"/>
  <c r="CP21"/>
  <c r="CP11"/>
  <c r="AW13"/>
  <c r="BS20"/>
  <c r="CC23"/>
  <c r="CP23" s="1"/>
  <c r="CT23" s="1"/>
  <c r="AA28"/>
  <c r="AA39"/>
  <c r="CC20"/>
  <c r="CC28"/>
  <c r="CP28" s="1"/>
  <c r="CP175"/>
  <c r="CP169"/>
  <c r="CS171"/>
  <c r="CP171"/>
  <c r="CP176"/>
  <c r="CS176"/>
  <c r="CU176" s="1"/>
  <c r="CS158"/>
  <c r="CU158" s="1"/>
  <c r="CP158"/>
  <c r="BE163"/>
  <c r="CQ163"/>
  <c r="CP157"/>
  <c r="CS157"/>
  <c r="CU157" s="1"/>
  <c r="CS156"/>
  <c r="CP156"/>
  <c r="CS148"/>
  <c r="CU148" s="1"/>
  <c r="CP148"/>
  <c r="CT142"/>
  <c r="CP149"/>
  <c r="CS149"/>
  <c r="CP145"/>
  <c r="CS145"/>
  <c r="CP141"/>
  <c r="CS141"/>
  <c r="AA173"/>
  <c r="BE173" s="1"/>
  <c r="AA139"/>
  <c r="BE139" s="1"/>
  <c r="CP170"/>
  <c r="CS170"/>
  <c r="CU170" s="1"/>
  <c r="CP165"/>
  <c r="CS165"/>
  <c r="BE159"/>
  <c r="CQ159"/>
  <c r="CP161"/>
  <c r="CS161"/>
  <c r="CS167"/>
  <c r="CP155"/>
  <c r="CS155"/>
  <c r="CU155" s="1"/>
  <c r="CS144"/>
  <c r="CU144" s="1"/>
  <c r="CP144"/>
  <c r="BE151"/>
  <c r="CQ151"/>
  <c r="BE147"/>
  <c r="CQ147"/>
  <c r="BE143"/>
  <c r="CQ143"/>
  <c r="CS139"/>
  <c r="CU139" s="1"/>
  <c r="CP163"/>
  <c r="CS163"/>
  <c r="CP159"/>
  <c r="CS159"/>
  <c r="CT162"/>
  <c r="CQ156"/>
  <c r="BE156"/>
  <c r="CQ167"/>
  <c r="BE167"/>
  <c r="CQ153"/>
  <c r="CP151"/>
  <c r="CS151"/>
  <c r="CP147"/>
  <c r="CS147"/>
  <c r="CP143"/>
  <c r="CS143"/>
  <c r="CU154"/>
  <c r="CU140"/>
  <c r="CQ171"/>
  <c r="BE171"/>
  <c r="BE165"/>
  <c r="CQ165"/>
  <c r="BE161"/>
  <c r="CQ161"/>
  <c r="CS153"/>
  <c r="CP153"/>
  <c r="BE149"/>
  <c r="CQ149"/>
  <c r="BE145"/>
  <c r="CQ145"/>
  <c r="BE141"/>
  <c r="CQ141"/>
  <c r="CU175"/>
  <c r="CP110"/>
  <c r="CT110" s="1"/>
  <c r="BE97"/>
  <c r="BE130"/>
  <c r="BE123"/>
  <c r="CP109"/>
  <c r="BE102"/>
  <c r="BE129"/>
  <c r="CQ129"/>
  <c r="CU129" s="1"/>
  <c r="CS121"/>
  <c r="CU121" s="1"/>
  <c r="CP121"/>
  <c r="BE124"/>
  <c r="CQ124"/>
  <c r="CQ111"/>
  <c r="CQ114"/>
  <c r="CP102"/>
  <c r="CS102"/>
  <c r="CU102" s="1"/>
  <c r="CP97"/>
  <c r="CS97"/>
  <c r="CU97" s="1"/>
  <c r="BE104"/>
  <c r="CQ104"/>
  <c r="CQ98"/>
  <c r="CS101"/>
  <c r="AA125"/>
  <c r="BE125" s="1"/>
  <c r="CU123"/>
  <c r="AW112"/>
  <c r="BE112" s="1"/>
  <c r="CC116"/>
  <c r="CP116" s="1"/>
  <c r="CC112"/>
  <c r="CP112" s="1"/>
  <c r="AA113"/>
  <c r="BE113" s="1"/>
  <c r="CC101"/>
  <c r="CP101" s="1"/>
  <c r="CC96"/>
  <c r="CP96" s="1"/>
  <c r="AN103"/>
  <c r="AN98"/>
  <c r="BE122"/>
  <c r="CQ122"/>
  <c r="CU122" s="1"/>
  <c r="CS127"/>
  <c r="CU127" s="1"/>
  <c r="CP127"/>
  <c r="CP117"/>
  <c r="CS117"/>
  <c r="CU117" s="1"/>
  <c r="BE126"/>
  <c r="CQ126"/>
  <c r="CU126" s="1"/>
  <c r="CQ118"/>
  <c r="CU118" s="1"/>
  <c r="BE118"/>
  <c r="CS125"/>
  <c r="CU125" s="1"/>
  <c r="CP125"/>
  <c r="CP131"/>
  <c r="CS131"/>
  <c r="CP124"/>
  <c r="CS124"/>
  <c r="CP120"/>
  <c r="CS120"/>
  <c r="BE116"/>
  <c r="CQ116"/>
  <c r="CQ112"/>
  <c r="CS104"/>
  <c r="CP104"/>
  <c r="CS100"/>
  <c r="CP100"/>
  <c r="CS99"/>
  <c r="CP99"/>
  <c r="BE100"/>
  <c r="CQ100"/>
  <c r="AN114"/>
  <c r="CU130"/>
  <c r="AA114"/>
  <c r="AA98"/>
  <c r="CS112"/>
  <c r="CQ108"/>
  <c r="CU108" s="1"/>
  <c r="BE108"/>
  <c r="CP113"/>
  <c r="CS113"/>
  <c r="CU113" s="1"/>
  <c r="BE107"/>
  <c r="CQ107"/>
  <c r="CU107" s="1"/>
  <c r="BE115"/>
  <c r="CQ115"/>
  <c r="CQ103"/>
  <c r="BE99"/>
  <c r="CQ99"/>
  <c r="CS96"/>
  <c r="CQ101"/>
  <c r="CQ96"/>
  <c r="BE131"/>
  <c r="CQ131"/>
  <c r="BE120"/>
  <c r="CQ120"/>
  <c r="CS116"/>
  <c r="CS114"/>
  <c r="CS115"/>
  <c r="CP115"/>
  <c r="CS111"/>
  <c r="CP111"/>
  <c r="CS103"/>
  <c r="CP103"/>
  <c r="CS98"/>
  <c r="CP98"/>
  <c r="CQ95"/>
  <c r="CU95" s="1"/>
  <c r="BE95"/>
  <c r="CP67"/>
  <c r="BE63"/>
  <c r="CP65"/>
  <c r="CP78"/>
  <c r="CS78"/>
  <c r="CU78" s="1"/>
  <c r="CP73"/>
  <c r="CS73"/>
  <c r="CS60"/>
  <c r="CU60" s="1"/>
  <c r="CP60"/>
  <c r="CT54"/>
  <c r="BE55"/>
  <c r="CQ55"/>
  <c r="AA81"/>
  <c r="BE81" s="1"/>
  <c r="CU86"/>
  <c r="CU66"/>
  <c r="CU63"/>
  <c r="CU50"/>
  <c r="CQ87"/>
  <c r="BE87"/>
  <c r="CS83"/>
  <c r="CP83"/>
  <c r="CQ79"/>
  <c r="CS74"/>
  <c r="CU74" s="1"/>
  <c r="CP74"/>
  <c r="CP77"/>
  <c r="CS77"/>
  <c r="BE75"/>
  <c r="CQ75"/>
  <c r="BE71"/>
  <c r="CQ71"/>
  <c r="CS56"/>
  <c r="CU56" s="1"/>
  <c r="CP56"/>
  <c r="CP55"/>
  <c r="CS55"/>
  <c r="BE59"/>
  <c r="CQ59"/>
  <c r="BE57"/>
  <c r="CQ57"/>
  <c r="CS70"/>
  <c r="CU70" s="1"/>
  <c r="CP70"/>
  <c r="CP75"/>
  <c r="CS75"/>
  <c r="CP71"/>
  <c r="CS71"/>
  <c r="CQ65"/>
  <c r="CU65" s="1"/>
  <c r="BE65"/>
  <c r="CR72"/>
  <c r="CT72"/>
  <c r="CP64"/>
  <c r="CS64"/>
  <c r="CU64" s="1"/>
  <c r="CS52"/>
  <c r="CU52" s="1"/>
  <c r="CP52"/>
  <c r="BE61"/>
  <c r="CQ61"/>
  <c r="BE53"/>
  <c r="CQ53"/>
  <c r="CU67"/>
  <c r="CU62"/>
  <c r="CS87"/>
  <c r="CP87"/>
  <c r="CQ83"/>
  <c r="BE83"/>
  <c r="CS79"/>
  <c r="CP79"/>
  <c r="CP82"/>
  <c r="CS82"/>
  <c r="CU82" s="1"/>
  <c r="BE77"/>
  <c r="CQ77"/>
  <c r="BE73"/>
  <c r="CQ73"/>
  <c r="CQ69"/>
  <c r="CU69" s="1"/>
  <c r="BE69"/>
  <c r="CR76"/>
  <c r="CT76"/>
  <c r="CP68"/>
  <c r="CS68"/>
  <c r="CU68" s="1"/>
  <c r="CP61"/>
  <c r="CS61"/>
  <c r="CP53"/>
  <c r="CS53"/>
  <c r="CP59"/>
  <c r="CS59"/>
  <c r="CP57"/>
  <c r="CS57"/>
  <c r="CT51"/>
  <c r="CU85"/>
  <c r="CQ20"/>
  <c r="CU20" s="1"/>
  <c r="BE20"/>
  <c r="CQ35"/>
  <c r="CU35" s="1"/>
  <c r="BE35"/>
  <c r="CQ18"/>
  <c r="CU18" s="1"/>
  <c r="BE18"/>
  <c r="CQ33"/>
  <c r="CU33" s="1"/>
  <c r="BE33"/>
  <c r="CQ41"/>
  <c r="CU41" s="1"/>
  <c r="CQ31"/>
  <c r="CU31" s="1"/>
  <c r="CQ39"/>
  <c r="CU39" s="1"/>
  <c r="CT38"/>
  <c r="CQ24"/>
  <c r="CU24" s="1"/>
  <c r="CQ22"/>
  <c r="CU22" s="1"/>
  <c r="BE22"/>
  <c r="CQ29"/>
  <c r="CU29" s="1"/>
  <c r="BE29"/>
  <c r="CQ37"/>
  <c r="CU37" s="1"/>
  <c r="CQ27"/>
  <c r="CU27" s="1"/>
  <c r="BE27"/>
  <c r="CR42"/>
  <c r="CT28"/>
  <c r="BN24" i="11"/>
  <c r="BN40"/>
  <c r="BN37"/>
  <c r="BN41"/>
  <c r="DF24"/>
  <c r="BN33"/>
  <c r="BN7"/>
  <c r="DI42"/>
  <c r="DK42" s="1"/>
  <c r="DF42"/>
  <c r="DI36"/>
  <c r="DK36" s="1"/>
  <c r="DF36"/>
  <c r="DI34"/>
  <c r="DK34" s="1"/>
  <c r="DF34"/>
  <c r="DI32"/>
  <c r="DF32"/>
  <c r="DI28"/>
  <c r="DK28" s="1"/>
  <c r="DF28"/>
  <c r="DF25"/>
  <c r="DI25"/>
  <c r="DK25" s="1"/>
  <c r="BN30"/>
  <c r="DG30"/>
  <c r="DG32"/>
  <c r="BN32"/>
  <c r="DI13"/>
  <c r="DG8"/>
  <c r="BN8"/>
  <c r="DG10"/>
  <c r="BN22"/>
  <c r="DG22"/>
  <c r="DI8"/>
  <c r="DF8"/>
  <c r="DG13"/>
  <c r="DI15"/>
  <c r="DG6"/>
  <c r="BN6"/>
  <c r="BN12"/>
  <c r="DG12"/>
  <c r="DI29"/>
  <c r="DK29" s="1"/>
  <c r="DF29"/>
  <c r="DG31"/>
  <c r="BN31"/>
  <c r="BN23"/>
  <c r="DG23"/>
  <c r="DI9"/>
  <c r="DF9"/>
  <c r="DI12"/>
  <c r="DK12" s="1"/>
  <c r="DF12"/>
  <c r="DI11"/>
  <c r="DF11"/>
  <c r="AD14"/>
  <c r="AD15"/>
  <c r="AD11"/>
  <c r="DK24"/>
  <c r="DK10"/>
  <c r="AT11"/>
  <c r="CE15"/>
  <c r="DF15" s="1"/>
  <c r="AD13"/>
  <c r="CE14"/>
  <c r="AD12"/>
  <c r="DK31"/>
  <c r="AT15"/>
  <c r="AT9"/>
  <c r="DI46"/>
  <c r="DK46" s="1"/>
  <c r="DF46"/>
  <c r="DI40"/>
  <c r="DK40" s="1"/>
  <c r="DF40"/>
  <c r="DI43"/>
  <c r="DK43" s="1"/>
  <c r="DF43"/>
  <c r="DI39"/>
  <c r="DK39" s="1"/>
  <c r="DF39"/>
  <c r="DI35"/>
  <c r="DK35" s="1"/>
  <c r="DF35"/>
  <c r="DI26"/>
  <c r="DK26" s="1"/>
  <c r="DF26"/>
  <c r="DK6"/>
  <c r="DI44"/>
  <c r="DK44" s="1"/>
  <c r="DF44"/>
  <c r="DI38"/>
  <c r="DK38" s="1"/>
  <c r="DF38"/>
  <c r="DI45"/>
  <c r="DK45" s="1"/>
  <c r="DF45"/>
  <c r="DI41"/>
  <c r="DK41" s="1"/>
  <c r="DF41"/>
  <c r="DI37"/>
  <c r="DK37" s="1"/>
  <c r="DF37"/>
  <c r="DI33"/>
  <c r="DK33" s="1"/>
  <c r="DF33"/>
  <c r="DF30"/>
  <c r="DI30"/>
  <c r="DK30" s="1"/>
  <c r="DI14"/>
  <c r="DK14" s="1"/>
  <c r="DF14"/>
  <c r="DF23"/>
  <c r="DI23"/>
  <c r="DK23" s="1"/>
  <c r="DJ20"/>
  <c r="DL20" s="1"/>
  <c r="DM20" s="1"/>
  <c r="DN20" s="1"/>
  <c r="DH20"/>
  <c r="DJ18"/>
  <c r="DL18"/>
  <c r="DM18" s="1"/>
  <c r="DN18" s="1"/>
  <c r="DH18"/>
  <c r="DF7"/>
  <c r="DI7"/>
  <c r="DK7" s="1"/>
  <c r="DI27"/>
  <c r="DK27" s="1"/>
  <c r="DF27"/>
  <c r="DJ16"/>
  <c r="DH16"/>
  <c r="DL16" s="1"/>
  <c r="DM16" s="1"/>
  <c r="DN16" s="1"/>
  <c r="BN14"/>
  <c r="DG14"/>
  <c r="BN15"/>
  <c r="DG15"/>
  <c r="BN11"/>
  <c r="DG11"/>
  <c r="DG9"/>
  <c r="BN9"/>
  <c r="AD42"/>
  <c r="BN42" s="1"/>
  <c r="AD38"/>
  <c r="BN38" s="1"/>
  <c r="DK21"/>
  <c r="DK19"/>
  <c r="DK17"/>
  <c r="AT10"/>
  <c r="BN10" s="1"/>
  <c r="AT13"/>
  <c r="BN13" s="1"/>
  <c r="CQ23"/>
  <c r="CE13"/>
  <c r="DF13" s="1"/>
  <c r="DK22"/>
  <c r="CP42" i="6" l="1"/>
  <c r="CT42" s="1"/>
  <c r="CT150"/>
  <c r="BE175"/>
  <c r="CT164"/>
  <c r="CT81"/>
  <c r="CT58"/>
  <c r="CT173"/>
  <c r="CT119"/>
  <c r="CT152"/>
  <c r="CR142"/>
  <c r="BE37"/>
  <c r="CT36"/>
  <c r="CR146"/>
  <c r="CT146"/>
  <c r="BE119"/>
  <c r="CR119" s="1"/>
  <c r="CT109"/>
  <c r="BE85"/>
  <c r="CT32"/>
  <c r="CV32" s="1"/>
  <c r="CW32" s="1"/>
  <c r="CX32" s="1"/>
  <c r="CR81"/>
  <c r="CT25"/>
  <c r="CR25"/>
  <c r="CR164"/>
  <c r="CV164" s="1"/>
  <c r="CW164" s="1"/>
  <c r="CX164" s="1"/>
  <c r="CR152"/>
  <c r="BE23"/>
  <c r="CR23" s="1"/>
  <c r="CV23" s="1"/>
  <c r="CW23" s="1"/>
  <c r="CX23" s="1"/>
  <c r="BE14"/>
  <c r="CR14" s="1"/>
  <c r="CV10"/>
  <c r="CW10" s="1"/>
  <c r="CX10" s="1"/>
  <c r="CR172"/>
  <c r="CT106"/>
  <c r="CR106"/>
  <c r="CR84"/>
  <c r="CV84" s="1"/>
  <c r="CW84" s="1"/>
  <c r="CX84" s="1"/>
  <c r="CU55"/>
  <c r="CR55" s="1"/>
  <c r="CT172"/>
  <c r="BE103"/>
  <c r="CT168"/>
  <c r="CT16"/>
  <c r="CR80"/>
  <c r="CR12"/>
  <c r="CR173"/>
  <c r="BE39"/>
  <c r="CR150"/>
  <c r="CV150" s="1"/>
  <c r="CW150" s="1"/>
  <c r="CX150" s="1"/>
  <c r="CR21"/>
  <c r="CV15"/>
  <c r="CW15" s="1"/>
  <c r="CX15" s="1"/>
  <c r="CT80"/>
  <c r="BE11"/>
  <c r="CR11" s="1"/>
  <c r="CT11"/>
  <c r="CR51"/>
  <c r="CV51" s="1"/>
  <c r="CW51" s="1"/>
  <c r="CX51" s="1"/>
  <c r="CR110"/>
  <c r="CV110" s="1"/>
  <c r="CW110" s="1"/>
  <c r="CX110" s="1"/>
  <c r="CT105"/>
  <c r="CR105"/>
  <c r="CR109"/>
  <c r="CR169"/>
  <c r="CU124"/>
  <c r="CR124" s="1"/>
  <c r="CR174"/>
  <c r="CP24"/>
  <c r="BE16"/>
  <c r="CR16" s="1"/>
  <c r="CT169"/>
  <c r="CV40"/>
  <c r="CW40" s="1"/>
  <c r="CX40" s="1"/>
  <c r="BE38"/>
  <c r="CR38" s="1"/>
  <c r="CV38" s="1"/>
  <c r="CW38" s="1"/>
  <c r="CX38" s="1"/>
  <c r="CT12"/>
  <c r="CU114"/>
  <c r="CT114" s="1"/>
  <c r="CR168"/>
  <c r="CU79"/>
  <c r="CT79" s="1"/>
  <c r="CU87"/>
  <c r="CR87" s="1"/>
  <c r="CV162"/>
  <c r="CW162" s="1"/>
  <c r="CX162" s="1"/>
  <c r="CT174"/>
  <c r="CV174" s="1"/>
  <c r="CW174" s="1"/>
  <c r="CX174" s="1"/>
  <c r="CT21"/>
  <c r="CU112"/>
  <c r="CT112" s="1"/>
  <c r="CU104"/>
  <c r="CT104" s="1"/>
  <c r="CU143"/>
  <c r="CT143" s="1"/>
  <c r="CU151"/>
  <c r="CR151" s="1"/>
  <c r="BE13"/>
  <c r="CR13" s="1"/>
  <c r="CV13" s="1"/>
  <c r="CW13" s="1"/>
  <c r="CX13" s="1"/>
  <c r="CR30"/>
  <c r="CU100"/>
  <c r="CT100" s="1"/>
  <c r="CU147"/>
  <c r="CT147" s="1"/>
  <c r="CU163"/>
  <c r="CR163" s="1"/>
  <c r="CU103"/>
  <c r="CR103" s="1"/>
  <c r="BE114"/>
  <c r="CP37"/>
  <c r="CU116"/>
  <c r="CT116" s="1"/>
  <c r="CV166"/>
  <c r="CW166" s="1"/>
  <c r="CX166" s="1"/>
  <c r="CV8"/>
  <c r="CW8" s="1"/>
  <c r="CX8" s="1"/>
  <c r="CV54"/>
  <c r="CW54" s="1"/>
  <c r="CX54" s="1"/>
  <c r="CU159"/>
  <c r="CT159" s="1"/>
  <c r="BE28"/>
  <c r="CR28" s="1"/>
  <c r="CV28" s="1"/>
  <c r="CW28" s="1"/>
  <c r="CX28" s="1"/>
  <c r="CV26"/>
  <c r="CW26" s="1"/>
  <c r="CX26" s="1"/>
  <c r="CP31"/>
  <c r="CT31" s="1"/>
  <c r="BE160"/>
  <c r="CR160" s="1"/>
  <c r="BE17"/>
  <c r="CR17" s="1"/>
  <c r="CV36"/>
  <c r="CW36" s="1"/>
  <c r="CX36" s="1"/>
  <c r="CR7"/>
  <c r="CT7"/>
  <c r="CT19"/>
  <c r="CR19"/>
  <c r="CR58"/>
  <c r="CV58" s="1"/>
  <c r="CW58" s="1"/>
  <c r="CX58" s="1"/>
  <c r="CV42"/>
  <c r="CW42" s="1"/>
  <c r="CX42" s="1"/>
  <c r="CV34"/>
  <c r="CW34" s="1"/>
  <c r="CX34" s="1"/>
  <c r="CV72"/>
  <c r="CW72" s="1"/>
  <c r="CX72" s="1"/>
  <c r="BE98"/>
  <c r="CV142"/>
  <c r="CW142" s="1"/>
  <c r="CX142" s="1"/>
  <c r="CP20"/>
  <c r="CT30"/>
  <c r="CP160"/>
  <c r="CT160" s="1"/>
  <c r="CV9"/>
  <c r="CW9" s="1"/>
  <c r="CX9" s="1"/>
  <c r="CT17"/>
  <c r="CV76"/>
  <c r="CW76" s="1"/>
  <c r="CX76" s="1"/>
  <c r="CU120"/>
  <c r="CT120" s="1"/>
  <c r="CT14"/>
  <c r="CR154"/>
  <c r="CT154"/>
  <c r="CR144"/>
  <c r="CT144"/>
  <c r="CT157"/>
  <c r="CR157"/>
  <c r="CU153"/>
  <c r="CU141"/>
  <c r="CU149"/>
  <c r="CT175"/>
  <c r="CR175"/>
  <c r="CR140"/>
  <c r="CT140"/>
  <c r="CT170"/>
  <c r="CR170"/>
  <c r="CU167"/>
  <c r="CU156"/>
  <c r="CR148"/>
  <c r="CT148"/>
  <c r="CT176"/>
  <c r="CR176"/>
  <c r="CU161"/>
  <c r="CU145"/>
  <c r="CR139"/>
  <c r="CT139"/>
  <c r="CT155"/>
  <c r="CR155"/>
  <c r="CR158"/>
  <c r="CT158"/>
  <c r="CU165"/>
  <c r="CU171"/>
  <c r="CR129"/>
  <c r="CT129"/>
  <c r="CR95"/>
  <c r="CT95"/>
  <c r="CR118"/>
  <c r="CT118"/>
  <c r="CT107"/>
  <c r="CR107"/>
  <c r="CR100"/>
  <c r="CR125"/>
  <c r="CT125"/>
  <c r="CR97"/>
  <c r="CT97"/>
  <c r="CR121"/>
  <c r="CT121"/>
  <c r="CR117"/>
  <c r="CT117"/>
  <c r="CT123"/>
  <c r="CR123"/>
  <c r="CU111"/>
  <c r="CU99"/>
  <c r="CU101"/>
  <c r="CR122"/>
  <c r="CT122"/>
  <c r="CR102"/>
  <c r="CT102"/>
  <c r="CR113"/>
  <c r="CT113"/>
  <c r="CR126"/>
  <c r="CT126"/>
  <c r="CR108"/>
  <c r="CT108"/>
  <c r="CT130"/>
  <c r="CR130"/>
  <c r="CR127"/>
  <c r="CT127"/>
  <c r="CU98"/>
  <c r="CU115"/>
  <c r="CU96"/>
  <c r="CU131"/>
  <c r="CR65"/>
  <c r="CT65"/>
  <c r="CT85"/>
  <c r="CR85"/>
  <c r="CT68"/>
  <c r="CR68"/>
  <c r="CT67"/>
  <c r="CR67"/>
  <c r="CR74"/>
  <c r="CT74"/>
  <c r="CR66"/>
  <c r="CT66"/>
  <c r="CU57"/>
  <c r="CU53"/>
  <c r="CU75"/>
  <c r="CU83"/>
  <c r="CR62"/>
  <c r="CT62"/>
  <c r="CT64"/>
  <c r="CR64"/>
  <c r="CR70"/>
  <c r="CT70"/>
  <c r="CR56"/>
  <c r="CT56"/>
  <c r="CU73"/>
  <c r="CT82"/>
  <c r="CR82"/>
  <c r="CT87"/>
  <c r="CR52"/>
  <c r="CT52"/>
  <c r="CT63"/>
  <c r="CR63"/>
  <c r="CT86"/>
  <c r="CR86"/>
  <c r="CR60"/>
  <c r="CT60"/>
  <c r="CU59"/>
  <c r="CU61"/>
  <c r="CU71"/>
  <c r="CR50"/>
  <c r="CT50"/>
  <c r="CT69"/>
  <c r="CR69"/>
  <c r="CT78"/>
  <c r="CR78"/>
  <c r="CU77"/>
  <c r="CR29"/>
  <c r="CT29"/>
  <c r="CR37"/>
  <c r="CT37"/>
  <c r="CR41"/>
  <c r="CT41"/>
  <c r="CR27"/>
  <c r="CT27"/>
  <c r="CR39"/>
  <c r="CT39"/>
  <c r="CR22"/>
  <c r="CT22"/>
  <c r="CR24"/>
  <c r="CT24"/>
  <c r="CR20"/>
  <c r="CT20"/>
  <c r="CR33"/>
  <c r="CT33"/>
  <c r="CR35"/>
  <c r="CT35"/>
  <c r="CR31"/>
  <c r="CR18"/>
  <c r="CT18"/>
  <c r="DJ17" i="11"/>
  <c r="DH17"/>
  <c r="DL17"/>
  <c r="DM17" s="1"/>
  <c r="DN17" s="1"/>
  <c r="DL6"/>
  <c r="DM6" s="1"/>
  <c r="DN6" s="1"/>
  <c r="DH6"/>
  <c r="DJ6"/>
  <c r="DL35"/>
  <c r="DM35" s="1"/>
  <c r="DN35" s="1"/>
  <c r="DH35"/>
  <c r="DJ35"/>
  <c r="DH43"/>
  <c r="DJ43"/>
  <c r="DL43" s="1"/>
  <c r="DM43" s="1"/>
  <c r="DN43" s="1"/>
  <c r="DH46"/>
  <c r="DJ46"/>
  <c r="DL46" s="1"/>
  <c r="DM46" s="1"/>
  <c r="DN46" s="1"/>
  <c r="DJ25"/>
  <c r="DL25" s="1"/>
  <c r="DM25" s="1"/>
  <c r="DH25"/>
  <c r="DJ19"/>
  <c r="DH19"/>
  <c r="DL19"/>
  <c r="DM19" s="1"/>
  <c r="DN19" s="1"/>
  <c r="DH27"/>
  <c r="DJ27"/>
  <c r="DL27" s="1"/>
  <c r="DM27" s="1"/>
  <c r="DN27" s="1"/>
  <c r="DJ22"/>
  <c r="DL22"/>
  <c r="DM22" s="1"/>
  <c r="DN22" s="1"/>
  <c r="DH22"/>
  <c r="DL37"/>
  <c r="DM37" s="1"/>
  <c r="DN37" s="1"/>
  <c r="DH37"/>
  <c r="DJ37"/>
  <c r="DH45"/>
  <c r="DL45" s="1"/>
  <c r="DM45" s="1"/>
  <c r="DN45" s="1"/>
  <c r="DJ45"/>
  <c r="DH44"/>
  <c r="DJ44"/>
  <c r="DL44" s="1"/>
  <c r="DM44" s="1"/>
  <c r="DN44" s="1"/>
  <c r="DL31"/>
  <c r="DM31" s="1"/>
  <c r="DN31" s="1"/>
  <c r="DH31"/>
  <c r="DJ31"/>
  <c r="DJ28"/>
  <c r="DL28" s="1"/>
  <c r="DM28" s="1"/>
  <c r="DN28" s="1"/>
  <c r="DH28"/>
  <c r="DL34"/>
  <c r="DM34" s="1"/>
  <c r="DN34" s="1"/>
  <c r="DH34"/>
  <c r="DJ34"/>
  <c r="DH42"/>
  <c r="DJ42"/>
  <c r="DL42" s="1"/>
  <c r="DM42" s="1"/>
  <c r="DN42" s="1"/>
  <c r="DK11"/>
  <c r="DK9"/>
  <c r="DK15"/>
  <c r="DK8"/>
  <c r="DK13"/>
  <c r="DJ21"/>
  <c r="DH21"/>
  <c r="DL21" s="1"/>
  <c r="DM21" s="1"/>
  <c r="DH7"/>
  <c r="DL7"/>
  <c r="DM7" s="1"/>
  <c r="DN7" s="1"/>
  <c r="DJ7"/>
  <c r="DJ23"/>
  <c r="DL23"/>
  <c r="DM23" s="1"/>
  <c r="DN23" s="1"/>
  <c r="DH23"/>
  <c r="DL30"/>
  <c r="DM30" s="1"/>
  <c r="DN30" s="1"/>
  <c r="DH30"/>
  <c r="DJ30"/>
  <c r="DJ26"/>
  <c r="DL26"/>
  <c r="DM26" s="1"/>
  <c r="DN26" s="1"/>
  <c r="DH26"/>
  <c r="DL39"/>
  <c r="DM39" s="1"/>
  <c r="DN39" s="1"/>
  <c r="DH39"/>
  <c r="DJ39"/>
  <c r="DL40"/>
  <c r="DM40" s="1"/>
  <c r="DN40" s="1"/>
  <c r="DH40"/>
  <c r="DJ40"/>
  <c r="DJ24"/>
  <c r="DL24" s="1"/>
  <c r="DM24" s="1"/>
  <c r="DH24"/>
  <c r="DH14"/>
  <c r="DJ14"/>
  <c r="DL14" s="1"/>
  <c r="DM14" s="1"/>
  <c r="DN14" s="1"/>
  <c r="DH33"/>
  <c r="DJ33"/>
  <c r="DL33" s="1"/>
  <c r="DM33" s="1"/>
  <c r="DN33" s="1"/>
  <c r="DL41"/>
  <c r="DM41" s="1"/>
  <c r="DN41" s="1"/>
  <c r="DH41"/>
  <c r="DJ41"/>
  <c r="DH38"/>
  <c r="DL38" s="1"/>
  <c r="DM38" s="1"/>
  <c r="DN38" s="1"/>
  <c r="DJ38"/>
  <c r="DL10"/>
  <c r="DM10" s="1"/>
  <c r="DN10" s="1"/>
  <c r="DH10"/>
  <c r="DJ10"/>
  <c r="DL12"/>
  <c r="DM12" s="1"/>
  <c r="DN12" s="1"/>
  <c r="DH12"/>
  <c r="DJ12"/>
  <c r="DH29"/>
  <c r="DJ29"/>
  <c r="DL29" s="1"/>
  <c r="DM29" s="1"/>
  <c r="DL36"/>
  <c r="DM36" s="1"/>
  <c r="DN36" s="1"/>
  <c r="DH36"/>
  <c r="DJ36"/>
  <c r="DK32"/>
  <c r="G318" i="12"/>
  <c r="D318"/>
  <c r="L317"/>
  <c r="K317"/>
  <c r="J317"/>
  <c r="I317"/>
  <c r="L316"/>
  <c r="K316"/>
  <c r="J316"/>
  <c r="I316"/>
  <c r="J315"/>
  <c r="I315"/>
  <c r="L314"/>
  <c r="K314"/>
  <c r="J314"/>
  <c r="I314"/>
  <c r="J313"/>
  <c r="I313"/>
  <c r="J312"/>
  <c r="I312"/>
  <c r="O311"/>
  <c r="N311"/>
  <c r="L311"/>
  <c r="K311"/>
  <c r="J311"/>
  <c r="I311"/>
  <c r="L310"/>
  <c r="K310"/>
  <c r="J310"/>
  <c r="I310"/>
  <c r="J309"/>
  <c r="I309"/>
  <c r="L308"/>
  <c r="K308"/>
  <c r="J308"/>
  <c r="I308"/>
  <c r="J307"/>
  <c r="I307"/>
  <c r="J306"/>
  <c r="I306"/>
  <c r="L305"/>
  <c r="K305"/>
  <c r="J305"/>
  <c r="I305"/>
  <c r="J304"/>
  <c r="I304"/>
  <c r="J303"/>
  <c r="I303"/>
  <c r="O302"/>
  <c r="N302"/>
  <c r="L302"/>
  <c r="K302"/>
  <c r="J302"/>
  <c r="I302"/>
  <c r="C296"/>
  <c r="N295"/>
  <c r="J295"/>
  <c r="E295"/>
  <c r="C295"/>
  <c r="O319"/>
  <c r="O317"/>
  <c r="N317"/>
  <c r="M317"/>
  <c r="O316"/>
  <c r="N316"/>
  <c r="O315"/>
  <c r="N315"/>
  <c r="O314"/>
  <c r="N314"/>
  <c r="O313"/>
  <c r="N313"/>
  <c r="O312"/>
  <c r="N312"/>
  <c r="O310"/>
  <c r="N310"/>
  <c r="M310"/>
  <c r="O309"/>
  <c r="N309"/>
  <c r="M309"/>
  <c r="L309"/>
  <c r="K309"/>
  <c r="O308"/>
  <c r="N308"/>
  <c r="M308"/>
  <c r="O307"/>
  <c r="N307"/>
  <c r="M307"/>
  <c r="L307"/>
  <c r="K307"/>
  <c r="O306"/>
  <c r="N306"/>
  <c r="M306"/>
  <c r="L306"/>
  <c r="K306"/>
  <c r="O305"/>
  <c r="N305"/>
  <c r="M305"/>
  <c r="O304"/>
  <c r="N304"/>
  <c r="M304"/>
  <c r="L304"/>
  <c r="K304"/>
  <c r="O303"/>
  <c r="N303"/>
  <c r="M303"/>
  <c r="L303"/>
  <c r="K303"/>
  <c r="M302"/>
  <c r="F295"/>
  <c r="D287"/>
  <c r="I262" s="1"/>
  <c r="L286"/>
  <c r="G286"/>
  <c r="D286"/>
  <c r="L285"/>
  <c r="K285"/>
  <c r="J285"/>
  <c r="I285"/>
  <c r="L284"/>
  <c r="K284"/>
  <c r="J284"/>
  <c r="I284"/>
  <c r="J283"/>
  <c r="I283"/>
  <c r="L282"/>
  <c r="K282"/>
  <c r="J282"/>
  <c r="I282"/>
  <c r="J281"/>
  <c r="I281"/>
  <c r="J280"/>
  <c r="I280"/>
  <c r="O279"/>
  <c r="N279"/>
  <c r="L279"/>
  <c r="K279"/>
  <c r="J279"/>
  <c r="I279"/>
  <c r="L278"/>
  <c r="K278"/>
  <c r="J278"/>
  <c r="I278"/>
  <c r="J277"/>
  <c r="I277"/>
  <c r="L276"/>
  <c r="K276"/>
  <c r="J276"/>
  <c r="I276"/>
  <c r="J275"/>
  <c r="I275"/>
  <c r="J274"/>
  <c r="I274"/>
  <c r="L273"/>
  <c r="K273"/>
  <c r="J273"/>
  <c r="I273"/>
  <c r="J272"/>
  <c r="I272"/>
  <c r="J271"/>
  <c r="I271"/>
  <c r="O270"/>
  <c r="N270"/>
  <c r="L270"/>
  <c r="K270"/>
  <c r="J270"/>
  <c r="I270"/>
  <c r="C264"/>
  <c r="N263"/>
  <c r="J263"/>
  <c r="E263"/>
  <c r="C263"/>
  <c r="O287"/>
  <c r="O285"/>
  <c r="N285"/>
  <c r="M285"/>
  <c r="O284"/>
  <c r="N284"/>
  <c r="O283"/>
  <c r="N283"/>
  <c r="O282"/>
  <c r="N282"/>
  <c r="O281"/>
  <c r="N281"/>
  <c r="O280"/>
  <c r="N280"/>
  <c r="O278"/>
  <c r="N278"/>
  <c r="M278"/>
  <c r="O277"/>
  <c r="N277"/>
  <c r="M277"/>
  <c r="L277"/>
  <c r="K277"/>
  <c r="O276"/>
  <c r="N276"/>
  <c r="M276"/>
  <c r="O275"/>
  <c r="N275"/>
  <c r="M275"/>
  <c r="L275"/>
  <c r="K275"/>
  <c r="O274"/>
  <c r="N274"/>
  <c r="M274"/>
  <c r="L274"/>
  <c r="K274"/>
  <c r="O273"/>
  <c r="N273"/>
  <c r="M273"/>
  <c r="O272"/>
  <c r="N272"/>
  <c r="M272"/>
  <c r="L272"/>
  <c r="K272"/>
  <c r="O271"/>
  <c r="N271"/>
  <c r="M271"/>
  <c r="L271"/>
  <c r="K271"/>
  <c r="M270"/>
  <c r="F263"/>
  <c r="D255"/>
  <c r="I230" s="1"/>
  <c r="L254"/>
  <c r="G254"/>
  <c r="D254"/>
  <c r="L253"/>
  <c r="K253"/>
  <c r="J253"/>
  <c r="I253"/>
  <c r="L252"/>
  <c r="K252"/>
  <c r="J252"/>
  <c r="I252"/>
  <c r="J251"/>
  <c r="I251"/>
  <c r="L250"/>
  <c r="K250"/>
  <c r="J250"/>
  <c r="I250"/>
  <c r="J249"/>
  <c r="I249"/>
  <c r="J248"/>
  <c r="I248"/>
  <c r="O247"/>
  <c r="N247"/>
  <c r="L247"/>
  <c r="K247"/>
  <c r="J247"/>
  <c r="I247"/>
  <c r="L246"/>
  <c r="K246"/>
  <c r="J246"/>
  <c r="I246"/>
  <c r="J245"/>
  <c r="I245"/>
  <c r="L244"/>
  <c r="K244"/>
  <c r="J244"/>
  <c r="I244"/>
  <c r="J243"/>
  <c r="I243"/>
  <c r="J242"/>
  <c r="I242"/>
  <c r="L241"/>
  <c r="K241"/>
  <c r="J241"/>
  <c r="I241"/>
  <c r="J240"/>
  <c r="I240"/>
  <c r="J239"/>
  <c r="I239"/>
  <c r="O238"/>
  <c r="N238"/>
  <c r="L238"/>
  <c r="K238"/>
  <c r="J238"/>
  <c r="I238"/>
  <c r="C232"/>
  <c r="N231"/>
  <c r="J231"/>
  <c r="E231"/>
  <c r="C231"/>
  <c r="O255"/>
  <c r="O253"/>
  <c r="N253"/>
  <c r="M253"/>
  <c r="O252"/>
  <c r="N252"/>
  <c r="O251"/>
  <c r="N251"/>
  <c r="O250"/>
  <c r="N250"/>
  <c r="O249"/>
  <c r="N249"/>
  <c r="O248"/>
  <c r="N248"/>
  <c r="O246"/>
  <c r="N246"/>
  <c r="M246"/>
  <c r="O245"/>
  <c r="N245"/>
  <c r="M245"/>
  <c r="L245"/>
  <c r="K245"/>
  <c r="O244"/>
  <c r="N244"/>
  <c r="M244"/>
  <c r="O243"/>
  <c r="N243"/>
  <c r="M243"/>
  <c r="L243"/>
  <c r="K243"/>
  <c r="O242"/>
  <c r="N242"/>
  <c r="M242"/>
  <c r="L242"/>
  <c r="K242"/>
  <c r="O241"/>
  <c r="N241"/>
  <c r="M241"/>
  <c r="O240"/>
  <c r="N240"/>
  <c r="M240"/>
  <c r="L240"/>
  <c r="K240"/>
  <c r="O239"/>
  <c r="N239"/>
  <c r="M239"/>
  <c r="L239"/>
  <c r="K239"/>
  <c r="M238"/>
  <c r="F231"/>
  <c r="D223"/>
  <c r="I198" s="1"/>
  <c r="L222"/>
  <c r="G222"/>
  <c r="D222"/>
  <c r="L221"/>
  <c r="K221"/>
  <c r="J221"/>
  <c r="I221"/>
  <c r="L220"/>
  <c r="K220"/>
  <c r="J220"/>
  <c r="I220"/>
  <c r="J219"/>
  <c r="I219"/>
  <c r="L218"/>
  <c r="K218"/>
  <c r="J218"/>
  <c r="I218"/>
  <c r="J217"/>
  <c r="I217"/>
  <c r="J216"/>
  <c r="I216"/>
  <c r="O215"/>
  <c r="N215"/>
  <c r="L215"/>
  <c r="K215"/>
  <c r="J215"/>
  <c r="I215"/>
  <c r="L214"/>
  <c r="K214"/>
  <c r="J214"/>
  <c r="I214"/>
  <c r="J213"/>
  <c r="I213"/>
  <c r="L212"/>
  <c r="K212"/>
  <c r="J212"/>
  <c r="I212"/>
  <c r="J211"/>
  <c r="I211"/>
  <c r="J210"/>
  <c r="I210"/>
  <c r="L209"/>
  <c r="K209"/>
  <c r="J209"/>
  <c r="I209"/>
  <c r="J208"/>
  <c r="I208"/>
  <c r="J207"/>
  <c r="I207"/>
  <c r="O206"/>
  <c r="N206"/>
  <c r="L206"/>
  <c r="K206"/>
  <c r="J206"/>
  <c r="I206"/>
  <c r="C200"/>
  <c r="N199"/>
  <c r="J199"/>
  <c r="E199"/>
  <c r="C199"/>
  <c r="O223"/>
  <c r="O221"/>
  <c r="N221"/>
  <c r="M221"/>
  <c r="O220"/>
  <c r="N220"/>
  <c r="O219"/>
  <c r="N219"/>
  <c r="O218"/>
  <c r="N218"/>
  <c r="O217"/>
  <c r="N217"/>
  <c r="O216"/>
  <c r="N216"/>
  <c r="O214"/>
  <c r="N214"/>
  <c r="M214"/>
  <c r="O213"/>
  <c r="N213"/>
  <c r="M213"/>
  <c r="L213"/>
  <c r="K213"/>
  <c r="O212"/>
  <c r="N212"/>
  <c r="M212"/>
  <c r="O211"/>
  <c r="N211"/>
  <c r="M211"/>
  <c r="L211"/>
  <c r="K211"/>
  <c r="O210"/>
  <c r="N210"/>
  <c r="M210"/>
  <c r="L210"/>
  <c r="K210"/>
  <c r="O209"/>
  <c r="N209"/>
  <c r="M209"/>
  <c r="O208"/>
  <c r="N208"/>
  <c r="M208"/>
  <c r="L208"/>
  <c r="K208"/>
  <c r="O207"/>
  <c r="N207"/>
  <c r="M207"/>
  <c r="L207"/>
  <c r="K207"/>
  <c r="M206"/>
  <c r="F199"/>
  <c r="D191"/>
  <c r="I166" s="1"/>
  <c r="L190"/>
  <c r="G190"/>
  <c r="D190"/>
  <c r="L189"/>
  <c r="K189"/>
  <c r="J189"/>
  <c r="I189"/>
  <c r="L188"/>
  <c r="K188"/>
  <c r="J188"/>
  <c r="I188"/>
  <c r="J187"/>
  <c r="I187"/>
  <c r="L186"/>
  <c r="K186"/>
  <c r="J186"/>
  <c r="I186"/>
  <c r="J185"/>
  <c r="I185"/>
  <c r="J184"/>
  <c r="I184"/>
  <c r="O183"/>
  <c r="N183"/>
  <c r="L183"/>
  <c r="K183"/>
  <c r="J183"/>
  <c r="I183"/>
  <c r="L182"/>
  <c r="K182"/>
  <c r="J182"/>
  <c r="I182"/>
  <c r="J181"/>
  <c r="I181"/>
  <c r="L180"/>
  <c r="K180"/>
  <c r="J180"/>
  <c r="I180"/>
  <c r="J179"/>
  <c r="I179"/>
  <c r="J178"/>
  <c r="I178"/>
  <c r="L177"/>
  <c r="K177"/>
  <c r="J177"/>
  <c r="I177"/>
  <c r="J176"/>
  <c r="I176"/>
  <c r="J175"/>
  <c r="I175"/>
  <c r="O174"/>
  <c r="N174"/>
  <c r="L174"/>
  <c r="K174"/>
  <c r="J174"/>
  <c r="I174"/>
  <c r="C168"/>
  <c r="N167"/>
  <c r="J167"/>
  <c r="E167"/>
  <c r="C167"/>
  <c r="O191"/>
  <c r="O189"/>
  <c r="N189"/>
  <c r="M189"/>
  <c r="O188"/>
  <c r="N188"/>
  <c r="O187"/>
  <c r="N187"/>
  <c r="O186"/>
  <c r="N186"/>
  <c r="O185"/>
  <c r="N185"/>
  <c r="O184"/>
  <c r="N184"/>
  <c r="O182"/>
  <c r="N182"/>
  <c r="M182"/>
  <c r="O181"/>
  <c r="N181"/>
  <c r="M181"/>
  <c r="L181"/>
  <c r="O180"/>
  <c r="N180"/>
  <c r="M180"/>
  <c r="O179"/>
  <c r="N179"/>
  <c r="M179"/>
  <c r="L179"/>
  <c r="O178"/>
  <c r="N178"/>
  <c r="M178"/>
  <c r="L178"/>
  <c r="O177"/>
  <c r="N177"/>
  <c r="M177"/>
  <c r="O176"/>
  <c r="N176"/>
  <c r="M176"/>
  <c r="L176"/>
  <c r="O175"/>
  <c r="N175"/>
  <c r="M175"/>
  <c r="L175"/>
  <c r="M174"/>
  <c r="F167"/>
  <c r="D159"/>
  <c r="I134" s="1"/>
  <c r="L158"/>
  <c r="G158"/>
  <c r="D158"/>
  <c r="L157"/>
  <c r="K157"/>
  <c r="J157"/>
  <c r="I157"/>
  <c r="L156"/>
  <c r="K156"/>
  <c r="J156"/>
  <c r="I156"/>
  <c r="J155"/>
  <c r="I155"/>
  <c r="L154"/>
  <c r="K154"/>
  <c r="J154"/>
  <c r="I154"/>
  <c r="J153"/>
  <c r="I153"/>
  <c r="J152"/>
  <c r="I152"/>
  <c r="O151"/>
  <c r="N151"/>
  <c r="L151"/>
  <c r="K151"/>
  <c r="J151"/>
  <c r="I151"/>
  <c r="L150"/>
  <c r="K150"/>
  <c r="J150"/>
  <c r="I150"/>
  <c r="J149"/>
  <c r="I149"/>
  <c r="L148"/>
  <c r="K148"/>
  <c r="J148"/>
  <c r="I148"/>
  <c r="J147"/>
  <c r="I147"/>
  <c r="J146"/>
  <c r="I146"/>
  <c r="L145"/>
  <c r="K145"/>
  <c r="J145"/>
  <c r="I145"/>
  <c r="J144"/>
  <c r="I144"/>
  <c r="J143"/>
  <c r="I143"/>
  <c r="O142"/>
  <c r="N142"/>
  <c r="L142"/>
  <c r="K142"/>
  <c r="J142"/>
  <c r="I142"/>
  <c r="C136"/>
  <c r="N135"/>
  <c r="J135"/>
  <c r="E135"/>
  <c r="C135"/>
  <c r="O159"/>
  <c r="O157"/>
  <c r="N157"/>
  <c r="M157"/>
  <c r="O156"/>
  <c r="N156"/>
  <c r="O155"/>
  <c r="N155"/>
  <c r="O154"/>
  <c r="N154"/>
  <c r="O153"/>
  <c r="N153"/>
  <c r="O152"/>
  <c r="N152"/>
  <c r="O150"/>
  <c r="N150"/>
  <c r="M150"/>
  <c r="O149"/>
  <c r="N149"/>
  <c r="M149"/>
  <c r="L149"/>
  <c r="O148"/>
  <c r="N148"/>
  <c r="M148"/>
  <c r="O147"/>
  <c r="N147"/>
  <c r="M147"/>
  <c r="L147"/>
  <c r="O146"/>
  <c r="N146"/>
  <c r="M146"/>
  <c r="L146"/>
  <c r="O145"/>
  <c r="N145"/>
  <c r="M145"/>
  <c r="O144"/>
  <c r="N144"/>
  <c r="M144"/>
  <c r="L144"/>
  <c r="O143"/>
  <c r="N143"/>
  <c r="M143"/>
  <c r="L143"/>
  <c r="M142"/>
  <c r="F135"/>
  <c r="D127"/>
  <c r="I102" s="1"/>
  <c r="L126"/>
  <c r="G126"/>
  <c r="D126"/>
  <c r="L125"/>
  <c r="K125"/>
  <c r="J125"/>
  <c r="I125"/>
  <c r="L124"/>
  <c r="K124"/>
  <c r="J124"/>
  <c r="I124"/>
  <c r="J123"/>
  <c r="I123"/>
  <c r="L122"/>
  <c r="K122"/>
  <c r="J122"/>
  <c r="I122"/>
  <c r="J121"/>
  <c r="I121"/>
  <c r="J120"/>
  <c r="I120"/>
  <c r="O119"/>
  <c r="N119"/>
  <c r="L119"/>
  <c r="K119"/>
  <c r="J119"/>
  <c r="I119"/>
  <c r="L118"/>
  <c r="K118"/>
  <c r="J118"/>
  <c r="I118"/>
  <c r="J117"/>
  <c r="I117"/>
  <c r="L116"/>
  <c r="K116"/>
  <c r="J116"/>
  <c r="I116"/>
  <c r="J115"/>
  <c r="I115"/>
  <c r="J114"/>
  <c r="I114"/>
  <c r="L113"/>
  <c r="K113"/>
  <c r="J113"/>
  <c r="I113"/>
  <c r="J112"/>
  <c r="I112"/>
  <c r="J111"/>
  <c r="I111"/>
  <c r="O110"/>
  <c r="N110"/>
  <c r="L110"/>
  <c r="K110"/>
  <c r="J110"/>
  <c r="I110"/>
  <c r="C104"/>
  <c r="N103"/>
  <c r="J103"/>
  <c r="E103"/>
  <c r="C103"/>
  <c r="O127"/>
  <c r="O125"/>
  <c r="N125"/>
  <c r="M125"/>
  <c r="O124"/>
  <c r="N124"/>
  <c r="O123"/>
  <c r="N123"/>
  <c r="O122"/>
  <c r="N122"/>
  <c r="O121"/>
  <c r="N121"/>
  <c r="O120"/>
  <c r="N120"/>
  <c r="O118"/>
  <c r="N118"/>
  <c r="M118"/>
  <c r="O117"/>
  <c r="N117"/>
  <c r="M117"/>
  <c r="L117"/>
  <c r="O116"/>
  <c r="N116"/>
  <c r="M116"/>
  <c r="O115"/>
  <c r="N115"/>
  <c r="M115"/>
  <c r="L115"/>
  <c r="O114"/>
  <c r="N114"/>
  <c r="M114"/>
  <c r="L114"/>
  <c r="O113"/>
  <c r="N113"/>
  <c r="M113"/>
  <c r="O112"/>
  <c r="N112"/>
  <c r="M112"/>
  <c r="L112"/>
  <c r="O111"/>
  <c r="N111"/>
  <c r="M111"/>
  <c r="L111"/>
  <c r="M110"/>
  <c r="F103"/>
  <c r="D95"/>
  <c r="I70" s="1"/>
  <c r="L94"/>
  <c r="G94"/>
  <c r="D94"/>
  <c r="L93"/>
  <c r="K93"/>
  <c r="J93"/>
  <c r="I93"/>
  <c r="L92"/>
  <c r="K92"/>
  <c r="J92"/>
  <c r="I92"/>
  <c r="J91"/>
  <c r="I91"/>
  <c r="L90"/>
  <c r="K90"/>
  <c r="J90"/>
  <c r="I90"/>
  <c r="J89"/>
  <c r="I89"/>
  <c r="J88"/>
  <c r="I88"/>
  <c r="O87"/>
  <c r="N87"/>
  <c r="L87"/>
  <c r="K87"/>
  <c r="J87"/>
  <c r="I87"/>
  <c r="L86"/>
  <c r="K86"/>
  <c r="J86"/>
  <c r="I86"/>
  <c r="J85"/>
  <c r="I85"/>
  <c r="L84"/>
  <c r="K84"/>
  <c r="J84"/>
  <c r="I84"/>
  <c r="J83"/>
  <c r="I83"/>
  <c r="J82"/>
  <c r="I82"/>
  <c r="L81"/>
  <c r="K81"/>
  <c r="J81"/>
  <c r="I81"/>
  <c r="J80"/>
  <c r="I80"/>
  <c r="J79"/>
  <c r="I79"/>
  <c r="O78"/>
  <c r="N78"/>
  <c r="L78"/>
  <c r="K78"/>
  <c r="J78"/>
  <c r="I78"/>
  <c r="C72"/>
  <c r="N71"/>
  <c r="J71"/>
  <c r="E71"/>
  <c r="C71"/>
  <c r="O95"/>
  <c r="O93"/>
  <c r="N93"/>
  <c r="M93"/>
  <c r="O92"/>
  <c r="N92"/>
  <c r="O91"/>
  <c r="N91"/>
  <c r="O90"/>
  <c r="N90"/>
  <c r="O89"/>
  <c r="N89"/>
  <c r="O88"/>
  <c r="N88"/>
  <c r="O86"/>
  <c r="N86"/>
  <c r="M86"/>
  <c r="O85"/>
  <c r="N85"/>
  <c r="M85"/>
  <c r="L85"/>
  <c r="O84"/>
  <c r="N84"/>
  <c r="M84"/>
  <c r="O83"/>
  <c r="N83"/>
  <c r="M83"/>
  <c r="L83"/>
  <c r="O82"/>
  <c r="N82"/>
  <c r="M82"/>
  <c r="L82"/>
  <c r="O81"/>
  <c r="N81"/>
  <c r="M81"/>
  <c r="O80"/>
  <c r="N80"/>
  <c r="M80"/>
  <c r="L80"/>
  <c r="O79"/>
  <c r="N79"/>
  <c r="M79"/>
  <c r="L79"/>
  <c r="M78"/>
  <c r="F71"/>
  <c r="D63"/>
  <c r="I38" s="1"/>
  <c r="L62"/>
  <c r="G62"/>
  <c r="D62"/>
  <c r="L61"/>
  <c r="K61"/>
  <c r="J61"/>
  <c r="I61"/>
  <c r="L60"/>
  <c r="K60"/>
  <c r="J60"/>
  <c r="I60"/>
  <c r="J59"/>
  <c r="I59"/>
  <c r="L58"/>
  <c r="K58"/>
  <c r="J58"/>
  <c r="I58"/>
  <c r="J57"/>
  <c r="I57"/>
  <c r="J56"/>
  <c r="I56"/>
  <c r="O55"/>
  <c r="N55"/>
  <c r="L55"/>
  <c r="K55"/>
  <c r="J55"/>
  <c r="I55"/>
  <c r="L54"/>
  <c r="K54"/>
  <c r="J54"/>
  <c r="I54"/>
  <c r="J53"/>
  <c r="I53"/>
  <c r="L52"/>
  <c r="K52"/>
  <c r="J52"/>
  <c r="I52"/>
  <c r="J51"/>
  <c r="I51"/>
  <c r="J50"/>
  <c r="I50"/>
  <c r="L49"/>
  <c r="K49"/>
  <c r="J49"/>
  <c r="I49"/>
  <c r="J48"/>
  <c r="I48"/>
  <c r="J47"/>
  <c r="I47"/>
  <c r="O46"/>
  <c r="N46"/>
  <c r="L46"/>
  <c r="K46"/>
  <c r="J46"/>
  <c r="I46"/>
  <c r="C40"/>
  <c r="N39"/>
  <c r="J39"/>
  <c r="E39"/>
  <c r="C39"/>
  <c r="O63"/>
  <c r="O61"/>
  <c r="N61"/>
  <c r="M61"/>
  <c r="O60"/>
  <c r="N60"/>
  <c r="O59"/>
  <c r="N59"/>
  <c r="O58"/>
  <c r="N58"/>
  <c r="O57"/>
  <c r="N57"/>
  <c r="O56"/>
  <c r="N56"/>
  <c r="O54"/>
  <c r="N54"/>
  <c r="M54"/>
  <c r="O53"/>
  <c r="N53"/>
  <c r="M53"/>
  <c r="L53"/>
  <c r="O52"/>
  <c r="N52"/>
  <c r="M52"/>
  <c r="O51"/>
  <c r="N51"/>
  <c r="M51"/>
  <c r="L51"/>
  <c r="O50"/>
  <c r="N50"/>
  <c r="M50"/>
  <c r="L50"/>
  <c r="O49"/>
  <c r="N49"/>
  <c r="M49"/>
  <c r="O48"/>
  <c r="N48"/>
  <c r="M48"/>
  <c r="L48"/>
  <c r="O47"/>
  <c r="N47"/>
  <c r="M47"/>
  <c r="L47"/>
  <c r="M46"/>
  <c r="F39"/>
  <c r="I29"/>
  <c r="C8"/>
  <c r="N7"/>
  <c r="J7"/>
  <c r="E7"/>
  <c r="C7"/>
  <c r="O31"/>
  <c r="O29"/>
  <c r="N29"/>
  <c r="M29"/>
  <c r="O28"/>
  <c r="N28"/>
  <c r="O27"/>
  <c r="N27"/>
  <c r="O26"/>
  <c r="N26"/>
  <c r="O25"/>
  <c r="N25"/>
  <c r="O24"/>
  <c r="N24"/>
  <c r="O22"/>
  <c r="N22"/>
  <c r="M22"/>
  <c r="O21"/>
  <c r="N21"/>
  <c r="M21"/>
  <c r="L21"/>
  <c r="O20"/>
  <c r="N20"/>
  <c r="M20"/>
  <c r="O19"/>
  <c r="N19"/>
  <c r="M19"/>
  <c r="L19"/>
  <c r="O18"/>
  <c r="N18"/>
  <c r="M18"/>
  <c r="L18"/>
  <c r="O17"/>
  <c r="N17"/>
  <c r="M17"/>
  <c r="O16"/>
  <c r="N16"/>
  <c r="M16"/>
  <c r="L16"/>
  <c r="O15"/>
  <c r="N15"/>
  <c r="M15"/>
  <c r="L15"/>
  <c r="M14"/>
  <c r="F7"/>
  <c r="DA190" i="11"/>
  <c r="DC190" s="1"/>
  <c r="CU190"/>
  <c r="CN190"/>
  <c r="CI190"/>
  <c r="CJ190" s="1"/>
  <c r="CB190"/>
  <c r="BW190"/>
  <c r="BX190" s="1"/>
  <c r="BR190"/>
  <c r="BS190" s="1"/>
  <c r="BI190"/>
  <c r="BK190" s="1"/>
  <c r="BB190"/>
  <c r="AX190"/>
  <c r="AY190" s="1"/>
  <c r="AQ190"/>
  <c r="AR190" s="1"/>
  <c r="AL190"/>
  <c r="AM190" s="1"/>
  <c r="AG190"/>
  <c r="AA190"/>
  <c r="AB190" s="1"/>
  <c r="V190"/>
  <c r="W190" s="1"/>
  <c r="Q190"/>
  <c r="DA189"/>
  <c r="DC189" s="1"/>
  <c r="CU189"/>
  <c r="CN189"/>
  <c r="CI189"/>
  <c r="CJ189" s="1"/>
  <c r="CB189"/>
  <c r="BW189"/>
  <c r="BX189" s="1"/>
  <c r="BR189"/>
  <c r="BS189" s="1"/>
  <c r="BI189"/>
  <c r="BK189" s="1"/>
  <c r="BB189"/>
  <c r="AX189"/>
  <c r="AY189" s="1"/>
  <c r="AQ189"/>
  <c r="AR189" s="1"/>
  <c r="AL189"/>
  <c r="AM189" s="1"/>
  <c r="AG189"/>
  <c r="AA189"/>
  <c r="AB189" s="1"/>
  <c r="V189"/>
  <c r="W189" s="1"/>
  <c r="Q189"/>
  <c r="DA188"/>
  <c r="DC188" s="1"/>
  <c r="CU188"/>
  <c r="CN188"/>
  <c r="CI188"/>
  <c r="CJ188" s="1"/>
  <c r="CB188"/>
  <c r="BW188"/>
  <c r="BX188" s="1"/>
  <c r="BR188"/>
  <c r="BS188" s="1"/>
  <c r="BI188"/>
  <c r="BK188" s="1"/>
  <c r="BB188"/>
  <c r="AX188"/>
  <c r="AY188" s="1"/>
  <c r="AQ188"/>
  <c r="AR188" s="1"/>
  <c r="AL188"/>
  <c r="AM188" s="1"/>
  <c r="AG188"/>
  <c r="AA188"/>
  <c r="AB188" s="1"/>
  <c r="V188"/>
  <c r="W188" s="1"/>
  <c r="Q188"/>
  <c r="DA187"/>
  <c r="DC187" s="1"/>
  <c r="CU187"/>
  <c r="CN187"/>
  <c r="CI187"/>
  <c r="CJ187" s="1"/>
  <c r="CB187"/>
  <c r="BW187"/>
  <c r="BX187" s="1"/>
  <c r="BR187"/>
  <c r="BS187" s="1"/>
  <c r="BI187"/>
  <c r="BK187" s="1"/>
  <c r="BB187"/>
  <c r="AX187"/>
  <c r="AY187" s="1"/>
  <c r="AQ187"/>
  <c r="AR187" s="1"/>
  <c r="AL187"/>
  <c r="AM187" s="1"/>
  <c r="AG187"/>
  <c r="AA187"/>
  <c r="AB187" s="1"/>
  <c r="V187"/>
  <c r="W187" s="1"/>
  <c r="Q187"/>
  <c r="DA186"/>
  <c r="DC186" s="1"/>
  <c r="CU186"/>
  <c r="CN186"/>
  <c r="CI186"/>
  <c r="CJ186" s="1"/>
  <c r="CB186"/>
  <c r="BW186"/>
  <c r="BX186" s="1"/>
  <c r="BR186"/>
  <c r="BS186" s="1"/>
  <c r="BI186"/>
  <c r="BK186" s="1"/>
  <c r="BB186"/>
  <c r="AX186"/>
  <c r="AY186" s="1"/>
  <c r="AQ186"/>
  <c r="AR186" s="1"/>
  <c r="AL186"/>
  <c r="AM186" s="1"/>
  <c r="AG186"/>
  <c r="AA186"/>
  <c r="AB186" s="1"/>
  <c r="V186"/>
  <c r="W186" s="1"/>
  <c r="Q186"/>
  <c r="DA185"/>
  <c r="DC185" s="1"/>
  <c r="CU185"/>
  <c r="CN185"/>
  <c r="CI185"/>
  <c r="CJ185" s="1"/>
  <c r="CB185"/>
  <c r="BW185"/>
  <c r="BX185" s="1"/>
  <c r="BR185"/>
  <c r="BS185" s="1"/>
  <c r="BI185"/>
  <c r="BK185" s="1"/>
  <c r="BB185"/>
  <c r="AX185"/>
  <c r="AY185" s="1"/>
  <c r="AQ185"/>
  <c r="AR185" s="1"/>
  <c r="AL185"/>
  <c r="AM185" s="1"/>
  <c r="AG185"/>
  <c r="AA185"/>
  <c r="AB185" s="1"/>
  <c r="V185"/>
  <c r="W185" s="1"/>
  <c r="Q185"/>
  <c r="DA184"/>
  <c r="DB184" s="1"/>
  <c r="DD184" s="1"/>
  <c r="CU184"/>
  <c r="CV184" s="1"/>
  <c r="CX184" s="1"/>
  <c r="CN184"/>
  <c r="CO184" s="1"/>
  <c r="CI184"/>
  <c r="CJ184" s="1"/>
  <c r="CB184"/>
  <c r="CC184" s="1"/>
  <c r="BW184"/>
  <c r="BX184" s="1"/>
  <c r="BR184"/>
  <c r="BS184" s="1"/>
  <c r="BI184"/>
  <c r="BJ184" s="1"/>
  <c r="BL184" s="1"/>
  <c r="BB184"/>
  <c r="BC184" s="1"/>
  <c r="AX184"/>
  <c r="AY184" s="1"/>
  <c r="AQ184"/>
  <c r="AR184" s="1"/>
  <c r="AL184"/>
  <c r="AM184" s="1"/>
  <c r="AG184"/>
  <c r="AH184" s="1"/>
  <c r="AA184"/>
  <c r="AB184" s="1"/>
  <c r="V184"/>
  <c r="W184" s="1"/>
  <c r="Q184"/>
  <c r="R184" s="1"/>
  <c r="DA183"/>
  <c r="DB183" s="1"/>
  <c r="DD183" s="1"/>
  <c r="CU183"/>
  <c r="CV183" s="1"/>
  <c r="CX183" s="1"/>
  <c r="CN183"/>
  <c r="CO183" s="1"/>
  <c r="CI183"/>
  <c r="CJ183" s="1"/>
  <c r="CB183"/>
  <c r="CC183" s="1"/>
  <c r="BW183"/>
  <c r="BX183" s="1"/>
  <c r="BR183"/>
  <c r="BS183" s="1"/>
  <c r="BI183"/>
  <c r="BJ183" s="1"/>
  <c r="BL183" s="1"/>
  <c r="BB183"/>
  <c r="BC183" s="1"/>
  <c r="AX183"/>
  <c r="AY183" s="1"/>
  <c r="AQ183"/>
  <c r="AR183" s="1"/>
  <c r="AL183"/>
  <c r="AM183" s="1"/>
  <c r="AG183"/>
  <c r="AH183" s="1"/>
  <c r="AA183"/>
  <c r="AB183" s="1"/>
  <c r="V183"/>
  <c r="W183" s="1"/>
  <c r="Q183"/>
  <c r="R183" s="1"/>
  <c r="DA182"/>
  <c r="DB182" s="1"/>
  <c r="DD182" s="1"/>
  <c r="CU182"/>
  <c r="CV182" s="1"/>
  <c r="CX182" s="1"/>
  <c r="CN182"/>
  <c r="CO182" s="1"/>
  <c r="CI182"/>
  <c r="CJ182" s="1"/>
  <c r="CB182"/>
  <c r="CC182" s="1"/>
  <c r="BW182"/>
  <c r="BX182" s="1"/>
  <c r="BR182"/>
  <c r="BS182" s="1"/>
  <c r="BI182"/>
  <c r="BJ182" s="1"/>
  <c r="BL182" s="1"/>
  <c r="BB182"/>
  <c r="BC182" s="1"/>
  <c r="AX182"/>
  <c r="AY182" s="1"/>
  <c r="AQ182"/>
  <c r="AR182" s="1"/>
  <c r="AL182"/>
  <c r="AM182" s="1"/>
  <c r="AG182"/>
  <c r="AH182" s="1"/>
  <c r="AA182"/>
  <c r="AB182" s="1"/>
  <c r="V182"/>
  <c r="W182" s="1"/>
  <c r="Q182"/>
  <c r="R182" s="1"/>
  <c r="DA181"/>
  <c r="DB181" s="1"/>
  <c r="DD181" s="1"/>
  <c r="CU181"/>
  <c r="CV181" s="1"/>
  <c r="CX181" s="1"/>
  <c r="CN181"/>
  <c r="CO181" s="1"/>
  <c r="CI181"/>
  <c r="CJ181" s="1"/>
  <c r="CB181"/>
  <c r="CC181" s="1"/>
  <c r="BW181"/>
  <c r="BX181" s="1"/>
  <c r="BR181"/>
  <c r="BS181" s="1"/>
  <c r="BI181"/>
  <c r="BJ181" s="1"/>
  <c r="BL181" s="1"/>
  <c r="BB181"/>
  <c r="BC181" s="1"/>
  <c r="AX181"/>
  <c r="AY181" s="1"/>
  <c r="AQ181"/>
  <c r="AR181" s="1"/>
  <c r="AL181"/>
  <c r="AM181" s="1"/>
  <c r="AG181"/>
  <c r="AH181" s="1"/>
  <c r="AA181"/>
  <c r="AB181" s="1"/>
  <c r="V181"/>
  <c r="W181" s="1"/>
  <c r="Q181"/>
  <c r="R181" s="1"/>
  <c r="DA180"/>
  <c r="DC180" s="1"/>
  <c r="CU180"/>
  <c r="CV180" s="1"/>
  <c r="CX180" s="1"/>
  <c r="CN180"/>
  <c r="CI180"/>
  <c r="CJ180" s="1"/>
  <c r="CB180"/>
  <c r="CC180" s="1"/>
  <c r="BW180"/>
  <c r="BX180" s="1"/>
  <c r="BR180"/>
  <c r="BS180" s="1"/>
  <c r="BI180"/>
  <c r="BK180" s="1"/>
  <c r="BB180"/>
  <c r="AX180"/>
  <c r="AY180" s="1"/>
  <c r="AQ180"/>
  <c r="AR180" s="1"/>
  <c r="AL180"/>
  <c r="AM180" s="1"/>
  <c r="AG180"/>
  <c r="AA180"/>
  <c r="AB180" s="1"/>
  <c r="V180"/>
  <c r="W180" s="1"/>
  <c r="Q180"/>
  <c r="R180" s="1"/>
  <c r="DA179"/>
  <c r="DC179" s="1"/>
  <c r="CU179"/>
  <c r="CV179" s="1"/>
  <c r="CX179" s="1"/>
  <c r="CN179"/>
  <c r="CI179"/>
  <c r="CJ179" s="1"/>
  <c r="CB179"/>
  <c r="BW179"/>
  <c r="BX179" s="1"/>
  <c r="BR179"/>
  <c r="BS179" s="1"/>
  <c r="BI179"/>
  <c r="BK179" s="1"/>
  <c r="BB179"/>
  <c r="AX179"/>
  <c r="AY179" s="1"/>
  <c r="AQ179"/>
  <c r="AR179" s="1"/>
  <c r="AL179"/>
  <c r="AM179" s="1"/>
  <c r="AG179"/>
  <c r="AH179" s="1"/>
  <c r="AA179"/>
  <c r="AB179" s="1"/>
  <c r="V179"/>
  <c r="W179" s="1"/>
  <c r="Q179"/>
  <c r="R179" s="1"/>
  <c r="DA178"/>
  <c r="DC178" s="1"/>
  <c r="CU178"/>
  <c r="CN178"/>
  <c r="CI178"/>
  <c r="CJ178" s="1"/>
  <c r="CB178"/>
  <c r="BW178"/>
  <c r="BX178" s="1"/>
  <c r="BR178"/>
  <c r="BS178" s="1"/>
  <c r="BI178"/>
  <c r="BK178" s="1"/>
  <c r="BB178"/>
  <c r="AX178"/>
  <c r="AY178" s="1"/>
  <c r="AQ178"/>
  <c r="AR178" s="1"/>
  <c r="AL178"/>
  <c r="AM178" s="1"/>
  <c r="AG178"/>
  <c r="AA178"/>
  <c r="AB178" s="1"/>
  <c r="V178"/>
  <c r="W178" s="1"/>
  <c r="Q178"/>
  <c r="DA177"/>
  <c r="DC177" s="1"/>
  <c r="CU177"/>
  <c r="CN177"/>
  <c r="CI177"/>
  <c r="CJ177" s="1"/>
  <c r="CB177"/>
  <c r="BW177"/>
  <c r="BX177" s="1"/>
  <c r="BR177"/>
  <c r="BS177" s="1"/>
  <c r="BI177"/>
  <c r="BK177" s="1"/>
  <c r="BB177"/>
  <c r="AX177"/>
  <c r="AY177" s="1"/>
  <c r="AQ177"/>
  <c r="AR177" s="1"/>
  <c r="AL177"/>
  <c r="AM177" s="1"/>
  <c r="AG177"/>
  <c r="AA177"/>
  <c r="AB177" s="1"/>
  <c r="V177"/>
  <c r="W177" s="1"/>
  <c r="Q177"/>
  <c r="DA176"/>
  <c r="DC176" s="1"/>
  <c r="CU176"/>
  <c r="CN176"/>
  <c r="CI176"/>
  <c r="CJ176" s="1"/>
  <c r="CB176"/>
  <c r="BW176"/>
  <c r="BX176" s="1"/>
  <c r="BR176"/>
  <c r="BS176" s="1"/>
  <c r="BI176"/>
  <c r="BK176" s="1"/>
  <c r="BB176"/>
  <c r="AX176"/>
  <c r="AY176" s="1"/>
  <c r="AQ176"/>
  <c r="AR176" s="1"/>
  <c r="AL176"/>
  <c r="AM176" s="1"/>
  <c r="AG176"/>
  <c r="AA176"/>
  <c r="AB176" s="1"/>
  <c r="V176"/>
  <c r="W176" s="1"/>
  <c r="Q176"/>
  <c r="DA175"/>
  <c r="DC175" s="1"/>
  <c r="CU175"/>
  <c r="CN175"/>
  <c r="CI175"/>
  <c r="CJ175" s="1"/>
  <c r="CB175"/>
  <c r="BW175"/>
  <c r="BX175" s="1"/>
  <c r="BR175"/>
  <c r="BS175" s="1"/>
  <c r="BI175"/>
  <c r="BK175" s="1"/>
  <c r="BB175"/>
  <c r="AX175"/>
  <c r="AY175" s="1"/>
  <c r="AQ175"/>
  <c r="AR175" s="1"/>
  <c r="AL175"/>
  <c r="AM175" s="1"/>
  <c r="AG175"/>
  <c r="AA175"/>
  <c r="AB175" s="1"/>
  <c r="V175"/>
  <c r="W175" s="1"/>
  <c r="Q175"/>
  <c r="DA174"/>
  <c r="DC174" s="1"/>
  <c r="CU174"/>
  <c r="CN174"/>
  <c r="CI174"/>
  <c r="CJ174" s="1"/>
  <c r="CB174"/>
  <c r="BW174"/>
  <c r="BX174" s="1"/>
  <c r="BR174"/>
  <c r="BS174" s="1"/>
  <c r="BI174"/>
  <c r="BK174" s="1"/>
  <c r="BB174"/>
  <c r="AX174"/>
  <c r="AY174" s="1"/>
  <c r="AQ174"/>
  <c r="AR174" s="1"/>
  <c r="AL174"/>
  <c r="AM174" s="1"/>
  <c r="AG174"/>
  <c r="AA174"/>
  <c r="AB174" s="1"/>
  <c r="V174"/>
  <c r="W174" s="1"/>
  <c r="Q174"/>
  <c r="DA173"/>
  <c r="DC173" s="1"/>
  <c r="CU173"/>
  <c r="CN173"/>
  <c r="CI173"/>
  <c r="CJ173" s="1"/>
  <c r="CB173"/>
  <c r="BW173"/>
  <c r="BX173" s="1"/>
  <c r="BR173"/>
  <c r="BS173" s="1"/>
  <c r="BI173"/>
  <c r="BK173" s="1"/>
  <c r="BB173"/>
  <c r="AX173"/>
  <c r="AY173" s="1"/>
  <c r="AQ173"/>
  <c r="AR173" s="1"/>
  <c r="AL173"/>
  <c r="AM173" s="1"/>
  <c r="AG173"/>
  <c r="AA173"/>
  <c r="AB173" s="1"/>
  <c r="V173"/>
  <c r="W173" s="1"/>
  <c r="Q173"/>
  <c r="DA172"/>
  <c r="DC172" s="1"/>
  <c r="CU172"/>
  <c r="CN172"/>
  <c r="CI172"/>
  <c r="CJ172" s="1"/>
  <c r="CB172"/>
  <c r="BW172"/>
  <c r="BX172" s="1"/>
  <c r="BR172"/>
  <c r="BS172" s="1"/>
  <c r="BI172"/>
  <c r="BK172" s="1"/>
  <c r="BB172"/>
  <c r="AX172"/>
  <c r="AY172" s="1"/>
  <c r="AQ172"/>
  <c r="AR172" s="1"/>
  <c r="AL172"/>
  <c r="AM172" s="1"/>
  <c r="AG172"/>
  <c r="AA172"/>
  <c r="AB172" s="1"/>
  <c r="V172"/>
  <c r="W172" s="1"/>
  <c r="Q172"/>
  <c r="DA171"/>
  <c r="DC171" s="1"/>
  <c r="CU171"/>
  <c r="CN171"/>
  <c r="CI171"/>
  <c r="CJ171" s="1"/>
  <c r="CB171"/>
  <c r="BW171"/>
  <c r="BX171" s="1"/>
  <c r="BR171"/>
  <c r="BS171" s="1"/>
  <c r="BI171"/>
  <c r="BK171" s="1"/>
  <c r="BB171"/>
  <c r="AX171"/>
  <c r="AY171" s="1"/>
  <c r="AQ171"/>
  <c r="AR171" s="1"/>
  <c r="AL171"/>
  <c r="AM171" s="1"/>
  <c r="AG171"/>
  <c r="AA171"/>
  <c r="AB171" s="1"/>
  <c r="V171"/>
  <c r="W171" s="1"/>
  <c r="Q171"/>
  <c r="DA170"/>
  <c r="DC170" s="1"/>
  <c r="CU170"/>
  <c r="CN170"/>
  <c r="CI170"/>
  <c r="CJ170" s="1"/>
  <c r="CB170"/>
  <c r="BW170"/>
  <c r="BX170" s="1"/>
  <c r="BR170"/>
  <c r="BS170" s="1"/>
  <c r="BI170"/>
  <c r="BK170" s="1"/>
  <c r="BB170"/>
  <c r="AX170"/>
  <c r="AY170" s="1"/>
  <c r="AQ170"/>
  <c r="AR170" s="1"/>
  <c r="AL170"/>
  <c r="AM170" s="1"/>
  <c r="AG170"/>
  <c r="AA170"/>
  <c r="AB170" s="1"/>
  <c r="V170"/>
  <c r="W170" s="1"/>
  <c r="Q170"/>
  <c r="DA169"/>
  <c r="DC169" s="1"/>
  <c r="CU169"/>
  <c r="CN169"/>
  <c r="CI169"/>
  <c r="CJ169" s="1"/>
  <c r="CB169"/>
  <c r="BW169"/>
  <c r="BX169" s="1"/>
  <c r="BR169"/>
  <c r="BS169" s="1"/>
  <c r="BI169"/>
  <c r="BK169" s="1"/>
  <c r="BB169"/>
  <c r="AX169"/>
  <c r="AY169" s="1"/>
  <c r="AQ169"/>
  <c r="AR169" s="1"/>
  <c r="AL169"/>
  <c r="AM169" s="1"/>
  <c r="AG169"/>
  <c r="AA169"/>
  <c r="AB169" s="1"/>
  <c r="V169"/>
  <c r="W169" s="1"/>
  <c r="Q169"/>
  <c r="DA168"/>
  <c r="DC168" s="1"/>
  <c r="CU168"/>
  <c r="CN168"/>
  <c r="CI168"/>
  <c r="CJ168" s="1"/>
  <c r="CB168"/>
  <c r="BW168"/>
  <c r="BX168" s="1"/>
  <c r="BR168"/>
  <c r="BS168" s="1"/>
  <c r="BI168"/>
  <c r="BK168" s="1"/>
  <c r="BB168"/>
  <c r="AX168"/>
  <c r="AY168" s="1"/>
  <c r="AQ168"/>
  <c r="AR168" s="1"/>
  <c r="AL168"/>
  <c r="AM168" s="1"/>
  <c r="AG168"/>
  <c r="AA168"/>
  <c r="AB168" s="1"/>
  <c r="V168"/>
  <c r="W168" s="1"/>
  <c r="Q168"/>
  <c r="DA167"/>
  <c r="DC167" s="1"/>
  <c r="CU167"/>
  <c r="CN167"/>
  <c r="CI167"/>
  <c r="CJ167" s="1"/>
  <c r="CB167"/>
  <c r="BW167"/>
  <c r="BX167" s="1"/>
  <c r="BR167"/>
  <c r="BS167" s="1"/>
  <c r="BI167"/>
  <c r="BK167" s="1"/>
  <c r="BB167"/>
  <c r="AX167"/>
  <c r="AY167" s="1"/>
  <c r="AQ167"/>
  <c r="AR167" s="1"/>
  <c r="AL167"/>
  <c r="AM167" s="1"/>
  <c r="AG167"/>
  <c r="AA167"/>
  <c r="AB167" s="1"/>
  <c r="V167"/>
  <c r="W167" s="1"/>
  <c r="Q167"/>
  <c r="DA166"/>
  <c r="DB166" s="1"/>
  <c r="DD166" s="1"/>
  <c r="CU166"/>
  <c r="CV166" s="1"/>
  <c r="CX166" s="1"/>
  <c r="CN166"/>
  <c r="CO166" s="1"/>
  <c r="CI166"/>
  <c r="CJ166" s="1"/>
  <c r="CB166"/>
  <c r="CC166" s="1"/>
  <c r="BW166"/>
  <c r="BX166" s="1"/>
  <c r="BR166"/>
  <c r="BS166" s="1"/>
  <c r="BI166"/>
  <c r="BJ166" s="1"/>
  <c r="BL166" s="1"/>
  <c r="BB166"/>
  <c r="BC166" s="1"/>
  <c r="AX166"/>
  <c r="AY166" s="1"/>
  <c r="AQ166"/>
  <c r="AR166" s="1"/>
  <c r="AL166"/>
  <c r="AM166" s="1"/>
  <c r="AG166"/>
  <c r="AH166" s="1"/>
  <c r="AA166"/>
  <c r="AB166" s="1"/>
  <c r="V166"/>
  <c r="W166" s="1"/>
  <c r="Q166"/>
  <c r="R166" s="1"/>
  <c r="DA165"/>
  <c r="DB165" s="1"/>
  <c r="DD165" s="1"/>
  <c r="CU165"/>
  <c r="CV165" s="1"/>
  <c r="CX165" s="1"/>
  <c r="CN165"/>
  <c r="CO165" s="1"/>
  <c r="CI165"/>
  <c r="CJ165" s="1"/>
  <c r="CB165"/>
  <c r="CC165" s="1"/>
  <c r="BW165"/>
  <c r="BX165" s="1"/>
  <c r="BR165"/>
  <c r="BS165" s="1"/>
  <c r="BI165"/>
  <c r="BJ165" s="1"/>
  <c r="BL165" s="1"/>
  <c r="BB165"/>
  <c r="BC165" s="1"/>
  <c r="AX165"/>
  <c r="AY165" s="1"/>
  <c r="AQ165"/>
  <c r="AR165" s="1"/>
  <c r="AL165"/>
  <c r="AM165" s="1"/>
  <c r="AG165"/>
  <c r="AH165" s="1"/>
  <c r="AA165"/>
  <c r="AB165" s="1"/>
  <c r="V165"/>
  <c r="W165" s="1"/>
  <c r="Q165"/>
  <c r="R165" s="1"/>
  <c r="DA164"/>
  <c r="DB164" s="1"/>
  <c r="DD164" s="1"/>
  <c r="CU164"/>
  <c r="CV164" s="1"/>
  <c r="CX164" s="1"/>
  <c r="CN164"/>
  <c r="CO164" s="1"/>
  <c r="CI164"/>
  <c r="CJ164" s="1"/>
  <c r="CB164"/>
  <c r="CC164" s="1"/>
  <c r="BW164"/>
  <c r="BX164" s="1"/>
  <c r="BR164"/>
  <c r="BS164" s="1"/>
  <c r="BI164"/>
  <c r="BJ164" s="1"/>
  <c r="BL164" s="1"/>
  <c r="BB164"/>
  <c r="BC164" s="1"/>
  <c r="AX164"/>
  <c r="AY164" s="1"/>
  <c r="AQ164"/>
  <c r="AR164" s="1"/>
  <c r="AL164"/>
  <c r="AM164" s="1"/>
  <c r="AG164"/>
  <c r="AH164" s="1"/>
  <c r="AA164"/>
  <c r="AB164" s="1"/>
  <c r="V164"/>
  <c r="W164" s="1"/>
  <c r="Q164"/>
  <c r="R164" s="1"/>
  <c r="DA163"/>
  <c r="DB163" s="1"/>
  <c r="DD163" s="1"/>
  <c r="CU163"/>
  <c r="CV163" s="1"/>
  <c r="CX163" s="1"/>
  <c r="CN163"/>
  <c r="CO163" s="1"/>
  <c r="CI163"/>
  <c r="CJ163" s="1"/>
  <c r="CB163"/>
  <c r="CC163" s="1"/>
  <c r="BW163"/>
  <c r="BX163" s="1"/>
  <c r="BR163"/>
  <c r="BS163" s="1"/>
  <c r="BI163"/>
  <c r="BJ163" s="1"/>
  <c r="BL163" s="1"/>
  <c r="BB163"/>
  <c r="BC163" s="1"/>
  <c r="AX163"/>
  <c r="AY163" s="1"/>
  <c r="AQ163"/>
  <c r="AR163" s="1"/>
  <c r="AL163"/>
  <c r="AM163" s="1"/>
  <c r="AG163"/>
  <c r="AH163" s="1"/>
  <c r="AA163"/>
  <c r="AB163" s="1"/>
  <c r="V163"/>
  <c r="W163" s="1"/>
  <c r="Q163"/>
  <c r="R163" s="1"/>
  <c r="DA162"/>
  <c r="DB162" s="1"/>
  <c r="DD162" s="1"/>
  <c r="CU162"/>
  <c r="CV162" s="1"/>
  <c r="CX162" s="1"/>
  <c r="CN162"/>
  <c r="CO162" s="1"/>
  <c r="CI162"/>
  <c r="CJ162" s="1"/>
  <c r="CB162"/>
  <c r="CC162" s="1"/>
  <c r="BW162"/>
  <c r="BX162" s="1"/>
  <c r="BR162"/>
  <c r="BS162" s="1"/>
  <c r="BI162"/>
  <c r="BJ162" s="1"/>
  <c r="BL162" s="1"/>
  <c r="BB162"/>
  <c r="BC162" s="1"/>
  <c r="AX162"/>
  <c r="AY162" s="1"/>
  <c r="AQ162"/>
  <c r="AR162" s="1"/>
  <c r="AL162"/>
  <c r="AM162" s="1"/>
  <c r="AG162"/>
  <c r="AH162" s="1"/>
  <c r="AA162"/>
  <c r="AB162" s="1"/>
  <c r="V162"/>
  <c r="W162" s="1"/>
  <c r="Q162"/>
  <c r="R162" s="1"/>
  <c r="DA161"/>
  <c r="DB161" s="1"/>
  <c r="DD161" s="1"/>
  <c r="CU161"/>
  <c r="CV161" s="1"/>
  <c r="CX161" s="1"/>
  <c r="CN161"/>
  <c r="CO161" s="1"/>
  <c r="CI161"/>
  <c r="CJ161" s="1"/>
  <c r="CB161"/>
  <c r="CC161" s="1"/>
  <c r="BW161"/>
  <c r="BX161" s="1"/>
  <c r="BR161"/>
  <c r="BS161" s="1"/>
  <c r="BI161"/>
  <c r="BK161" s="1"/>
  <c r="BB161"/>
  <c r="AX161"/>
  <c r="AY161" s="1"/>
  <c r="AQ161"/>
  <c r="AR161" s="1"/>
  <c r="AL161"/>
  <c r="AM161" s="1"/>
  <c r="AG161"/>
  <c r="AH161" s="1"/>
  <c r="AA161"/>
  <c r="AB161" s="1"/>
  <c r="V161"/>
  <c r="W161" s="1"/>
  <c r="Q161"/>
  <c r="DA160"/>
  <c r="DC160" s="1"/>
  <c r="CU160"/>
  <c r="CN160"/>
  <c r="CO160" s="1"/>
  <c r="CI160"/>
  <c r="CJ160" s="1"/>
  <c r="CB160"/>
  <c r="CC160" s="1"/>
  <c r="BW160"/>
  <c r="BX160" s="1"/>
  <c r="BR160"/>
  <c r="BS160" s="1"/>
  <c r="BI160"/>
  <c r="BK160" s="1"/>
  <c r="BB160"/>
  <c r="AX160"/>
  <c r="AY160" s="1"/>
  <c r="AQ160"/>
  <c r="AR160" s="1"/>
  <c r="AL160"/>
  <c r="AM160" s="1"/>
  <c r="AG160"/>
  <c r="AA160"/>
  <c r="AB160" s="1"/>
  <c r="V160"/>
  <c r="W160" s="1"/>
  <c r="Q160"/>
  <c r="R160" s="1"/>
  <c r="DA159"/>
  <c r="DC159" s="1"/>
  <c r="CU159"/>
  <c r="CV159" s="1"/>
  <c r="CX159" s="1"/>
  <c r="CN159"/>
  <c r="CI159"/>
  <c r="CJ159" s="1"/>
  <c r="CB159"/>
  <c r="CC159" s="1"/>
  <c r="BW159"/>
  <c r="BX159" s="1"/>
  <c r="BR159"/>
  <c r="BS159" s="1"/>
  <c r="BI159"/>
  <c r="BK159" s="1"/>
  <c r="BB159"/>
  <c r="AX159"/>
  <c r="AY159" s="1"/>
  <c r="AQ159"/>
  <c r="AR159" s="1"/>
  <c r="AL159"/>
  <c r="AM159" s="1"/>
  <c r="AG159"/>
  <c r="AA159"/>
  <c r="AB159" s="1"/>
  <c r="V159"/>
  <c r="W159" s="1"/>
  <c r="Q159"/>
  <c r="R159" s="1"/>
  <c r="DA158"/>
  <c r="DC158" s="1"/>
  <c r="CU158"/>
  <c r="CV158" s="1"/>
  <c r="CX158" s="1"/>
  <c r="CN158"/>
  <c r="CI158"/>
  <c r="CJ158" s="1"/>
  <c r="CB158"/>
  <c r="BW158"/>
  <c r="BX158" s="1"/>
  <c r="BR158"/>
  <c r="BS158" s="1"/>
  <c r="BI158"/>
  <c r="BK158" s="1"/>
  <c r="BB158"/>
  <c r="AX158"/>
  <c r="AY158" s="1"/>
  <c r="AQ158"/>
  <c r="AR158" s="1"/>
  <c r="AL158"/>
  <c r="AM158" s="1"/>
  <c r="AG158"/>
  <c r="AH158" s="1"/>
  <c r="AA158"/>
  <c r="AB158" s="1"/>
  <c r="V158"/>
  <c r="W158" s="1"/>
  <c r="Q158"/>
  <c r="DA157"/>
  <c r="DC157" s="1"/>
  <c r="CU157"/>
  <c r="CV157" s="1"/>
  <c r="CX157" s="1"/>
  <c r="CN157"/>
  <c r="CO157" s="1"/>
  <c r="CI157"/>
  <c r="CJ157" s="1"/>
  <c r="CB157"/>
  <c r="CC157" s="1"/>
  <c r="BW157"/>
  <c r="BX157" s="1"/>
  <c r="BR157"/>
  <c r="BS157" s="1"/>
  <c r="BI157"/>
  <c r="BK157" s="1"/>
  <c r="BB157"/>
  <c r="AX157"/>
  <c r="AY157" s="1"/>
  <c r="AQ157"/>
  <c r="AR157" s="1"/>
  <c r="AL157"/>
  <c r="AM157" s="1"/>
  <c r="AG157"/>
  <c r="AH157" s="1"/>
  <c r="AA157"/>
  <c r="AB157" s="1"/>
  <c r="V157"/>
  <c r="W157" s="1"/>
  <c r="Q157"/>
  <c r="DA156"/>
  <c r="DC156" s="1"/>
  <c r="CU156"/>
  <c r="CN156"/>
  <c r="CI156"/>
  <c r="CJ156" s="1"/>
  <c r="CB156"/>
  <c r="BW156"/>
  <c r="BX156" s="1"/>
  <c r="BR156"/>
  <c r="BS156" s="1"/>
  <c r="BI156"/>
  <c r="BK156" s="1"/>
  <c r="BB156"/>
  <c r="AX156"/>
  <c r="AY156" s="1"/>
  <c r="AQ156"/>
  <c r="AR156" s="1"/>
  <c r="AL156"/>
  <c r="AM156" s="1"/>
  <c r="AG156"/>
  <c r="AA156"/>
  <c r="AB156" s="1"/>
  <c r="V156"/>
  <c r="W156" s="1"/>
  <c r="Q156"/>
  <c r="DA155"/>
  <c r="DC155" s="1"/>
  <c r="CU155"/>
  <c r="CN155"/>
  <c r="CI155"/>
  <c r="CJ155" s="1"/>
  <c r="CB155"/>
  <c r="BW155"/>
  <c r="BX155" s="1"/>
  <c r="BR155"/>
  <c r="BS155" s="1"/>
  <c r="BI155"/>
  <c r="BK155" s="1"/>
  <c r="BB155"/>
  <c r="AX155"/>
  <c r="AY155" s="1"/>
  <c r="AQ155"/>
  <c r="AR155" s="1"/>
  <c r="AL155"/>
  <c r="AM155" s="1"/>
  <c r="AG155"/>
  <c r="AA155"/>
  <c r="AB155" s="1"/>
  <c r="V155"/>
  <c r="W155" s="1"/>
  <c r="Q155"/>
  <c r="DC154"/>
  <c r="CU154"/>
  <c r="CN154"/>
  <c r="CI154"/>
  <c r="CJ154" s="1"/>
  <c r="BW154"/>
  <c r="BX154" s="1"/>
  <c r="BR154"/>
  <c r="BS154" s="1"/>
  <c r="BI154"/>
  <c r="BK154" s="1"/>
  <c r="BB154"/>
  <c r="AX154"/>
  <c r="AY154" s="1"/>
  <c r="AQ154"/>
  <c r="AR154" s="1"/>
  <c r="AL154"/>
  <c r="AM154" s="1"/>
  <c r="AG154"/>
  <c r="AA154"/>
  <c r="AB154" s="1"/>
  <c r="V154"/>
  <c r="W154" s="1"/>
  <c r="Q154"/>
  <c r="DA153"/>
  <c r="DC153" s="1"/>
  <c r="CU153"/>
  <c r="CN153"/>
  <c r="CI153"/>
  <c r="CJ153" s="1"/>
  <c r="CB153"/>
  <c r="BW153"/>
  <c r="BX153" s="1"/>
  <c r="BR153"/>
  <c r="BS153" s="1"/>
  <c r="BI153"/>
  <c r="BK153" s="1"/>
  <c r="BB153"/>
  <c r="AX153"/>
  <c r="AY153" s="1"/>
  <c r="AQ153"/>
  <c r="AR153" s="1"/>
  <c r="AL153"/>
  <c r="AM153" s="1"/>
  <c r="AG153"/>
  <c r="AA153"/>
  <c r="AB153" s="1"/>
  <c r="V153"/>
  <c r="W153" s="1"/>
  <c r="Q153"/>
  <c r="DA152"/>
  <c r="DC152" s="1"/>
  <c r="CU152"/>
  <c r="CN152"/>
  <c r="CI152"/>
  <c r="CJ152" s="1"/>
  <c r="CB152"/>
  <c r="BW152"/>
  <c r="BX152" s="1"/>
  <c r="BR152"/>
  <c r="BS152" s="1"/>
  <c r="BI152"/>
  <c r="BK152" s="1"/>
  <c r="BB152"/>
  <c r="AX152"/>
  <c r="AY152" s="1"/>
  <c r="AQ152"/>
  <c r="AR152" s="1"/>
  <c r="AL152"/>
  <c r="AM152" s="1"/>
  <c r="AG152"/>
  <c r="AA152"/>
  <c r="AB152" s="1"/>
  <c r="V152"/>
  <c r="W152" s="1"/>
  <c r="Q152"/>
  <c r="DA151"/>
  <c r="DC151" s="1"/>
  <c r="CU151"/>
  <c r="CN151"/>
  <c r="CI151"/>
  <c r="CJ151" s="1"/>
  <c r="CB151"/>
  <c r="BW151"/>
  <c r="BX151" s="1"/>
  <c r="BR151"/>
  <c r="BS151" s="1"/>
  <c r="BI151"/>
  <c r="BK151" s="1"/>
  <c r="BB151"/>
  <c r="AX151"/>
  <c r="AY151" s="1"/>
  <c r="AQ151"/>
  <c r="AR151" s="1"/>
  <c r="AL151"/>
  <c r="AM151" s="1"/>
  <c r="AG151"/>
  <c r="AA151"/>
  <c r="AB151" s="1"/>
  <c r="V151"/>
  <c r="W151" s="1"/>
  <c r="Q151"/>
  <c r="DA150"/>
  <c r="DC150" s="1"/>
  <c r="CU150"/>
  <c r="CN150"/>
  <c r="CI150"/>
  <c r="CJ150" s="1"/>
  <c r="CB150"/>
  <c r="BW150"/>
  <c r="BX150" s="1"/>
  <c r="BR150"/>
  <c r="BS150" s="1"/>
  <c r="BI150"/>
  <c r="BK150" s="1"/>
  <c r="BB150"/>
  <c r="AX150"/>
  <c r="AY150" s="1"/>
  <c r="AQ150"/>
  <c r="AR150" s="1"/>
  <c r="AL150"/>
  <c r="AM150" s="1"/>
  <c r="AG150"/>
  <c r="AA150"/>
  <c r="AB150" s="1"/>
  <c r="V150"/>
  <c r="W150" s="1"/>
  <c r="Q150"/>
  <c r="DA142"/>
  <c r="DC142" s="1"/>
  <c r="CU142"/>
  <c r="CN142"/>
  <c r="CI142"/>
  <c r="CJ142" s="1"/>
  <c r="CB142"/>
  <c r="BW142"/>
  <c r="BX142" s="1"/>
  <c r="BR142"/>
  <c r="BS142" s="1"/>
  <c r="BI142"/>
  <c r="BK142" s="1"/>
  <c r="BB142"/>
  <c r="AX142"/>
  <c r="AY142" s="1"/>
  <c r="AQ142"/>
  <c r="AR142" s="1"/>
  <c r="AL142"/>
  <c r="AM142" s="1"/>
  <c r="AG142"/>
  <c r="AA142"/>
  <c r="AB142" s="1"/>
  <c r="V142"/>
  <c r="W142" s="1"/>
  <c r="Q142"/>
  <c r="DA141"/>
  <c r="DC141" s="1"/>
  <c r="CU141"/>
  <c r="CN141"/>
  <c r="CI141"/>
  <c r="CJ141" s="1"/>
  <c r="CB141"/>
  <c r="BW141"/>
  <c r="BX141" s="1"/>
  <c r="BR141"/>
  <c r="BS141" s="1"/>
  <c r="BI141"/>
  <c r="BK141" s="1"/>
  <c r="BB141"/>
  <c r="AX141"/>
  <c r="AY141" s="1"/>
  <c r="AQ141"/>
  <c r="AR141" s="1"/>
  <c r="AL141"/>
  <c r="AM141" s="1"/>
  <c r="AG141"/>
  <c r="AA141"/>
  <c r="AB141" s="1"/>
  <c r="V141"/>
  <c r="W141" s="1"/>
  <c r="Q141"/>
  <c r="DA140"/>
  <c r="DC140" s="1"/>
  <c r="CU140"/>
  <c r="CN140"/>
  <c r="CI140"/>
  <c r="CJ140" s="1"/>
  <c r="CB140"/>
  <c r="BW140"/>
  <c r="BX140" s="1"/>
  <c r="BR140"/>
  <c r="BS140" s="1"/>
  <c r="BI140"/>
  <c r="BK140" s="1"/>
  <c r="BB140"/>
  <c r="AX140"/>
  <c r="AY140" s="1"/>
  <c r="AQ140"/>
  <c r="AR140" s="1"/>
  <c r="AL140"/>
  <c r="AM140" s="1"/>
  <c r="AG140"/>
  <c r="AA140"/>
  <c r="AB140" s="1"/>
  <c r="V140"/>
  <c r="W140" s="1"/>
  <c r="Q140"/>
  <c r="DA139"/>
  <c r="DC139" s="1"/>
  <c r="CU139"/>
  <c r="CN139"/>
  <c r="CI139"/>
  <c r="CJ139" s="1"/>
  <c r="CB139"/>
  <c r="BW139"/>
  <c r="BX139" s="1"/>
  <c r="BR139"/>
  <c r="BS139" s="1"/>
  <c r="BI139"/>
  <c r="BK139" s="1"/>
  <c r="BB139"/>
  <c r="AX139"/>
  <c r="AY139" s="1"/>
  <c r="AQ139"/>
  <c r="AR139" s="1"/>
  <c r="AL139"/>
  <c r="AM139" s="1"/>
  <c r="AG139"/>
  <c r="AA139"/>
  <c r="AB139" s="1"/>
  <c r="V139"/>
  <c r="W139" s="1"/>
  <c r="Q139"/>
  <c r="DA138"/>
  <c r="DC138" s="1"/>
  <c r="CU138"/>
  <c r="CN138"/>
  <c r="CI138"/>
  <c r="CJ138" s="1"/>
  <c r="CB138"/>
  <c r="BW138"/>
  <c r="BX138" s="1"/>
  <c r="BR138"/>
  <c r="BS138" s="1"/>
  <c r="BI138"/>
  <c r="BK138" s="1"/>
  <c r="BB138"/>
  <c r="AX138"/>
  <c r="AY138" s="1"/>
  <c r="AQ138"/>
  <c r="AR138" s="1"/>
  <c r="AL138"/>
  <c r="AM138" s="1"/>
  <c r="AG138"/>
  <c r="AA138"/>
  <c r="AB138" s="1"/>
  <c r="V138"/>
  <c r="W138" s="1"/>
  <c r="Q138"/>
  <c r="DA137"/>
  <c r="DC137" s="1"/>
  <c r="CU137"/>
  <c r="CN137"/>
  <c r="CI137"/>
  <c r="CJ137" s="1"/>
  <c r="CB137"/>
  <c r="BW137"/>
  <c r="BX137" s="1"/>
  <c r="BR137"/>
  <c r="BS137" s="1"/>
  <c r="BI137"/>
  <c r="BK137" s="1"/>
  <c r="BB137"/>
  <c r="AX137"/>
  <c r="AY137" s="1"/>
  <c r="AQ137"/>
  <c r="AR137" s="1"/>
  <c r="AL137"/>
  <c r="AM137" s="1"/>
  <c r="AG137"/>
  <c r="AA137"/>
  <c r="AB137" s="1"/>
  <c r="V137"/>
  <c r="W137" s="1"/>
  <c r="Q137"/>
  <c r="DA136"/>
  <c r="DC136" s="1"/>
  <c r="CU136"/>
  <c r="CN136"/>
  <c r="CO136" s="1"/>
  <c r="CI136"/>
  <c r="CJ136" s="1"/>
  <c r="CB136"/>
  <c r="CC136" s="1"/>
  <c r="BW136"/>
  <c r="BX136" s="1"/>
  <c r="BR136"/>
  <c r="BS136" s="1"/>
  <c r="BI136"/>
  <c r="BJ136" s="1"/>
  <c r="BL136" s="1"/>
  <c r="BB136"/>
  <c r="BC136" s="1"/>
  <c r="AX136"/>
  <c r="AY136" s="1"/>
  <c r="AQ136"/>
  <c r="AR136" s="1"/>
  <c r="AL136"/>
  <c r="AM136" s="1"/>
  <c r="AG136"/>
  <c r="AH136" s="1"/>
  <c r="AA136"/>
  <c r="AB136" s="1"/>
  <c r="V136"/>
  <c r="W136" s="1"/>
  <c r="Q136"/>
  <c r="R136" s="1"/>
  <c r="DA135"/>
  <c r="DB135" s="1"/>
  <c r="DD135" s="1"/>
  <c r="CU135"/>
  <c r="CV135" s="1"/>
  <c r="CX135" s="1"/>
  <c r="CN135"/>
  <c r="CO135" s="1"/>
  <c r="CI135"/>
  <c r="CJ135" s="1"/>
  <c r="CB135"/>
  <c r="CC135" s="1"/>
  <c r="BW135"/>
  <c r="BX135" s="1"/>
  <c r="BR135"/>
  <c r="BS135" s="1"/>
  <c r="BI135"/>
  <c r="BJ135" s="1"/>
  <c r="BL135" s="1"/>
  <c r="BB135"/>
  <c r="BC135" s="1"/>
  <c r="AX135"/>
  <c r="AY135" s="1"/>
  <c r="AQ135"/>
  <c r="AR135" s="1"/>
  <c r="AL135"/>
  <c r="AM135" s="1"/>
  <c r="AG135"/>
  <c r="AH135" s="1"/>
  <c r="AA135"/>
  <c r="AB135" s="1"/>
  <c r="V135"/>
  <c r="W135" s="1"/>
  <c r="Q135"/>
  <c r="R135" s="1"/>
  <c r="DA134"/>
  <c r="DB134" s="1"/>
  <c r="DD134" s="1"/>
  <c r="CU134"/>
  <c r="CV134" s="1"/>
  <c r="CX134" s="1"/>
  <c r="CN134"/>
  <c r="CO134" s="1"/>
  <c r="CI134"/>
  <c r="CJ134" s="1"/>
  <c r="CB134"/>
  <c r="CC134" s="1"/>
  <c r="BW134"/>
  <c r="BX134" s="1"/>
  <c r="BR134"/>
  <c r="BS134" s="1"/>
  <c r="BI134"/>
  <c r="BJ134" s="1"/>
  <c r="BL134" s="1"/>
  <c r="BB134"/>
  <c r="BC134" s="1"/>
  <c r="AX134"/>
  <c r="AY134" s="1"/>
  <c r="AQ134"/>
  <c r="AR134" s="1"/>
  <c r="AL134"/>
  <c r="AM134" s="1"/>
  <c r="AG134"/>
  <c r="AH134" s="1"/>
  <c r="AA134"/>
  <c r="AB134" s="1"/>
  <c r="V134"/>
  <c r="W134" s="1"/>
  <c r="Q134"/>
  <c r="R134" s="1"/>
  <c r="DA133"/>
  <c r="DB133" s="1"/>
  <c r="DD133" s="1"/>
  <c r="CU133"/>
  <c r="CV133" s="1"/>
  <c r="CX133" s="1"/>
  <c r="CN133"/>
  <c r="CO133" s="1"/>
  <c r="CI133"/>
  <c r="CJ133" s="1"/>
  <c r="CB133"/>
  <c r="CC133" s="1"/>
  <c r="BW133"/>
  <c r="BX133" s="1"/>
  <c r="BR133"/>
  <c r="BS133" s="1"/>
  <c r="BI133"/>
  <c r="BJ133" s="1"/>
  <c r="BL133" s="1"/>
  <c r="BB133"/>
  <c r="BC133" s="1"/>
  <c r="AX133"/>
  <c r="AY133" s="1"/>
  <c r="AQ133"/>
  <c r="AR133" s="1"/>
  <c r="AL133"/>
  <c r="AM133" s="1"/>
  <c r="AG133"/>
  <c r="AH133" s="1"/>
  <c r="AA133"/>
  <c r="AB133" s="1"/>
  <c r="V133"/>
  <c r="W133" s="1"/>
  <c r="Q133"/>
  <c r="DA132"/>
  <c r="DB132" s="1"/>
  <c r="DD132" s="1"/>
  <c r="CU132"/>
  <c r="CV132" s="1"/>
  <c r="CX132" s="1"/>
  <c r="CN132"/>
  <c r="CO132" s="1"/>
  <c r="CI132"/>
  <c r="CJ132" s="1"/>
  <c r="CB132"/>
  <c r="CC132" s="1"/>
  <c r="BW132"/>
  <c r="BX132" s="1"/>
  <c r="BR132"/>
  <c r="BS132" s="1"/>
  <c r="BI132"/>
  <c r="BJ132" s="1"/>
  <c r="BL132" s="1"/>
  <c r="BB132"/>
  <c r="BC132" s="1"/>
  <c r="AX132"/>
  <c r="AY132" s="1"/>
  <c r="AQ132"/>
  <c r="AR132" s="1"/>
  <c r="AL132"/>
  <c r="AM132" s="1"/>
  <c r="AG132"/>
  <c r="AH132" s="1"/>
  <c r="AA132"/>
  <c r="AB132" s="1"/>
  <c r="V132"/>
  <c r="W132" s="1"/>
  <c r="Q132"/>
  <c r="R132" s="1"/>
  <c r="DA131"/>
  <c r="DB131" s="1"/>
  <c r="DD131" s="1"/>
  <c r="CU131"/>
  <c r="CV131" s="1"/>
  <c r="CX131" s="1"/>
  <c r="CN131"/>
  <c r="CO131" s="1"/>
  <c r="CI131"/>
  <c r="CJ131" s="1"/>
  <c r="CB131"/>
  <c r="CC131" s="1"/>
  <c r="BW131"/>
  <c r="BX131" s="1"/>
  <c r="BR131"/>
  <c r="BS131" s="1"/>
  <c r="BI131"/>
  <c r="BJ131" s="1"/>
  <c r="BL131" s="1"/>
  <c r="BB131"/>
  <c r="BC131" s="1"/>
  <c r="AX131"/>
  <c r="AY131" s="1"/>
  <c r="AQ131"/>
  <c r="AR131" s="1"/>
  <c r="AL131"/>
  <c r="AM131" s="1"/>
  <c r="AG131"/>
  <c r="AH131" s="1"/>
  <c r="AA131"/>
  <c r="AB131" s="1"/>
  <c r="V131"/>
  <c r="W131" s="1"/>
  <c r="Q131"/>
  <c r="R131" s="1"/>
  <c r="DA130"/>
  <c r="DB130" s="1"/>
  <c r="DD130" s="1"/>
  <c r="CU130"/>
  <c r="CV130" s="1"/>
  <c r="CX130" s="1"/>
  <c r="CN130"/>
  <c r="CO130" s="1"/>
  <c r="CI130"/>
  <c r="CJ130" s="1"/>
  <c r="CB130"/>
  <c r="CC130" s="1"/>
  <c r="BW130"/>
  <c r="BX130" s="1"/>
  <c r="BR130"/>
  <c r="BS130" s="1"/>
  <c r="BI130"/>
  <c r="BJ130" s="1"/>
  <c r="BL130" s="1"/>
  <c r="BB130"/>
  <c r="BC130" s="1"/>
  <c r="AX130"/>
  <c r="AY130" s="1"/>
  <c r="AQ130"/>
  <c r="AR130" s="1"/>
  <c r="AL130"/>
  <c r="AM130" s="1"/>
  <c r="AG130"/>
  <c r="AH130" s="1"/>
  <c r="AA130"/>
  <c r="AB130" s="1"/>
  <c r="V130"/>
  <c r="W130" s="1"/>
  <c r="Q130"/>
  <c r="R130" s="1"/>
  <c r="DA129"/>
  <c r="DB129" s="1"/>
  <c r="DD129" s="1"/>
  <c r="CU129"/>
  <c r="CV129" s="1"/>
  <c r="CX129" s="1"/>
  <c r="CN129"/>
  <c r="CO129" s="1"/>
  <c r="CI129"/>
  <c r="CJ129" s="1"/>
  <c r="CB129"/>
  <c r="CC129" s="1"/>
  <c r="BW129"/>
  <c r="BX129" s="1"/>
  <c r="BR129"/>
  <c r="BS129" s="1"/>
  <c r="BI129"/>
  <c r="BJ129" s="1"/>
  <c r="BL129" s="1"/>
  <c r="BB129"/>
  <c r="BC129" s="1"/>
  <c r="AX129"/>
  <c r="AY129" s="1"/>
  <c r="AQ129"/>
  <c r="AR129" s="1"/>
  <c r="AL129"/>
  <c r="AM129" s="1"/>
  <c r="AG129"/>
  <c r="AH129" s="1"/>
  <c r="AA129"/>
  <c r="AB129" s="1"/>
  <c r="V129"/>
  <c r="W129" s="1"/>
  <c r="Q129"/>
  <c r="R129" s="1"/>
  <c r="DA128"/>
  <c r="DB128" s="1"/>
  <c r="DD128" s="1"/>
  <c r="CU128"/>
  <c r="CV128" s="1"/>
  <c r="CX128" s="1"/>
  <c r="CN128"/>
  <c r="CO128" s="1"/>
  <c r="CI128"/>
  <c r="CJ128" s="1"/>
  <c r="CB128"/>
  <c r="CC128" s="1"/>
  <c r="BW128"/>
  <c r="BX128" s="1"/>
  <c r="BR128"/>
  <c r="BS128" s="1"/>
  <c r="BI128"/>
  <c r="BJ128" s="1"/>
  <c r="BL128" s="1"/>
  <c r="BB128"/>
  <c r="BC128" s="1"/>
  <c r="AX128"/>
  <c r="AY128" s="1"/>
  <c r="AQ128"/>
  <c r="AR128" s="1"/>
  <c r="AL128"/>
  <c r="AM128" s="1"/>
  <c r="AG128"/>
  <c r="AH128" s="1"/>
  <c r="AA128"/>
  <c r="AB128" s="1"/>
  <c r="V128"/>
  <c r="W128" s="1"/>
  <c r="Q128"/>
  <c r="R128" s="1"/>
  <c r="DA127"/>
  <c r="DB127" s="1"/>
  <c r="DD127" s="1"/>
  <c r="CU127"/>
  <c r="CV127" s="1"/>
  <c r="CX127" s="1"/>
  <c r="CN127"/>
  <c r="CO127" s="1"/>
  <c r="CI127"/>
  <c r="CJ127" s="1"/>
  <c r="CB127"/>
  <c r="CC127" s="1"/>
  <c r="BW127"/>
  <c r="BX127" s="1"/>
  <c r="BR127"/>
  <c r="BS127" s="1"/>
  <c r="BI127"/>
  <c r="BJ127" s="1"/>
  <c r="BL127" s="1"/>
  <c r="BB127"/>
  <c r="BC127" s="1"/>
  <c r="AX127"/>
  <c r="AY127" s="1"/>
  <c r="AQ127"/>
  <c r="AR127" s="1"/>
  <c r="AL127"/>
  <c r="AM127" s="1"/>
  <c r="AG127"/>
  <c r="AH127" s="1"/>
  <c r="AA127"/>
  <c r="AB127" s="1"/>
  <c r="V127"/>
  <c r="W127" s="1"/>
  <c r="Q127"/>
  <c r="DA126"/>
  <c r="DB126" s="1"/>
  <c r="DD126" s="1"/>
  <c r="CU126"/>
  <c r="CV126" s="1"/>
  <c r="CX126" s="1"/>
  <c r="CN126"/>
  <c r="CO126" s="1"/>
  <c r="CI126"/>
  <c r="CJ126" s="1"/>
  <c r="CB126"/>
  <c r="CC126" s="1"/>
  <c r="BW126"/>
  <c r="BX126" s="1"/>
  <c r="BR126"/>
  <c r="BS126" s="1"/>
  <c r="BI126"/>
  <c r="BJ126" s="1"/>
  <c r="BL126" s="1"/>
  <c r="BB126"/>
  <c r="BC126" s="1"/>
  <c r="AX126"/>
  <c r="AY126" s="1"/>
  <c r="AQ126"/>
  <c r="AR126" s="1"/>
  <c r="AL126"/>
  <c r="AM126" s="1"/>
  <c r="AG126"/>
  <c r="AH126" s="1"/>
  <c r="AA126"/>
  <c r="AB126" s="1"/>
  <c r="V126"/>
  <c r="W126" s="1"/>
  <c r="Q126"/>
  <c r="R126" s="1"/>
  <c r="DA125"/>
  <c r="DB125" s="1"/>
  <c r="DD125" s="1"/>
  <c r="CU125"/>
  <c r="CV125" s="1"/>
  <c r="CX125" s="1"/>
  <c r="CN125"/>
  <c r="CO125" s="1"/>
  <c r="CI125"/>
  <c r="CJ125" s="1"/>
  <c r="CB125"/>
  <c r="CC125" s="1"/>
  <c r="BW125"/>
  <c r="BX125" s="1"/>
  <c r="BR125"/>
  <c r="BS125" s="1"/>
  <c r="BI125"/>
  <c r="BJ125" s="1"/>
  <c r="BL125" s="1"/>
  <c r="BB125"/>
  <c r="BC125" s="1"/>
  <c r="AX125"/>
  <c r="AY125" s="1"/>
  <c r="AQ125"/>
  <c r="AR125" s="1"/>
  <c r="AL125"/>
  <c r="AM125" s="1"/>
  <c r="AG125"/>
  <c r="AH125" s="1"/>
  <c r="AA125"/>
  <c r="AB125" s="1"/>
  <c r="V125"/>
  <c r="W125" s="1"/>
  <c r="Q125"/>
  <c r="R125" s="1"/>
  <c r="DA124"/>
  <c r="DB124" s="1"/>
  <c r="DD124" s="1"/>
  <c r="CU124"/>
  <c r="CV124" s="1"/>
  <c r="CX124" s="1"/>
  <c r="CN124"/>
  <c r="CO124" s="1"/>
  <c r="CI124"/>
  <c r="CJ124" s="1"/>
  <c r="CB124"/>
  <c r="CC124" s="1"/>
  <c r="BW124"/>
  <c r="BX124" s="1"/>
  <c r="BR124"/>
  <c r="BS124" s="1"/>
  <c r="BI124"/>
  <c r="BJ124" s="1"/>
  <c r="BL124" s="1"/>
  <c r="BB124"/>
  <c r="AX124"/>
  <c r="AY124" s="1"/>
  <c r="AQ124"/>
  <c r="AR124" s="1"/>
  <c r="AL124"/>
  <c r="AM124" s="1"/>
  <c r="AG124"/>
  <c r="AA124"/>
  <c r="AB124" s="1"/>
  <c r="V124"/>
  <c r="W124" s="1"/>
  <c r="Q124"/>
  <c r="DA123"/>
  <c r="DC123" s="1"/>
  <c r="CU123"/>
  <c r="CN123"/>
  <c r="CI123"/>
  <c r="CJ123" s="1"/>
  <c r="CB123"/>
  <c r="BW123"/>
  <c r="BX123" s="1"/>
  <c r="BR123"/>
  <c r="BS123" s="1"/>
  <c r="BI123"/>
  <c r="BK123" s="1"/>
  <c r="BB123"/>
  <c r="AX123"/>
  <c r="AY123" s="1"/>
  <c r="AQ123"/>
  <c r="AR123" s="1"/>
  <c r="AL123"/>
  <c r="AM123" s="1"/>
  <c r="AG123"/>
  <c r="AA123"/>
  <c r="AB123" s="1"/>
  <c r="V123"/>
  <c r="W123" s="1"/>
  <c r="Q123"/>
  <c r="DA122"/>
  <c r="DC122" s="1"/>
  <c r="CU122"/>
  <c r="CN122"/>
  <c r="CI122"/>
  <c r="CJ122" s="1"/>
  <c r="CB122"/>
  <c r="BW122"/>
  <c r="BX122" s="1"/>
  <c r="BR122"/>
  <c r="BS122" s="1"/>
  <c r="BI122"/>
  <c r="BK122" s="1"/>
  <c r="BB122"/>
  <c r="AX122"/>
  <c r="AY122" s="1"/>
  <c r="AQ122"/>
  <c r="AR122" s="1"/>
  <c r="AL122"/>
  <c r="AM122" s="1"/>
  <c r="AG122"/>
  <c r="AA122"/>
  <c r="AB122" s="1"/>
  <c r="V122"/>
  <c r="W122" s="1"/>
  <c r="Q122"/>
  <c r="DA121"/>
  <c r="DC121" s="1"/>
  <c r="CU121"/>
  <c r="CN121"/>
  <c r="CI121"/>
  <c r="CJ121" s="1"/>
  <c r="CB121"/>
  <c r="BW121"/>
  <c r="BX121" s="1"/>
  <c r="BR121"/>
  <c r="BS121" s="1"/>
  <c r="BI121"/>
  <c r="BK121" s="1"/>
  <c r="BB121"/>
  <c r="AX121"/>
  <c r="AY121" s="1"/>
  <c r="AQ121"/>
  <c r="AR121" s="1"/>
  <c r="AL121"/>
  <c r="AM121" s="1"/>
  <c r="AG121"/>
  <c r="AA121"/>
  <c r="AB121" s="1"/>
  <c r="V121"/>
  <c r="W121" s="1"/>
  <c r="Q121"/>
  <c r="DA120"/>
  <c r="DC120" s="1"/>
  <c r="CU120"/>
  <c r="CN120"/>
  <c r="CI120"/>
  <c r="CJ120" s="1"/>
  <c r="CB120"/>
  <c r="BW120"/>
  <c r="BX120" s="1"/>
  <c r="BR120"/>
  <c r="BS120" s="1"/>
  <c r="BI120"/>
  <c r="BK120" s="1"/>
  <c r="BB120"/>
  <c r="AX120"/>
  <c r="AY120" s="1"/>
  <c r="AQ120"/>
  <c r="AR120" s="1"/>
  <c r="AL120"/>
  <c r="AM120" s="1"/>
  <c r="AG120"/>
  <c r="AA120"/>
  <c r="AB120" s="1"/>
  <c r="V120"/>
  <c r="W120" s="1"/>
  <c r="Q120"/>
  <c r="DA119"/>
  <c r="DC119" s="1"/>
  <c r="CU119"/>
  <c r="CN119"/>
  <c r="CI119"/>
  <c r="CJ119" s="1"/>
  <c r="CB119"/>
  <c r="BW119"/>
  <c r="BX119" s="1"/>
  <c r="BR119"/>
  <c r="BS119" s="1"/>
  <c r="BI119"/>
  <c r="BK119" s="1"/>
  <c r="BB119"/>
  <c r="AX119"/>
  <c r="AY119" s="1"/>
  <c r="AQ119"/>
  <c r="AR119" s="1"/>
  <c r="AL119"/>
  <c r="AM119" s="1"/>
  <c r="AG119"/>
  <c r="AA119"/>
  <c r="AB119" s="1"/>
  <c r="V119"/>
  <c r="W119" s="1"/>
  <c r="Q119"/>
  <c r="DA118"/>
  <c r="DC118" s="1"/>
  <c r="CU118"/>
  <c r="CN118"/>
  <c r="CI118"/>
  <c r="CJ118" s="1"/>
  <c r="CB118"/>
  <c r="BW118"/>
  <c r="BX118" s="1"/>
  <c r="BR118"/>
  <c r="BS118" s="1"/>
  <c r="BI118"/>
  <c r="BK118" s="1"/>
  <c r="BB118"/>
  <c r="AX118"/>
  <c r="AY118" s="1"/>
  <c r="AQ118"/>
  <c r="AR118" s="1"/>
  <c r="AL118"/>
  <c r="AM118" s="1"/>
  <c r="AG118"/>
  <c r="AA118"/>
  <c r="AB118" s="1"/>
  <c r="V118"/>
  <c r="W118" s="1"/>
  <c r="Q118"/>
  <c r="DA117"/>
  <c r="DC117" s="1"/>
  <c r="CU117"/>
  <c r="CN117"/>
  <c r="CI117"/>
  <c r="CJ117" s="1"/>
  <c r="CB117"/>
  <c r="BW117"/>
  <c r="BX117" s="1"/>
  <c r="BR117"/>
  <c r="BS117" s="1"/>
  <c r="BI117"/>
  <c r="BK117" s="1"/>
  <c r="BB117"/>
  <c r="AX117"/>
  <c r="AY117" s="1"/>
  <c r="AQ117"/>
  <c r="AR117" s="1"/>
  <c r="AL117"/>
  <c r="AM117" s="1"/>
  <c r="AG117"/>
  <c r="AA117"/>
  <c r="AB117" s="1"/>
  <c r="V117"/>
  <c r="W117" s="1"/>
  <c r="Q117"/>
  <c r="DA116"/>
  <c r="DC116" s="1"/>
  <c r="CU116"/>
  <c r="CN116"/>
  <c r="CI116"/>
  <c r="CJ116" s="1"/>
  <c r="CB116"/>
  <c r="BW116"/>
  <c r="BX116" s="1"/>
  <c r="BR116"/>
  <c r="BS116" s="1"/>
  <c r="BI116"/>
  <c r="BK116" s="1"/>
  <c r="BB116"/>
  <c r="AX116"/>
  <c r="AY116" s="1"/>
  <c r="AQ116"/>
  <c r="AR116" s="1"/>
  <c r="AL116"/>
  <c r="AM116" s="1"/>
  <c r="AG116"/>
  <c r="AA116"/>
  <c r="AB116" s="1"/>
  <c r="V116"/>
  <c r="W116" s="1"/>
  <c r="Q116"/>
  <c r="DA115"/>
  <c r="DC115" s="1"/>
  <c r="CU115"/>
  <c r="CN115"/>
  <c r="CI115"/>
  <c r="CJ115" s="1"/>
  <c r="CB115"/>
  <c r="BW115"/>
  <c r="BX115" s="1"/>
  <c r="BR115"/>
  <c r="BS115" s="1"/>
  <c r="BI115"/>
  <c r="BK115" s="1"/>
  <c r="BB115"/>
  <c r="AX115"/>
  <c r="AY115" s="1"/>
  <c r="AQ115"/>
  <c r="AR115" s="1"/>
  <c r="AL115"/>
  <c r="AM115" s="1"/>
  <c r="AG115"/>
  <c r="AA115"/>
  <c r="AB115" s="1"/>
  <c r="V115"/>
  <c r="W115" s="1"/>
  <c r="Q115"/>
  <c r="DA114"/>
  <c r="DC114" s="1"/>
  <c r="CU114"/>
  <c r="CN114"/>
  <c r="CI114"/>
  <c r="CJ114" s="1"/>
  <c r="CB114"/>
  <c r="BW114"/>
  <c r="BX114" s="1"/>
  <c r="BR114"/>
  <c r="BS114" s="1"/>
  <c r="BI114"/>
  <c r="BK114" s="1"/>
  <c r="BB114"/>
  <c r="AX114"/>
  <c r="AY114" s="1"/>
  <c r="AQ114"/>
  <c r="AR114" s="1"/>
  <c r="AL114"/>
  <c r="AM114" s="1"/>
  <c r="AG114"/>
  <c r="AA114"/>
  <c r="AB114" s="1"/>
  <c r="V114"/>
  <c r="W114" s="1"/>
  <c r="Q114"/>
  <c r="DA113"/>
  <c r="DC113" s="1"/>
  <c r="CU113"/>
  <c r="CN113"/>
  <c r="CI113"/>
  <c r="CJ113" s="1"/>
  <c r="CB113"/>
  <c r="BW113"/>
  <c r="BX113" s="1"/>
  <c r="BR113"/>
  <c r="BS113" s="1"/>
  <c r="BI113"/>
  <c r="BK113" s="1"/>
  <c r="BB113"/>
  <c r="AX113"/>
  <c r="AY113" s="1"/>
  <c r="AQ113"/>
  <c r="AR113" s="1"/>
  <c r="AL113"/>
  <c r="AM113" s="1"/>
  <c r="AG113"/>
  <c r="AA113"/>
  <c r="AB113" s="1"/>
  <c r="V113"/>
  <c r="W113" s="1"/>
  <c r="Q113"/>
  <c r="DA112"/>
  <c r="DC112" s="1"/>
  <c r="CU112"/>
  <c r="CN112"/>
  <c r="CI112"/>
  <c r="CJ112" s="1"/>
  <c r="CB112"/>
  <c r="BW112"/>
  <c r="BX112" s="1"/>
  <c r="BR112"/>
  <c r="BS112" s="1"/>
  <c r="BI112"/>
  <c r="BK112" s="1"/>
  <c r="BB112"/>
  <c r="AX112"/>
  <c r="AY112" s="1"/>
  <c r="AQ112"/>
  <c r="AR112" s="1"/>
  <c r="AL112"/>
  <c r="AM112" s="1"/>
  <c r="AG112"/>
  <c r="AH112" s="1"/>
  <c r="AA112"/>
  <c r="AB112" s="1"/>
  <c r="V112"/>
  <c r="W112" s="1"/>
  <c r="Q112"/>
  <c r="DA111"/>
  <c r="DB111" s="1"/>
  <c r="DD111" s="1"/>
  <c r="CU111"/>
  <c r="CV111" s="1"/>
  <c r="CX111" s="1"/>
  <c r="CN111"/>
  <c r="CO111" s="1"/>
  <c r="CI111"/>
  <c r="CJ111" s="1"/>
  <c r="CB111"/>
  <c r="CC111" s="1"/>
  <c r="BW111"/>
  <c r="BX111" s="1"/>
  <c r="BR111"/>
  <c r="BS111" s="1"/>
  <c r="BI111"/>
  <c r="BJ111" s="1"/>
  <c r="BL111" s="1"/>
  <c r="BB111"/>
  <c r="BC111" s="1"/>
  <c r="AX111"/>
  <c r="AY111" s="1"/>
  <c r="AQ111"/>
  <c r="AR111" s="1"/>
  <c r="AL111"/>
  <c r="AM111" s="1"/>
  <c r="AG111"/>
  <c r="AH111" s="1"/>
  <c r="AA111"/>
  <c r="AB111" s="1"/>
  <c r="V111"/>
  <c r="W111" s="1"/>
  <c r="Q111"/>
  <c r="R111" s="1"/>
  <c r="DA110"/>
  <c r="DB110" s="1"/>
  <c r="DD110" s="1"/>
  <c r="CU110"/>
  <c r="CV110" s="1"/>
  <c r="CX110" s="1"/>
  <c r="CN110"/>
  <c r="CO110" s="1"/>
  <c r="CI110"/>
  <c r="CJ110" s="1"/>
  <c r="CB110"/>
  <c r="CC110" s="1"/>
  <c r="BW110"/>
  <c r="BX110" s="1"/>
  <c r="BR110"/>
  <c r="BS110" s="1"/>
  <c r="BI110"/>
  <c r="BJ110" s="1"/>
  <c r="BL110" s="1"/>
  <c r="BB110"/>
  <c r="BC110" s="1"/>
  <c r="AX110"/>
  <c r="AY110" s="1"/>
  <c r="AQ110"/>
  <c r="AR110" s="1"/>
  <c r="AL110"/>
  <c r="AM110" s="1"/>
  <c r="AG110"/>
  <c r="AH110" s="1"/>
  <c r="AA110"/>
  <c r="AB110" s="1"/>
  <c r="V110"/>
  <c r="W110" s="1"/>
  <c r="Q110"/>
  <c r="R110" s="1"/>
  <c r="DA109"/>
  <c r="DB109" s="1"/>
  <c r="DD109" s="1"/>
  <c r="CU109"/>
  <c r="CV109" s="1"/>
  <c r="CX109" s="1"/>
  <c r="CN109"/>
  <c r="CO109" s="1"/>
  <c r="CI109"/>
  <c r="CJ109" s="1"/>
  <c r="CB109"/>
  <c r="CC109" s="1"/>
  <c r="BW109"/>
  <c r="BX109" s="1"/>
  <c r="BR109"/>
  <c r="BS109" s="1"/>
  <c r="BI109"/>
  <c r="BJ109" s="1"/>
  <c r="BL109" s="1"/>
  <c r="BB109"/>
  <c r="BC109" s="1"/>
  <c r="AX109"/>
  <c r="AY109" s="1"/>
  <c r="AQ109"/>
  <c r="AR109" s="1"/>
  <c r="AL109"/>
  <c r="AM109" s="1"/>
  <c r="AG109"/>
  <c r="AH109" s="1"/>
  <c r="AA109"/>
  <c r="AB109" s="1"/>
  <c r="V109"/>
  <c r="W109" s="1"/>
  <c r="Q109"/>
  <c r="R109" s="1"/>
  <c r="DA108"/>
  <c r="DB108" s="1"/>
  <c r="DD108" s="1"/>
  <c r="CU108"/>
  <c r="CV108" s="1"/>
  <c r="CX108" s="1"/>
  <c r="CN108"/>
  <c r="CO108" s="1"/>
  <c r="CI108"/>
  <c r="CJ108" s="1"/>
  <c r="CB108"/>
  <c r="CC108" s="1"/>
  <c r="BW108"/>
  <c r="BX108" s="1"/>
  <c r="BR108"/>
  <c r="BS108" s="1"/>
  <c r="BI108"/>
  <c r="BJ108" s="1"/>
  <c r="BL108" s="1"/>
  <c r="BB108"/>
  <c r="BC108" s="1"/>
  <c r="AX108"/>
  <c r="AY108" s="1"/>
  <c r="AQ108"/>
  <c r="AR108" s="1"/>
  <c r="AL108"/>
  <c r="AM108" s="1"/>
  <c r="AG108"/>
  <c r="AH108" s="1"/>
  <c r="AA108"/>
  <c r="AB108" s="1"/>
  <c r="V108"/>
  <c r="W108" s="1"/>
  <c r="Q108"/>
  <c r="R108" s="1"/>
  <c r="DA107"/>
  <c r="DB107" s="1"/>
  <c r="DD107" s="1"/>
  <c r="CU107"/>
  <c r="CV107" s="1"/>
  <c r="CX107" s="1"/>
  <c r="CN107"/>
  <c r="CO107" s="1"/>
  <c r="CI107"/>
  <c r="CJ107" s="1"/>
  <c r="CB107"/>
  <c r="CC107" s="1"/>
  <c r="BW107"/>
  <c r="BX107" s="1"/>
  <c r="BR107"/>
  <c r="BS107" s="1"/>
  <c r="BI107"/>
  <c r="BJ107" s="1"/>
  <c r="BL107" s="1"/>
  <c r="BB107"/>
  <c r="BC107" s="1"/>
  <c r="AX107"/>
  <c r="AY107" s="1"/>
  <c r="AQ107"/>
  <c r="AR107" s="1"/>
  <c r="AL107"/>
  <c r="AM107" s="1"/>
  <c r="AG107"/>
  <c r="AH107" s="1"/>
  <c r="AA107"/>
  <c r="AB107" s="1"/>
  <c r="V107"/>
  <c r="W107" s="1"/>
  <c r="Q107"/>
  <c r="R107" s="1"/>
  <c r="DA106"/>
  <c r="DB106" s="1"/>
  <c r="DD106" s="1"/>
  <c r="CU106"/>
  <c r="CV106" s="1"/>
  <c r="CX106" s="1"/>
  <c r="CN106"/>
  <c r="CO106" s="1"/>
  <c r="CI106"/>
  <c r="CJ106" s="1"/>
  <c r="CB106"/>
  <c r="CC106" s="1"/>
  <c r="BW106"/>
  <c r="BX106" s="1"/>
  <c r="BR106"/>
  <c r="BS106" s="1"/>
  <c r="BI106"/>
  <c r="BJ106" s="1"/>
  <c r="BL106" s="1"/>
  <c r="BB106"/>
  <c r="BC106" s="1"/>
  <c r="AX106"/>
  <c r="AY106" s="1"/>
  <c r="AQ106"/>
  <c r="AR106" s="1"/>
  <c r="AL106"/>
  <c r="AM106" s="1"/>
  <c r="AG106"/>
  <c r="AH106" s="1"/>
  <c r="AA106"/>
  <c r="AB106" s="1"/>
  <c r="V106"/>
  <c r="W106" s="1"/>
  <c r="Q106"/>
  <c r="R106" s="1"/>
  <c r="DA105"/>
  <c r="DB105" s="1"/>
  <c r="DD105" s="1"/>
  <c r="CU105"/>
  <c r="CV105" s="1"/>
  <c r="CX105" s="1"/>
  <c r="CN105"/>
  <c r="CO105" s="1"/>
  <c r="CI105"/>
  <c r="CJ105" s="1"/>
  <c r="CB105"/>
  <c r="CC105" s="1"/>
  <c r="BW105"/>
  <c r="BX105" s="1"/>
  <c r="BR105"/>
  <c r="BS105" s="1"/>
  <c r="BI105"/>
  <c r="BJ105" s="1"/>
  <c r="BL105" s="1"/>
  <c r="BB105"/>
  <c r="BC105" s="1"/>
  <c r="AX105"/>
  <c r="AY105" s="1"/>
  <c r="AQ105"/>
  <c r="AR105" s="1"/>
  <c r="AL105"/>
  <c r="AM105" s="1"/>
  <c r="AG105"/>
  <c r="AH105" s="1"/>
  <c r="AA105"/>
  <c r="AB105" s="1"/>
  <c r="V105"/>
  <c r="W105" s="1"/>
  <c r="Q105"/>
  <c r="R105" s="1"/>
  <c r="DA104"/>
  <c r="DB104" s="1"/>
  <c r="DD104" s="1"/>
  <c r="CU104"/>
  <c r="CV104" s="1"/>
  <c r="CX104" s="1"/>
  <c r="CN104"/>
  <c r="CO104" s="1"/>
  <c r="CI104"/>
  <c r="CJ104" s="1"/>
  <c r="CB104"/>
  <c r="CC104" s="1"/>
  <c r="BW104"/>
  <c r="BX104" s="1"/>
  <c r="BR104"/>
  <c r="BS104" s="1"/>
  <c r="BI104"/>
  <c r="BJ104" s="1"/>
  <c r="BL104" s="1"/>
  <c r="BB104"/>
  <c r="BC104" s="1"/>
  <c r="AX104"/>
  <c r="AY104" s="1"/>
  <c r="AQ104"/>
  <c r="AR104" s="1"/>
  <c r="AL104"/>
  <c r="AM104" s="1"/>
  <c r="AG104"/>
  <c r="AH104" s="1"/>
  <c r="AA104"/>
  <c r="AB104" s="1"/>
  <c r="V104"/>
  <c r="W104" s="1"/>
  <c r="Q104"/>
  <c r="R104" s="1"/>
  <c r="DA103"/>
  <c r="DB103" s="1"/>
  <c r="DD103" s="1"/>
  <c r="CU103"/>
  <c r="CV103" s="1"/>
  <c r="CX103" s="1"/>
  <c r="CN103"/>
  <c r="CO103" s="1"/>
  <c r="CI103"/>
  <c r="CJ103" s="1"/>
  <c r="CB103"/>
  <c r="CC103" s="1"/>
  <c r="BW103"/>
  <c r="BX103" s="1"/>
  <c r="BR103"/>
  <c r="BS103" s="1"/>
  <c r="BI103"/>
  <c r="BJ103" s="1"/>
  <c r="BL103" s="1"/>
  <c r="BB103"/>
  <c r="BC103" s="1"/>
  <c r="AX103"/>
  <c r="AY103" s="1"/>
  <c r="AQ103"/>
  <c r="AR103" s="1"/>
  <c r="AL103"/>
  <c r="AM103" s="1"/>
  <c r="AG103"/>
  <c r="AH103" s="1"/>
  <c r="AA103"/>
  <c r="AB103" s="1"/>
  <c r="V103"/>
  <c r="W103" s="1"/>
  <c r="Q103"/>
  <c r="R103" s="1"/>
  <c r="DA102"/>
  <c r="DB102" s="1"/>
  <c r="DD102" s="1"/>
  <c r="CU102"/>
  <c r="CV102" s="1"/>
  <c r="CX102" s="1"/>
  <c r="CN102"/>
  <c r="CO102" s="1"/>
  <c r="CI102"/>
  <c r="CJ102" s="1"/>
  <c r="CB102"/>
  <c r="CC102" s="1"/>
  <c r="BW102"/>
  <c r="BX102" s="1"/>
  <c r="BR102"/>
  <c r="BS102" s="1"/>
  <c r="BI102"/>
  <c r="BJ102" s="1"/>
  <c r="BL102" s="1"/>
  <c r="BB102"/>
  <c r="BC102" s="1"/>
  <c r="AX102"/>
  <c r="AY102" s="1"/>
  <c r="AQ102"/>
  <c r="AR102" s="1"/>
  <c r="AL102"/>
  <c r="AM102" s="1"/>
  <c r="AG102"/>
  <c r="AH102" s="1"/>
  <c r="AA102"/>
  <c r="AB102" s="1"/>
  <c r="V102"/>
  <c r="W102" s="1"/>
  <c r="Q102"/>
  <c r="R102" s="1"/>
  <c r="DA94"/>
  <c r="DC94" s="1"/>
  <c r="CU94"/>
  <c r="CN94"/>
  <c r="CI94"/>
  <c r="CJ94" s="1"/>
  <c r="CB94"/>
  <c r="BW94"/>
  <c r="BX94" s="1"/>
  <c r="BR94"/>
  <c r="BS94" s="1"/>
  <c r="BI94"/>
  <c r="BK94" s="1"/>
  <c r="BB94"/>
  <c r="BD94" s="1"/>
  <c r="AX94"/>
  <c r="AY94" s="1"/>
  <c r="AQ94"/>
  <c r="AR94" s="1"/>
  <c r="AL94"/>
  <c r="AM94" s="1"/>
  <c r="AG94"/>
  <c r="AA94"/>
  <c r="AB94" s="1"/>
  <c r="V94"/>
  <c r="W94" s="1"/>
  <c r="Q94"/>
  <c r="DA93"/>
  <c r="DC93" s="1"/>
  <c r="CU93"/>
  <c r="CN93"/>
  <c r="CI93"/>
  <c r="CJ93" s="1"/>
  <c r="CB93"/>
  <c r="CD93" s="1"/>
  <c r="BW93"/>
  <c r="BX93" s="1"/>
  <c r="BR93"/>
  <c r="BS93" s="1"/>
  <c r="BI93"/>
  <c r="BK93" s="1"/>
  <c r="BB93"/>
  <c r="BD93" s="1"/>
  <c r="AX93"/>
  <c r="AY93" s="1"/>
  <c r="AQ93"/>
  <c r="AR93" s="1"/>
  <c r="AL93"/>
  <c r="AM93" s="1"/>
  <c r="AG93"/>
  <c r="AA93"/>
  <c r="AB93" s="1"/>
  <c r="V93"/>
  <c r="W93" s="1"/>
  <c r="Q93"/>
  <c r="DA92"/>
  <c r="DC92" s="1"/>
  <c r="CU92"/>
  <c r="CN92"/>
  <c r="CI92"/>
  <c r="CJ92" s="1"/>
  <c r="CB92"/>
  <c r="CD92" s="1"/>
  <c r="BW92"/>
  <c r="BX92" s="1"/>
  <c r="BR92"/>
  <c r="BS92" s="1"/>
  <c r="BI92"/>
  <c r="BK92" s="1"/>
  <c r="BB92"/>
  <c r="BD92" s="1"/>
  <c r="AX92"/>
  <c r="AY92" s="1"/>
  <c r="AQ92"/>
  <c r="AR92" s="1"/>
  <c r="AL92"/>
  <c r="AM92" s="1"/>
  <c r="AG92"/>
  <c r="AA92"/>
  <c r="AB92" s="1"/>
  <c r="V92"/>
  <c r="W92" s="1"/>
  <c r="Q92"/>
  <c r="DA91"/>
  <c r="DC91" s="1"/>
  <c r="CU91"/>
  <c r="CN91"/>
  <c r="CI91"/>
  <c r="CJ91" s="1"/>
  <c r="CB91"/>
  <c r="CD91" s="1"/>
  <c r="BW91"/>
  <c r="BX91" s="1"/>
  <c r="BR91"/>
  <c r="BS91" s="1"/>
  <c r="BI91"/>
  <c r="BK91" s="1"/>
  <c r="BB91"/>
  <c r="BD91" s="1"/>
  <c r="AX91"/>
  <c r="AY91" s="1"/>
  <c r="AQ91"/>
  <c r="AR91" s="1"/>
  <c r="AL91"/>
  <c r="AM91" s="1"/>
  <c r="AG91"/>
  <c r="AA91"/>
  <c r="AB91" s="1"/>
  <c r="V91"/>
  <c r="W91" s="1"/>
  <c r="Q91"/>
  <c r="DA90"/>
  <c r="DC90" s="1"/>
  <c r="CU90"/>
  <c r="CN90"/>
  <c r="CI90"/>
  <c r="CJ90" s="1"/>
  <c r="CB90"/>
  <c r="CD90" s="1"/>
  <c r="BW90"/>
  <c r="BX90" s="1"/>
  <c r="BR90"/>
  <c r="BS90" s="1"/>
  <c r="BI90"/>
  <c r="BK90" s="1"/>
  <c r="BB90"/>
  <c r="BD90" s="1"/>
  <c r="AX90"/>
  <c r="AY90" s="1"/>
  <c r="AQ90"/>
  <c r="AR90" s="1"/>
  <c r="AL90"/>
  <c r="AM90" s="1"/>
  <c r="AG90"/>
  <c r="AA90"/>
  <c r="AB90" s="1"/>
  <c r="V90"/>
  <c r="W90" s="1"/>
  <c r="Q90"/>
  <c r="DA89"/>
  <c r="DC89" s="1"/>
  <c r="CU89"/>
  <c r="CN89"/>
  <c r="CI89"/>
  <c r="CJ89" s="1"/>
  <c r="CB89"/>
  <c r="CD89" s="1"/>
  <c r="BW89"/>
  <c r="BX89" s="1"/>
  <c r="BR89"/>
  <c r="BS89" s="1"/>
  <c r="BI89"/>
  <c r="BK89" s="1"/>
  <c r="BB89"/>
  <c r="BD89" s="1"/>
  <c r="AX89"/>
  <c r="AY89" s="1"/>
  <c r="AQ89"/>
  <c r="AR89" s="1"/>
  <c r="AL89"/>
  <c r="AM89" s="1"/>
  <c r="AG89"/>
  <c r="AA89"/>
  <c r="AB89" s="1"/>
  <c r="V89"/>
  <c r="W89" s="1"/>
  <c r="Q89"/>
  <c r="DA88"/>
  <c r="DC88" s="1"/>
  <c r="CU88"/>
  <c r="CN88"/>
  <c r="CI88"/>
  <c r="CJ88" s="1"/>
  <c r="CB88"/>
  <c r="BW88"/>
  <c r="BX88" s="1"/>
  <c r="BR88"/>
  <c r="BS88" s="1"/>
  <c r="BI88"/>
  <c r="BJ88" s="1"/>
  <c r="BL88" s="1"/>
  <c r="BB88"/>
  <c r="BC88" s="1"/>
  <c r="AX88"/>
  <c r="AY88" s="1"/>
  <c r="AQ88"/>
  <c r="AR88" s="1"/>
  <c r="AL88"/>
  <c r="AM88" s="1"/>
  <c r="AG88"/>
  <c r="AH88" s="1"/>
  <c r="AA88"/>
  <c r="AB88" s="1"/>
  <c r="V88"/>
  <c r="W88" s="1"/>
  <c r="Q88"/>
  <c r="R88" s="1"/>
  <c r="DA87"/>
  <c r="DB87" s="1"/>
  <c r="DD87" s="1"/>
  <c r="CU87"/>
  <c r="CV87" s="1"/>
  <c r="CX87" s="1"/>
  <c r="CN87"/>
  <c r="CO87" s="1"/>
  <c r="CI87"/>
  <c r="CJ87" s="1"/>
  <c r="CB87"/>
  <c r="CC87" s="1"/>
  <c r="BW87"/>
  <c r="BX87" s="1"/>
  <c r="BR87"/>
  <c r="BS87" s="1"/>
  <c r="BI87"/>
  <c r="BJ87" s="1"/>
  <c r="BL87" s="1"/>
  <c r="BB87"/>
  <c r="BC87" s="1"/>
  <c r="AX87"/>
  <c r="AY87" s="1"/>
  <c r="AQ87"/>
  <c r="AR87" s="1"/>
  <c r="AL87"/>
  <c r="AM87" s="1"/>
  <c r="AG87"/>
  <c r="AH87" s="1"/>
  <c r="AA87"/>
  <c r="AB87" s="1"/>
  <c r="V87"/>
  <c r="W87" s="1"/>
  <c r="Q87"/>
  <c r="R87" s="1"/>
  <c r="DA86"/>
  <c r="DB86" s="1"/>
  <c r="DD86" s="1"/>
  <c r="CU86"/>
  <c r="CV86" s="1"/>
  <c r="CX86" s="1"/>
  <c r="CN86"/>
  <c r="CO86" s="1"/>
  <c r="CI86"/>
  <c r="CJ86" s="1"/>
  <c r="CB86"/>
  <c r="CC86" s="1"/>
  <c r="BW86"/>
  <c r="BX86" s="1"/>
  <c r="BR86"/>
  <c r="BS86" s="1"/>
  <c r="BI86"/>
  <c r="BJ86" s="1"/>
  <c r="BL86" s="1"/>
  <c r="BB86"/>
  <c r="BC86" s="1"/>
  <c r="AX86"/>
  <c r="AY86" s="1"/>
  <c r="AQ86"/>
  <c r="AR86" s="1"/>
  <c r="AL86"/>
  <c r="AM86" s="1"/>
  <c r="AG86"/>
  <c r="AH86" s="1"/>
  <c r="AA86"/>
  <c r="AB86" s="1"/>
  <c r="V86"/>
  <c r="W86" s="1"/>
  <c r="Q86"/>
  <c r="R86" s="1"/>
  <c r="DA85"/>
  <c r="DB85" s="1"/>
  <c r="DD85" s="1"/>
  <c r="CU85"/>
  <c r="CV85" s="1"/>
  <c r="CX85" s="1"/>
  <c r="CN85"/>
  <c r="CO85" s="1"/>
  <c r="CI85"/>
  <c r="CJ85" s="1"/>
  <c r="CB85"/>
  <c r="CC85" s="1"/>
  <c r="BW85"/>
  <c r="BX85" s="1"/>
  <c r="BR85"/>
  <c r="BS85" s="1"/>
  <c r="BI85"/>
  <c r="BJ85" s="1"/>
  <c r="BL85" s="1"/>
  <c r="BB85"/>
  <c r="BC85" s="1"/>
  <c r="AX85"/>
  <c r="AY85" s="1"/>
  <c r="AQ85"/>
  <c r="AR85" s="1"/>
  <c r="AL85"/>
  <c r="AM85" s="1"/>
  <c r="AG85"/>
  <c r="AH85" s="1"/>
  <c r="AA85"/>
  <c r="AB85" s="1"/>
  <c r="V85"/>
  <c r="W85" s="1"/>
  <c r="Q85"/>
  <c r="DA84"/>
  <c r="DB84" s="1"/>
  <c r="DD84" s="1"/>
  <c r="CU84"/>
  <c r="CV84" s="1"/>
  <c r="CX84" s="1"/>
  <c r="CN84"/>
  <c r="CO84" s="1"/>
  <c r="CI84"/>
  <c r="CJ84" s="1"/>
  <c r="CB84"/>
  <c r="CC84" s="1"/>
  <c r="BW84"/>
  <c r="BX84" s="1"/>
  <c r="BR84"/>
  <c r="BS84" s="1"/>
  <c r="BI84"/>
  <c r="BJ84" s="1"/>
  <c r="BL84" s="1"/>
  <c r="BB84"/>
  <c r="BC84" s="1"/>
  <c r="AX84"/>
  <c r="AY84" s="1"/>
  <c r="AQ84"/>
  <c r="AL84"/>
  <c r="AM84" s="1"/>
  <c r="AG84"/>
  <c r="AH84" s="1"/>
  <c r="AA84"/>
  <c r="AB84" s="1"/>
  <c r="V84"/>
  <c r="W84" s="1"/>
  <c r="Q84"/>
  <c r="R84" s="1"/>
  <c r="DA83"/>
  <c r="DB83" s="1"/>
  <c r="DD83" s="1"/>
  <c r="CU83"/>
  <c r="CV83" s="1"/>
  <c r="CX83" s="1"/>
  <c r="CN83"/>
  <c r="CO83" s="1"/>
  <c r="CI83"/>
  <c r="CJ83" s="1"/>
  <c r="CB83"/>
  <c r="CC83" s="1"/>
  <c r="BW83"/>
  <c r="BX83" s="1"/>
  <c r="BR83"/>
  <c r="BS83" s="1"/>
  <c r="BI83"/>
  <c r="BJ83" s="1"/>
  <c r="BL83" s="1"/>
  <c r="BB83"/>
  <c r="BC83" s="1"/>
  <c r="AX83"/>
  <c r="AY83" s="1"/>
  <c r="AQ83"/>
  <c r="AR83" s="1"/>
  <c r="AL83"/>
  <c r="AM83" s="1"/>
  <c r="AG83"/>
  <c r="AH83" s="1"/>
  <c r="AA83"/>
  <c r="AB83" s="1"/>
  <c r="V83"/>
  <c r="W83" s="1"/>
  <c r="Q83"/>
  <c r="R83" s="1"/>
  <c r="DA82"/>
  <c r="DB82" s="1"/>
  <c r="DD82" s="1"/>
  <c r="CU82"/>
  <c r="CV82" s="1"/>
  <c r="CX82" s="1"/>
  <c r="CN82"/>
  <c r="CO82" s="1"/>
  <c r="CI82"/>
  <c r="CJ82" s="1"/>
  <c r="CB82"/>
  <c r="CC82" s="1"/>
  <c r="BW82"/>
  <c r="BX82" s="1"/>
  <c r="BR82"/>
  <c r="BS82" s="1"/>
  <c r="BI82"/>
  <c r="BJ82" s="1"/>
  <c r="BL82" s="1"/>
  <c r="BB82"/>
  <c r="BC82" s="1"/>
  <c r="AX82"/>
  <c r="AY82" s="1"/>
  <c r="AQ82"/>
  <c r="AR82" s="1"/>
  <c r="AL82"/>
  <c r="AM82" s="1"/>
  <c r="AG82"/>
  <c r="AH82" s="1"/>
  <c r="AA82"/>
  <c r="AB82" s="1"/>
  <c r="V82"/>
  <c r="W82" s="1"/>
  <c r="Q82"/>
  <c r="R82" s="1"/>
  <c r="DA81"/>
  <c r="DB81" s="1"/>
  <c r="DD81" s="1"/>
  <c r="CU81"/>
  <c r="CV81" s="1"/>
  <c r="CX81" s="1"/>
  <c r="CN81"/>
  <c r="CO81" s="1"/>
  <c r="CI81"/>
  <c r="CJ81" s="1"/>
  <c r="CB81"/>
  <c r="CC81" s="1"/>
  <c r="BW81"/>
  <c r="BX81" s="1"/>
  <c r="BR81"/>
  <c r="BS81" s="1"/>
  <c r="BI81"/>
  <c r="BJ81" s="1"/>
  <c r="BL81" s="1"/>
  <c r="BB81"/>
  <c r="BC81" s="1"/>
  <c r="AX81"/>
  <c r="AY81" s="1"/>
  <c r="AQ81"/>
  <c r="AR81" s="1"/>
  <c r="AL81"/>
  <c r="AM81" s="1"/>
  <c r="AG81"/>
  <c r="AH81" s="1"/>
  <c r="AA81"/>
  <c r="AB81" s="1"/>
  <c r="V81"/>
  <c r="W81" s="1"/>
  <c r="Q81"/>
  <c r="R81" s="1"/>
  <c r="DA80"/>
  <c r="DB80" s="1"/>
  <c r="DD80" s="1"/>
  <c r="CU80"/>
  <c r="CV80" s="1"/>
  <c r="CX80" s="1"/>
  <c r="CN80"/>
  <c r="CO80" s="1"/>
  <c r="CI80"/>
  <c r="CJ80" s="1"/>
  <c r="CB80"/>
  <c r="CC80" s="1"/>
  <c r="BW80"/>
  <c r="BX80" s="1"/>
  <c r="BR80"/>
  <c r="BS80" s="1"/>
  <c r="BI80"/>
  <c r="BJ80" s="1"/>
  <c r="BL80" s="1"/>
  <c r="BB80"/>
  <c r="BC80" s="1"/>
  <c r="AX80"/>
  <c r="AY80" s="1"/>
  <c r="AQ80"/>
  <c r="AR80" s="1"/>
  <c r="AL80"/>
  <c r="AM80" s="1"/>
  <c r="AG80"/>
  <c r="AH80" s="1"/>
  <c r="AA80"/>
  <c r="AB80" s="1"/>
  <c r="V80"/>
  <c r="W80" s="1"/>
  <c r="Q80"/>
  <c r="R80" s="1"/>
  <c r="DA79"/>
  <c r="DB79" s="1"/>
  <c r="DD79" s="1"/>
  <c r="CU79"/>
  <c r="CV79" s="1"/>
  <c r="CX79" s="1"/>
  <c r="CN79"/>
  <c r="CO79" s="1"/>
  <c r="CI79"/>
  <c r="CJ79" s="1"/>
  <c r="CB79"/>
  <c r="CC79" s="1"/>
  <c r="BW79"/>
  <c r="BX79" s="1"/>
  <c r="BR79"/>
  <c r="BS79" s="1"/>
  <c r="BI79"/>
  <c r="BJ79" s="1"/>
  <c r="BL79" s="1"/>
  <c r="BB79"/>
  <c r="BC79" s="1"/>
  <c r="AX79"/>
  <c r="AY79" s="1"/>
  <c r="AQ79"/>
  <c r="AR79" s="1"/>
  <c r="AL79"/>
  <c r="AM79" s="1"/>
  <c r="AG79"/>
  <c r="AH79" s="1"/>
  <c r="AA79"/>
  <c r="AB79" s="1"/>
  <c r="V79"/>
  <c r="W79" s="1"/>
  <c r="Q79"/>
  <c r="R79" s="1"/>
  <c r="DA78"/>
  <c r="DB78" s="1"/>
  <c r="DD78" s="1"/>
  <c r="CU78"/>
  <c r="CV78" s="1"/>
  <c r="CX78" s="1"/>
  <c r="CN78"/>
  <c r="CO78" s="1"/>
  <c r="CI78"/>
  <c r="CJ78" s="1"/>
  <c r="CB78"/>
  <c r="CC78" s="1"/>
  <c r="BW78"/>
  <c r="BX78" s="1"/>
  <c r="BR78"/>
  <c r="BS78" s="1"/>
  <c r="BI78"/>
  <c r="BJ78" s="1"/>
  <c r="BL78" s="1"/>
  <c r="BB78"/>
  <c r="BC78" s="1"/>
  <c r="AX78"/>
  <c r="AY78" s="1"/>
  <c r="AQ78"/>
  <c r="AR78" s="1"/>
  <c r="AL78"/>
  <c r="AM78" s="1"/>
  <c r="AG78"/>
  <c r="AH78" s="1"/>
  <c r="AA78"/>
  <c r="AB78" s="1"/>
  <c r="V78"/>
  <c r="W78" s="1"/>
  <c r="Q78"/>
  <c r="R78" s="1"/>
  <c r="DA77"/>
  <c r="DB77" s="1"/>
  <c r="DD77" s="1"/>
  <c r="CU77"/>
  <c r="CV77" s="1"/>
  <c r="CX77" s="1"/>
  <c r="CN77"/>
  <c r="CO77" s="1"/>
  <c r="CI77"/>
  <c r="CJ77" s="1"/>
  <c r="CB77"/>
  <c r="CC77" s="1"/>
  <c r="BW77"/>
  <c r="BX77" s="1"/>
  <c r="BR77"/>
  <c r="BS77" s="1"/>
  <c r="BI77"/>
  <c r="BJ77" s="1"/>
  <c r="BL77" s="1"/>
  <c r="BB77"/>
  <c r="BC77" s="1"/>
  <c r="AX77"/>
  <c r="AY77" s="1"/>
  <c r="AQ77"/>
  <c r="AR77" s="1"/>
  <c r="AL77"/>
  <c r="AM77" s="1"/>
  <c r="AG77"/>
  <c r="AH77" s="1"/>
  <c r="AA77"/>
  <c r="AB77" s="1"/>
  <c r="V77"/>
  <c r="W77" s="1"/>
  <c r="Q77"/>
  <c r="R77" s="1"/>
  <c r="DA76"/>
  <c r="DB76" s="1"/>
  <c r="DD76" s="1"/>
  <c r="CU76"/>
  <c r="CV76" s="1"/>
  <c r="CX76" s="1"/>
  <c r="CN76"/>
  <c r="CO76" s="1"/>
  <c r="CI76"/>
  <c r="CJ76" s="1"/>
  <c r="CB76"/>
  <c r="CC76" s="1"/>
  <c r="BW76"/>
  <c r="BX76" s="1"/>
  <c r="BR76"/>
  <c r="BS76" s="1"/>
  <c r="BI76"/>
  <c r="BK76" s="1"/>
  <c r="BB76"/>
  <c r="AX76"/>
  <c r="AY76" s="1"/>
  <c r="AQ76"/>
  <c r="AR76" s="1"/>
  <c r="AL76"/>
  <c r="AM76" s="1"/>
  <c r="AG76"/>
  <c r="AA76"/>
  <c r="AB76" s="1"/>
  <c r="V76"/>
  <c r="W76" s="1"/>
  <c r="Q76"/>
  <c r="DA75"/>
  <c r="DC75" s="1"/>
  <c r="CU75"/>
  <c r="CN75"/>
  <c r="CI75"/>
  <c r="CJ75" s="1"/>
  <c r="CB75"/>
  <c r="BW75"/>
  <c r="BX75" s="1"/>
  <c r="BR75"/>
  <c r="BS75" s="1"/>
  <c r="BI75"/>
  <c r="BK75" s="1"/>
  <c r="BB75"/>
  <c r="AX75"/>
  <c r="AY75" s="1"/>
  <c r="AQ75"/>
  <c r="AR75" s="1"/>
  <c r="AL75"/>
  <c r="AM75" s="1"/>
  <c r="AG75"/>
  <c r="AA75"/>
  <c r="AB75" s="1"/>
  <c r="V75"/>
  <c r="W75" s="1"/>
  <c r="Q75"/>
  <c r="DA74"/>
  <c r="DC74" s="1"/>
  <c r="CU74"/>
  <c r="CN74"/>
  <c r="CI74"/>
  <c r="CJ74" s="1"/>
  <c r="CB74"/>
  <c r="BW74"/>
  <c r="BX74" s="1"/>
  <c r="BR74"/>
  <c r="BS74" s="1"/>
  <c r="BI74"/>
  <c r="BK74" s="1"/>
  <c r="BB74"/>
  <c r="AX74"/>
  <c r="AY74" s="1"/>
  <c r="AQ74"/>
  <c r="AR74" s="1"/>
  <c r="AL74"/>
  <c r="AM74" s="1"/>
  <c r="AG74"/>
  <c r="AA74"/>
  <c r="AB74" s="1"/>
  <c r="V74"/>
  <c r="W74" s="1"/>
  <c r="Q74"/>
  <c r="DA73"/>
  <c r="DC73" s="1"/>
  <c r="CU73"/>
  <c r="CN73"/>
  <c r="CI73"/>
  <c r="CJ73" s="1"/>
  <c r="CB73"/>
  <c r="BW73"/>
  <c r="BX73" s="1"/>
  <c r="BR73"/>
  <c r="BS73" s="1"/>
  <c r="BI73"/>
  <c r="BK73" s="1"/>
  <c r="BB73"/>
  <c r="AX73"/>
  <c r="AY73" s="1"/>
  <c r="AQ73"/>
  <c r="AR73" s="1"/>
  <c r="AL73"/>
  <c r="AM73" s="1"/>
  <c r="AG73"/>
  <c r="AA73"/>
  <c r="AB73" s="1"/>
  <c r="V73"/>
  <c r="W73" s="1"/>
  <c r="Q73"/>
  <c r="DA72"/>
  <c r="DC72" s="1"/>
  <c r="CU72"/>
  <c r="CN72"/>
  <c r="CI72"/>
  <c r="CJ72" s="1"/>
  <c r="CB72"/>
  <c r="BW72"/>
  <c r="BX72" s="1"/>
  <c r="BR72"/>
  <c r="BS72" s="1"/>
  <c r="BI72"/>
  <c r="BK72" s="1"/>
  <c r="BB72"/>
  <c r="AX72"/>
  <c r="AY72" s="1"/>
  <c r="AQ72"/>
  <c r="AR72" s="1"/>
  <c r="AL72"/>
  <c r="AM72" s="1"/>
  <c r="AG72"/>
  <c r="AA72"/>
  <c r="AB72" s="1"/>
  <c r="V72"/>
  <c r="W72" s="1"/>
  <c r="Q72"/>
  <c r="DA71"/>
  <c r="DC71" s="1"/>
  <c r="CU71"/>
  <c r="CN71"/>
  <c r="CI71"/>
  <c r="CJ71" s="1"/>
  <c r="CB71"/>
  <c r="BW71"/>
  <c r="BX71" s="1"/>
  <c r="BR71"/>
  <c r="BS71" s="1"/>
  <c r="BI71"/>
  <c r="BK71" s="1"/>
  <c r="BB71"/>
  <c r="AX71"/>
  <c r="AY71" s="1"/>
  <c r="AQ71"/>
  <c r="AR71" s="1"/>
  <c r="AL71"/>
  <c r="AM71" s="1"/>
  <c r="AG71"/>
  <c r="AA71"/>
  <c r="AB71" s="1"/>
  <c r="V71"/>
  <c r="W71" s="1"/>
  <c r="Q71"/>
  <c r="DA70"/>
  <c r="DC70" s="1"/>
  <c r="CU70"/>
  <c r="CN70"/>
  <c r="CI70"/>
  <c r="CJ70" s="1"/>
  <c r="CB70"/>
  <c r="BW70"/>
  <c r="BX70" s="1"/>
  <c r="BR70"/>
  <c r="BS70" s="1"/>
  <c r="BI70"/>
  <c r="BK70" s="1"/>
  <c r="BB70"/>
  <c r="AX70"/>
  <c r="AY70" s="1"/>
  <c r="AQ70"/>
  <c r="AR70" s="1"/>
  <c r="AL70"/>
  <c r="AM70" s="1"/>
  <c r="AG70"/>
  <c r="AA70"/>
  <c r="AB70" s="1"/>
  <c r="V70"/>
  <c r="W70" s="1"/>
  <c r="Q70"/>
  <c r="DA69"/>
  <c r="DC69" s="1"/>
  <c r="CU69"/>
  <c r="CN69"/>
  <c r="CI69"/>
  <c r="CJ69" s="1"/>
  <c r="CB69"/>
  <c r="BW69"/>
  <c r="BX69" s="1"/>
  <c r="BR69"/>
  <c r="BS69" s="1"/>
  <c r="BI69"/>
  <c r="BK69" s="1"/>
  <c r="BB69"/>
  <c r="AX69"/>
  <c r="AY69" s="1"/>
  <c r="AQ69"/>
  <c r="AR69" s="1"/>
  <c r="AL69"/>
  <c r="AM69" s="1"/>
  <c r="AG69"/>
  <c r="AA69"/>
  <c r="AB69" s="1"/>
  <c r="V69"/>
  <c r="W69" s="1"/>
  <c r="Q69"/>
  <c r="DA68"/>
  <c r="DC68" s="1"/>
  <c r="CU68"/>
  <c r="CN68"/>
  <c r="CI68"/>
  <c r="CJ68" s="1"/>
  <c r="CB68"/>
  <c r="BW68"/>
  <c r="BX68" s="1"/>
  <c r="BR68"/>
  <c r="BS68" s="1"/>
  <c r="BI68"/>
  <c r="BK68" s="1"/>
  <c r="BB68"/>
  <c r="AX68"/>
  <c r="AY68" s="1"/>
  <c r="AQ68"/>
  <c r="AR68" s="1"/>
  <c r="AL68"/>
  <c r="AM68" s="1"/>
  <c r="AG68"/>
  <c r="AA68"/>
  <c r="AB68" s="1"/>
  <c r="V68"/>
  <c r="W68" s="1"/>
  <c r="Q68"/>
  <c r="DA67"/>
  <c r="DC67" s="1"/>
  <c r="CU67"/>
  <c r="CN67"/>
  <c r="CI67"/>
  <c r="CJ67" s="1"/>
  <c r="CB67"/>
  <c r="BW67"/>
  <c r="BX67" s="1"/>
  <c r="BR67"/>
  <c r="BS67" s="1"/>
  <c r="BI67"/>
  <c r="BK67" s="1"/>
  <c r="BB67"/>
  <c r="AX67"/>
  <c r="AY67" s="1"/>
  <c r="AQ67"/>
  <c r="AR67" s="1"/>
  <c r="AL67"/>
  <c r="AM67" s="1"/>
  <c r="AG67"/>
  <c r="AA67"/>
  <c r="AB67" s="1"/>
  <c r="V67"/>
  <c r="W67" s="1"/>
  <c r="Q67"/>
  <c r="DA66"/>
  <c r="DC66" s="1"/>
  <c r="CU66"/>
  <c r="CN66"/>
  <c r="CI66"/>
  <c r="CJ66" s="1"/>
  <c r="CB66"/>
  <c r="BW66"/>
  <c r="BX66" s="1"/>
  <c r="BR66"/>
  <c r="BS66" s="1"/>
  <c r="BI66"/>
  <c r="BK66" s="1"/>
  <c r="BB66"/>
  <c r="AX66"/>
  <c r="AY66" s="1"/>
  <c r="AQ66"/>
  <c r="AR66" s="1"/>
  <c r="AL66"/>
  <c r="AM66" s="1"/>
  <c r="AG66"/>
  <c r="AA66"/>
  <c r="AB66" s="1"/>
  <c r="V66"/>
  <c r="W66" s="1"/>
  <c r="Q66"/>
  <c r="DA65"/>
  <c r="DC65" s="1"/>
  <c r="CU65"/>
  <c r="CN65"/>
  <c r="CI65"/>
  <c r="CJ65" s="1"/>
  <c r="CB65"/>
  <c r="BW65"/>
  <c r="BX65" s="1"/>
  <c r="BR65"/>
  <c r="BS65" s="1"/>
  <c r="BI65"/>
  <c r="BK65" s="1"/>
  <c r="BB65"/>
  <c r="AX65"/>
  <c r="AY65" s="1"/>
  <c r="AQ65"/>
  <c r="AR65" s="1"/>
  <c r="AL65"/>
  <c r="AM65" s="1"/>
  <c r="AG65"/>
  <c r="AA65"/>
  <c r="AB65" s="1"/>
  <c r="V65"/>
  <c r="W65" s="1"/>
  <c r="Q65"/>
  <c r="DA64"/>
  <c r="DC64" s="1"/>
  <c r="CU64"/>
  <c r="CN64"/>
  <c r="CI64"/>
  <c r="CJ64" s="1"/>
  <c r="CB64"/>
  <c r="BW64"/>
  <c r="BX64" s="1"/>
  <c r="BR64"/>
  <c r="BS64" s="1"/>
  <c r="BI64"/>
  <c r="BK64" s="1"/>
  <c r="BB64"/>
  <c r="AX64"/>
  <c r="AY64" s="1"/>
  <c r="AQ64"/>
  <c r="AR64" s="1"/>
  <c r="AL64"/>
  <c r="AM64" s="1"/>
  <c r="AG64"/>
  <c r="AA64"/>
  <c r="AB64" s="1"/>
  <c r="V64"/>
  <c r="W64" s="1"/>
  <c r="Q64"/>
  <c r="DA63"/>
  <c r="DB63" s="1"/>
  <c r="DD63" s="1"/>
  <c r="CU63"/>
  <c r="CV63" s="1"/>
  <c r="CX63" s="1"/>
  <c r="CN63"/>
  <c r="CO63" s="1"/>
  <c r="CI63"/>
  <c r="CJ63" s="1"/>
  <c r="CB63"/>
  <c r="CC63" s="1"/>
  <c r="BW63"/>
  <c r="BX63" s="1"/>
  <c r="BR63"/>
  <c r="BS63" s="1"/>
  <c r="BI63"/>
  <c r="BJ63" s="1"/>
  <c r="BL63" s="1"/>
  <c r="BB63"/>
  <c r="BC63" s="1"/>
  <c r="AX63"/>
  <c r="AY63" s="1"/>
  <c r="AQ63"/>
  <c r="AR63" s="1"/>
  <c r="AL63"/>
  <c r="AM63" s="1"/>
  <c r="AG63"/>
  <c r="AH63" s="1"/>
  <c r="AA63"/>
  <c r="AB63" s="1"/>
  <c r="V63"/>
  <c r="W63" s="1"/>
  <c r="Q63"/>
  <c r="R63" s="1"/>
  <c r="DB62"/>
  <c r="DD62" s="1"/>
  <c r="CU62"/>
  <c r="CV62" s="1"/>
  <c r="CX62" s="1"/>
  <c r="CN62"/>
  <c r="CO62" s="1"/>
  <c r="CI62"/>
  <c r="CJ62" s="1"/>
  <c r="CB62"/>
  <c r="CC62" s="1"/>
  <c r="BW62"/>
  <c r="BX62" s="1"/>
  <c r="BR62"/>
  <c r="BS62" s="1"/>
  <c r="BI62"/>
  <c r="BJ62" s="1"/>
  <c r="BL62" s="1"/>
  <c r="BB62"/>
  <c r="BC62" s="1"/>
  <c r="AX62"/>
  <c r="AY62" s="1"/>
  <c r="AQ62"/>
  <c r="AR62" s="1"/>
  <c r="AL62"/>
  <c r="AM62" s="1"/>
  <c r="AG62"/>
  <c r="AH62" s="1"/>
  <c r="AA62"/>
  <c r="AB62" s="1"/>
  <c r="V62"/>
  <c r="W62" s="1"/>
  <c r="Q62"/>
  <c r="R62" s="1"/>
  <c r="DA61"/>
  <c r="DB61" s="1"/>
  <c r="DD61" s="1"/>
  <c r="CU61"/>
  <c r="CV61" s="1"/>
  <c r="CX61" s="1"/>
  <c r="CN61"/>
  <c r="CO61" s="1"/>
  <c r="CI61"/>
  <c r="CJ61" s="1"/>
  <c r="CB61"/>
  <c r="CC61" s="1"/>
  <c r="BW61"/>
  <c r="BX61" s="1"/>
  <c r="BR61"/>
  <c r="BS61" s="1"/>
  <c r="BI61"/>
  <c r="BJ61" s="1"/>
  <c r="BL61" s="1"/>
  <c r="BB61"/>
  <c r="BC61" s="1"/>
  <c r="AX61"/>
  <c r="AY61" s="1"/>
  <c r="AQ61"/>
  <c r="AR61" s="1"/>
  <c r="AL61"/>
  <c r="AM61" s="1"/>
  <c r="AG61"/>
  <c r="AH61" s="1"/>
  <c r="AA61"/>
  <c r="AB61" s="1"/>
  <c r="V61"/>
  <c r="W61" s="1"/>
  <c r="Q61"/>
  <c r="R61" s="1"/>
  <c r="DA60"/>
  <c r="DB60" s="1"/>
  <c r="DD60" s="1"/>
  <c r="CU60"/>
  <c r="CV60" s="1"/>
  <c r="CX60" s="1"/>
  <c r="CN60"/>
  <c r="CO60" s="1"/>
  <c r="CI60"/>
  <c r="CJ60" s="1"/>
  <c r="CB60"/>
  <c r="CC60" s="1"/>
  <c r="BW60"/>
  <c r="BX60" s="1"/>
  <c r="BR60"/>
  <c r="BS60" s="1"/>
  <c r="BI60"/>
  <c r="BJ60" s="1"/>
  <c r="BL60" s="1"/>
  <c r="BB60"/>
  <c r="BC60" s="1"/>
  <c r="AX60"/>
  <c r="AY60" s="1"/>
  <c r="AQ60"/>
  <c r="AR60" s="1"/>
  <c r="AL60"/>
  <c r="AM60" s="1"/>
  <c r="AG60"/>
  <c r="AH60" s="1"/>
  <c r="AA60"/>
  <c r="AB60" s="1"/>
  <c r="V60"/>
  <c r="W60" s="1"/>
  <c r="Q60"/>
  <c r="R60" s="1"/>
  <c r="DA59"/>
  <c r="DB59" s="1"/>
  <c r="DD59" s="1"/>
  <c r="CU59"/>
  <c r="CV59" s="1"/>
  <c r="CX59" s="1"/>
  <c r="CN59"/>
  <c r="CO59" s="1"/>
  <c r="CI59"/>
  <c r="CJ59" s="1"/>
  <c r="CB59"/>
  <c r="CC59" s="1"/>
  <c r="BW59"/>
  <c r="BX59" s="1"/>
  <c r="BR59"/>
  <c r="BS59" s="1"/>
  <c r="BI59"/>
  <c r="BJ59" s="1"/>
  <c r="BL59" s="1"/>
  <c r="BB59"/>
  <c r="BC59" s="1"/>
  <c r="AX59"/>
  <c r="AY59" s="1"/>
  <c r="AQ59"/>
  <c r="AR59" s="1"/>
  <c r="AL59"/>
  <c r="AM59" s="1"/>
  <c r="AG59"/>
  <c r="AH59" s="1"/>
  <c r="AA59"/>
  <c r="AB59" s="1"/>
  <c r="V59"/>
  <c r="W59" s="1"/>
  <c r="Q59"/>
  <c r="R59" s="1"/>
  <c r="DA58"/>
  <c r="DB58" s="1"/>
  <c r="DD58" s="1"/>
  <c r="CU58"/>
  <c r="CV58" s="1"/>
  <c r="CX58" s="1"/>
  <c r="CN58"/>
  <c r="CO58" s="1"/>
  <c r="CI58"/>
  <c r="CJ58" s="1"/>
  <c r="CB58"/>
  <c r="CC58" s="1"/>
  <c r="BW58"/>
  <c r="BX58" s="1"/>
  <c r="BR58"/>
  <c r="BS58" s="1"/>
  <c r="BI58"/>
  <c r="BJ58" s="1"/>
  <c r="BL58" s="1"/>
  <c r="BB58"/>
  <c r="BC58" s="1"/>
  <c r="AX58"/>
  <c r="AY58" s="1"/>
  <c r="AQ58"/>
  <c r="AR58" s="1"/>
  <c r="AL58"/>
  <c r="AM58" s="1"/>
  <c r="AG58"/>
  <c r="AH58" s="1"/>
  <c r="AA58"/>
  <c r="AB58" s="1"/>
  <c r="V58"/>
  <c r="W58" s="1"/>
  <c r="Q58"/>
  <c r="R58" s="1"/>
  <c r="DA57"/>
  <c r="DB57" s="1"/>
  <c r="DD57" s="1"/>
  <c r="CU57"/>
  <c r="CV57" s="1"/>
  <c r="CX57" s="1"/>
  <c r="CN57"/>
  <c r="CO57" s="1"/>
  <c r="CI57"/>
  <c r="CJ57" s="1"/>
  <c r="CB57"/>
  <c r="CC57" s="1"/>
  <c r="BW57"/>
  <c r="BX57" s="1"/>
  <c r="BR57"/>
  <c r="BS57" s="1"/>
  <c r="BI57"/>
  <c r="BJ57" s="1"/>
  <c r="BL57" s="1"/>
  <c r="BB57"/>
  <c r="AX57"/>
  <c r="AY57" s="1"/>
  <c r="AQ57"/>
  <c r="AR57" s="1"/>
  <c r="AL57"/>
  <c r="AM57" s="1"/>
  <c r="AG57"/>
  <c r="AA57"/>
  <c r="AB57" s="1"/>
  <c r="V57"/>
  <c r="W57" s="1"/>
  <c r="Q57"/>
  <c r="DA56"/>
  <c r="DC56" s="1"/>
  <c r="CU56"/>
  <c r="CN56"/>
  <c r="CI56"/>
  <c r="CJ56" s="1"/>
  <c r="CB56"/>
  <c r="BX56"/>
  <c r="BR56"/>
  <c r="BS56" s="1"/>
  <c r="BI56"/>
  <c r="BK56" s="1"/>
  <c r="BB56"/>
  <c r="AX56"/>
  <c r="AY56" s="1"/>
  <c r="AQ56"/>
  <c r="AR56" s="1"/>
  <c r="AL56"/>
  <c r="AM56" s="1"/>
  <c r="AG56"/>
  <c r="AA56"/>
  <c r="AB56" s="1"/>
  <c r="V56"/>
  <c r="W56" s="1"/>
  <c r="Q56"/>
  <c r="DA55"/>
  <c r="DC55" s="1"/>
  <c r="CU55"/>
  <c r="CN55"/>
  <c r="CI55"/>
  <c r="CJ55" s="1"/>
  <c r="CB55"/>
  <c r="BW55"/>
  <c r="BX55" s="1"/>
  <c r="BR55"/>
  <c r="BS55" s="1"/>
  <c r="BI55"/>
  <c r="BK55" s="1"/>
  <c r="BB55"/>
  <c r="AX55"/>
  <c r="AY55" s="1"/>
  <c r="AQ55"/>
  <c r="AR55" s="1"/>
  <c r="AL55"/>
  <c r="AM55" s="1"/>
  <c r="AG55"/>
  <c r="AA55"/>
  <c r="AB55" s="1"/>
  <c r="V55"/>
  <c r="W55" s="1"/>
  <c r="Q55"/>
  <c r="DA54"/>
  <c r="DC54" s="1"/>
  <c r="CU54"/>
  <c r="CN54"/>
  <c r="CI54"/>
  <c r="CJ54" s="1"/>
  <c r="CB54"/>
  <c r="BW54"/>
  <c r="BX54" s="1"/>
  <c r="BR54"/>
  <c r="BS54" s="1"/>
  <c r="BI54"/>
  <c r="BK54" s="1"/>
  <c r="BB54"/>
  <c r="AX54"/>
  <c r="AY54" s="1"/>
  <c r="AQ54"/>
  <c r="AR54" s="1"/>
  <c r="AL54"/>
  <c r="AM54" s="1"/>
  <c r="AG54"/>
  <c r="AA54"/>
  <c r="AB54" s="1"/>
  <c r="V54"/>
  <c r="W54" s="1"/>
  <c r="Q54"/>
  <c r="J29" i="12"/>
  <c r="I28"/>
  <c r="J27"/>
  <c r="J26"/>
  <c r="I25"/>
  <c r="I24"/>
  <c r="I23"/>
  <c r="I22"/>
  <c r="J21"/>
  <c r="I20"/>
  <c r="I19"/>
  <c r="J18"/>
  <c r="I17"/>
  <c r="J16"/>
  <c r="J15"/>
  <c r="J14"/>
  <c r="CV152" i="6" l="1"/>
  <c r="CW152" s="1"/>
  <c r="CX152" s="1"/>
  <c r="CV81"/>
  <c r="CW81" s="1"/>
  <c r="CX81" s="1"/>
  <c r="CV119"/>
  <c r="CW119" s="1"/>
  <c r="CX119" s="1"/>
  <c r="CV106"/>
  <c r="CW106" s="1"/>
  <c r="CX106" s="1"/>
  <c r="CV109"/>
  <c r="CW109" s="1"/>
  <c r="CX109" s="1"/>
  <c r="CV173"/>
  <c r="CW173" s="1"/>
  <c r="CX173" s="1"/>
  <c r="CV146"/>
  <c r="CW146" s="1"/>
  <c r="CX146" s="1"/>
  <c r="CV172"/>
  <c r="CW172" s="1"/>
  <c r="CX172" s="1"/>
  <c r="CV168"/>
  <c r="CW168" s="1"/>
  <c r="CX168" s="1"/>
  <c r="CV25"/>
  <c r="CW25" s="1"/>
  <c r="CX25" s="1"/>
  <c r="CV12"/>
  <c r="CW12" s="1"/>
  <c r="CX12" s="1"/>
  <c r="CT124"/>
  <c r="CV124" s="1"/>
  <c r="CW124" s="1"/>
  <c r="CX124" s="1"/>
  <c r="CV80"/>
  <c r="CW80" s="1"/>
  <c r="CX80" s="1"/>
  <c r="CT55"/>
  <c r="CV55" s="1"/>
  <c r="CW55" s="1"/>
  <c r="CX55" s="1"/>
  <c r="CT163"/>
  <c r="CV163" s="1"/>
  <c r="CW163" s="1"/>
  <c r="CX163" s="1"/>
  <c r="CT103"/>
  <c r="CV103" s="1"/>
  <c r="CW103" s="1"/>
  <c r="CX103" s="1"/>
  <c r="CR159"/>
  <c r="CV159" s="1"/>
  <c r="CW159" s="1"/>
  <c r="CX159" s="1"/>
  <c r="CT151"/>
  <c r="CV151" s="1"/>
  <c r="CW151" s="1"/>
  <c r="CX151" s="1"/>
  <c r="CR143"/>
  <c r="CV143" s="1"/>
  <c r="CW143" s="1"/>
  <c r="CX143" s="1"/>
  <c r="CR116"/>
  <c r="CV116" s="1"/>
  <c r="CW116" s="1"/>
  <c r="CX116" s="1"/>
  <c r="CR114"/>
  <c r="CV114" s="1"/>
  <c r="CW114" s="1"/>
  <c r="CX114" s="1"/>
  <c r="CV105"/>
  <c r="CW105" s="1"/>
  <c r="CX105" s="1"/>
  <c r="CV21"/>
  <c r="CW21" s="1"/>
  <c r="CX21" s="1"/>
  <c r="CV16"/>
  <c r="CW16" s="1"/>
  <c r="CX16" s="1"/>
  <c r="CR112"/>
  <c r="CV112" s="1"/>
  <c r="CW112" s="1"/>
  <c r="CX112" s="1"/>
  <c r="CR104"/>
  <c r="CR79"/>
  <c r="CV79" s="1"/>
  <c r="CW79" s="1"/>
  <c r="CX79" s="1"/>
  <c r="CV11"/>
  <c r="CW11" s="1"/>
  <c r="CX11" s="1"/>
  <c r="CR120"/>
  <c r="CV120" s="1"/>
  <c r="CW120" s="1"/>
  <c r="CX120" s="1"/>
  <c r="CV30"/>
  <c r="CW30" s="1"/>
  <c r="CX30" s="1"/>
  <c r="CR147"/>
  <c r="CV147" s="1"/>
  <c r="CW147" s="1"/>
  <c r="CX147" s="1"/>
  <c r="CV169"/>
  <c r="CW169" s="1"/>
  <c r="CX169" s="1"/>
  <c r="CV14"/>
  <c r="CW14" s="1"/>
  <c r="CX14" s="1"/>
  <c r="CV86"/>
  <c r="CW86" s="1"/>
  <c r="CX86" s="1"/>
  <c r="CV160"/>
  <c r="CW160" s="1"/>
  <c r="CX160" s="1"/>
  <c r="CV35"/>
  <c r="CW35" s="1"/>
  <c r="CX35" s="1"/>
  <c r="CV22"/>
  <c r="CW22" s="1"/>
  <c r="CX22" s="1"/>
  <c r="CV102"/>
  <c r="CW102" s="1"/>
  <c r="CX102" s="1"/>
  <c r="CV176"/>
  <c r="CW176" s="1"/>
  <c r="CX176" s="1"/>
  <c r="CV170"/>
  <c r="CW170" s="1"/>
  <c r="CX170" s="1"/>
  <c r="CV144"/>
  <c r="CW144" s="1"/>
  <c r="CX144" s="1"/>
  <c r="CV68"/>
  <c r="CW68" s="1"/>
  <c r="CX68" s="1"/>
  <c r="CV107"/>
  <c r="CW107" s="1"/>
  <c r="CX107" s="1"/>
  <c r="CV69"/>
  <c r="CW69" s="1"/>
  <c r="CX69" s="1"/>
  <c r="CV64"/>
  <c r="CW64" s="1"/>
  <c r="CX64" s="1"/>
  <c r="CV85"/>
  <c r="CW85" s="1"/>
  <c r="CX85" s="1"/>
  <c r="CV27"/>
  <c r="CW27" s="1"/>
  <c r="CX27" s="1"/>
  <c r="CV37"/>
  <c r="CW37" s="1"/>
  <c r="CX37" s="1"/>
  <c r="CV117"/>
  <c r="CW117" s="1"/>
  <c r="CX117" s="1"/>
  <c r="CV52"/>
  <c r="CW52" s="1"/>
  <c r="CX52" s="1"/>
  <c r="CV175"/>
  <c r="CW175" s="1"/>
  <c r="CX175" s="1"/>
  <c r="CV157"/>
  <c r="CW157" s="1"/>
  <c r="CX157" s="1"/>
  <c r="CV17"/>
  <c r="CW17" s="1"/>
  <c r="CX17" s="1"/>
  <c r="CV33"/>
  <c r="CW33" s="1"/>
  <c r="CX33" s="1"/>
  <c r="CV126"/>
  <c r="CW126" s="1"/>
  <c r="CX126" s="1"/>
  <c r="CV122"/>
  <c r="CW122" s="1"/>
  <c r="CX122" s="1"/>
  <c r="CV19"/>
  <c r="CW19" s="1"/>
  <c r="CX19" s="1"/>
  <c r="CV125"/>
  <c r="CW125" s="1"/>
  <c r="CX125" s="1"/>
  <c r="CV155"/>
  <c r="CW155" s="1"/>
  <c r="CX155" s="1"/>
  <c r="CV18"/>
  <c r="CW18" s="1"/>
  <c r="CX18" s="1"/>
  <c r="CV39"/>
  <c r="CW39" s="1"/>
  <c r="CX39" s="1"/>
  <c r="CV87"/>
  <c r="CW87" s="1"/>
  <c r="CX87" s="1"/>
  <c r="CV56"/>
  <c r="CW56" s="1"/>
  <c r="CX56" s="1"/>
  <c r="CV62"/>
  <c r="CW62" s="1"/>
  <c r="CX62" s="1"/>
  <c r="CV67"/>
  <c r="CW67" s="1"/>
  <c r="CX67" s="1"/>
  <c r="CV65"/>
  <c r="CW65" s="1"/>
  <c r="CX65" s="1"/>
  <c r="CV127"/>
  <c r="CW127" s="1"/>
  <c r="CX127" s="1"/>
  <c r="CV118"/>
  <c r="CW118" s="1"/>
  <c r="CX118" s="1"/>
  <c r="CV50"/>
  <c r="CW50" s="1"/>
  <c r="CX50" s="1"/>
  <c r="CV121"/>
  <c r="CW121" s="1"/>
  <c r="CX121" s="1"/>
  <c r="CV148"/>
  <c r="CW148" s="1"/>
  <c r="CX148" s="1"/>
  <c r="CV140"/>
  <c r="CW140" s="1"/>
  <c r="CX140" s="1"/>
  <c r="CV20"/>
  <c r="CW20" s="1"/>
  <c r="CX20" s="1"/>
  <c r="CV41"/>
  <c r="CW41" s="1"/>
  <c r="CX41" s="1"/>
  <c r="CV139"/>
  <c r="CW139" s="1"/>
  <c r="CX139" s="1"/>
  <c r="CV31"/>
  <c r="CW31" s="1"/>
  <c r="CX31" s="1"/>
  <c r="CV78"/>
  <c r="CW78" s="1"/>
  <c r="CX78" s="1"/>
  <c r="CV63"/>
  <c r="CW63" s="1"/>
  <c r="CX63" s="1"/>
  <c r="CV82"/>
  <c r="CW82" s="1"/>
  <c r="CX82" s="1"/>
  <c r="CV74"/>
  <c r="CW74" s="1"/>
  <c r="CX74" s="1"/>
  <c r="CV108"/>
  <c r="CW108" s="1"/>
  <c r="CX108" s="1"/>
  <c r="CV113"/>
  <c r="CW113" s="1"/>
  <c r="CX113" s="1"/>
  <c r="CV123"/>
  <c r="CW123" s="1"/>
  <c r="CX123" s="1"/>
  <c r="CV97"/>
  <c r="CW97" s="1"/>
  <c r="CX97" s="1"/>
  <c r="CV95"/>
  <c r="CW95" s="1"/>
  <c r="CX95" s="1"/>
  <c r="CV24"/>
  <c r="CW24" s="1"/>
  <c r="CX24" s="1"/>
  <c r="CV29"/>
  <c r="CW29" s="1"/>
  <c r="CX29" s="1"/>
  <c r="CV60"/>
  <c r="CW60" s="1"/>
  <c r="CX60" s="1"/>
  <c r="CV70"/>
  <c r="CW70" s="1"/>
  <c r="CX70" s="1"/>
  <c r="CV66"/>
  <c r="CW66" s="1"/>
  <c r="CX66" s="1"/>
  <c r="CV130"/>
  <c r="CW130" s="1"/>
  <c r="CX130" s="1"/>
  <c r="CV104"/>
  <c r="CW104" s="1"/>
  <c r="CX104" s="1"/>
  <c r="CV100"/>
  <c r="CW100" s="1"/>
  <c r="CX100" s="1"/>
  <c r="CV129"/>
  <c r="CW129" s="1"/>
  <c r="CX129" s="1"/>
  <c r="CV158"/>
  <c r="CW158" s="1"/>
  <c r="CX158" s="1"/>
  <c r="CV154"/>
  <c r="CW154" s="1"/>
  <c r="CX154" s="1"/>
  <c r="CV7"/>
  <c r="CW7" s="1"/>
  <c r="CX7" s="1"/>
  <c r="CT165"/>
  <c r="CR165"/>
  <c r="CR156"/>
  <c r="CT156"/>
  <c r="CR171"/>
  <c r="CT171"/>
  <c r="CR145"/>
  <c r="CT145"/>
  <c r="CR153"/>
  <c r="CT153"/>
  <c r="CR141"/>
  <c r="CT141"/>
  <c r="CT161"/>
  <c r="CR161"/>
  <c r="CR167"/>
  <c r="CT167"/>
  <c r="CR149"/>
  <c r="CT149"/>
  <c r="CT96"/>
  <c r="CR96"/>
  <c r="CT111"/>
  <c r="CR111"/>
  <c r="CT99"/>
  <c r="CR99"/>
  <c r="CT131"/>
  <c r="CR131"/>
  <c r="CR98"/>
  <c r="CT98"/>
  <c r="CT101"/>
  <c r="CR101"/>
  <c r="CT115"/>
  <c r="CR115"/>
  <c r="CT77"/>
  <c r="CR77"/>
  <c r="CT59"/>
  <c r="CR59"/>
  <c r="CR53"/>
  <c r="CT53"/>
  <c r="CR61"/>
  <c r="CT61"/>
  <c r="CR75"/>
  <c r="CT75"/>
  <c r="CR71"/>
  <c r="CT71"/>
  <c r="CT73"/>
  <c r="CR73"/>
  <c r="CR83"/>
  <c r="CT83"/>
  <c r="CR57"/>
  <c r="CT57"/>
  <c r="DH13" i="11"/>
  <c r="DL13" s="1"/>
  <c r="DM13" s="1"/>
  <c r="DN13" s="1"/>
  <c r="DJ13"/>
  <c r="DH11"/>
  <c r="DJ11"/>
  <c r="DL11" s="1"/>
  <c r="DM11" s="1"/>
  <c r="DN11" s="1"/>
  <c r="DL32"/>
  <c r="DM32" s="1"/>
  <c r="DN32" s="1"/>
  <c r="DH32"/>
  <c r="DJ32"/>
  <c r="DL9"/>
  <c r="DM9" s="1"/>
  <c r="DN9" s="1"/>
  <c r="DH9"/>
  <c r="DJ9"/>
  <c r="DH15"/>
  <c r="DJ15"/>
  <c r="DL15" s="1"/>
  <c r="DM15" s="1"/>
  <c r="DH8"/>
  <c r="DJ8"/>
  <c r="DL8" s="1"/>
  <c r="DM8" s="1"/>
  <c r="BD185"/>
  <c r="BK87"/>
  <c r="DC87"/>
  <c r="BD112"/>
  <c r="BD113"/>
  <c r="BD114"/>
  <c r="BD115"/>
  <c r="BD116"/>
  <c r="BD117"/>
  <c r="BD118"/>
  <c r="CD185"/>
  <c r="BD186"/>
  <c r="CD186"/>
  <c r="BD189"/>
  <c r="AS89"/>
  <c r="AS90"/>
  <c r="AS91"/>
  <c r="AS92"/>
  <c r="AS93"/>
  <c r="AS94"/>
  <c r="AS113"/>
  <c r="AS114"/>
  <c r="AS115"/>
  <c r="AS116"/>
  <c r="AS117"/>
  <c r="AS118"/>
  <c r="AS119"/>
  <c r="BD119"/>
  <c r="AS120"/>
  <c r="BD120"/>
  <c r="AS121"/>
  <c r="AS187"/>
  <c r="BD187"/>
  <c r="CD187"/>
  <c r="AS188"/>
  <c r="CP89"/>
  <c r="CP90"/>
  <c r="CP91"/>
  <c r="CP112"/>
  <c r="CP113"/>
  <c r="CP114"/>
  <c r="CP115"/>
  <c r="CP116"/>
  <c r="CP117"/>
  <c r="CP118"/>
  <c r="CP119"/>
  <c r="CP137"/>
  <c r="CP167"/>
  <c r="CP168"/>
  <c r="CP169"/>
  <c r="CP170"/>
  <c r="CP188"/>
  <c r="CP189"/>
  <c r="CP190"/>
  <c r="CP65"/>
  <c r="CP66"/>
  <c r="CP67"/>
  <c r="CP68"/>
  <c r="CP69"/>
  <c r="CP70"/>
  <c r="CP71"/>
  <c r="CP72"/>
  <c r="CP73"/>
  <c r="BD121"/>
  <c r="AS122"/>
  <c r="AS123"/>
  <c r="AS124"/>
  <c r="DB180"/>
  <c r="DD180" s="1"/>
  <c r="BD188"/>
  <c r="BD190"/>
  <c r="BK85"/>
  <c r="CP120"/>
  <c r="CP121"/>
  <c r="CP122"/>
  <c r="AS180"/>
  <c r="CD94"/>
  <c r="CD112"/>
  <c r="CD113"/>
  <c r="CD114"/>
  <c r="CD115"/>
  <c r="CD116"/>
  <c r="CD117"/>
  <c r="CD118"/>
  <c r="CD119"/>
  <c r="CD120"/>
  <c r="CD121"/>
  <c r="BD122"/>
  <c r="CD122"/>
  <c r="BD123"/>
  <c r="CD123"/>
  <c r="BD124"/>
  <c r="CP138"/>
  <c r="CP139"/>
  <c r="CP140"/>
  <c r="CP141"/>
  <c r="CP142"/>
  <c r="CP150"/>
  <c r="CP151"/>
  <c r="CP152"/>
  <c r="CP153"/>
  <c r="CP154"/>
  <c r="AS159"/>
  <c r="AS160"/>
  <c r="BJ179"/>
  <c r="BL179" s="1"/>
  <c r="CP180"/>
  <c r="BM185"/>
  <c r="BM186"/>
  <c r="BM187"/>
  <c r="BM188"/>
  <c r="CD188"/>
  <c r="AS189"/>
  <c r="CD189"/>
  <c r="AS190"/>
  <c r="CP171"/>
  <c r="CP172"/>
  <c r="CP173"/>
  <c r="CP174"/>
  <c r="CP175"/>
  <c r="CP176"/>
  <c r="CP177"/>
  <c r="CP178"/>
  <c r="CP179"/>
  <c r="BM54"/>
  <c r="CW86"/>
  <c r="CW135"/>
  <c r="DB157"/>
  <c r="DD157" s="1"/>
  <c r="CP158"/>
  <c r="BM179"/>
  <c r="BK78"/>
  <c r="CW85"/>
  <c r="DC86"/>
  <c r="CP88"/>
  <c r="CP92"/>
  <c r="CP93"/>
  <c r="CP94"/>
  <c r="CP123"/>
  <c r="DC133"/>
  <c r="CW134"/>
  <c r="BD180"/>
  <c r="BK86"/>
  <c r="BK135"/>
  <c r="BD159"/>
  <c r="CP159"/>
  <c r="CO180"/>
  <c r="CQ180" s="1"/>
  <c r="AS186"/>
  <c r="BM65"/>
  <c r="CP155"/>
  <c r="CP156"/>
  <c r="AS157"/>
  <c r="AT157" s="1"/>
  <c r="BD160"/>
  <c r="DB160"/>
  <c r="DD160" s="1"/>
  <c r="DC161"/>
  <c r="CW162"/>
  <c r="BK164"/>
  <c r="DC164"/>
  <c r="CW166"/>
  <c r="CO178"/>
  <c r="CW77"/>
  <c r="BK136"/>
  <c r="DB156"/>
  <c r="DD156" s="1"/>
  <c r="BM158"/>
  <c r="BJ158"/>
  <c r="BL158" s="1"/>
  <c r="BK163"/>
  <c r="AS54"/>
  <c r="BD54"/>
  <c r="CD54"/>
  <c r="AS55"/>
  <c r="BD55"/>
  <c r="CD55"/>
  <c r="AS56"/>
  <c r="BD56"/>
  <c r="CD56"/>
  <c r="AS57"/>
  <c r="BD57"/>
  <c r="AS64"/>
  <c r="BD64"/>
  <c r="CD64"/>
  <c r="AS65"/>
  <c r="BD65"/>
  <c r="CD65"/>
  <c r="AS66"/>
  <c r="BD66"/>
  <c r="CD66"/>
  <c r="AS67"/>
  <c r="BD67"/>
  <c r="CD67"/>
  <c r="AS68"/>
  <c r="BD68"/>
  <c r="CD68"/>
  <c r="AS69"/>
  <c r="BD69"/>
  <c r="CD69"/>
  <c r="AS70"/>
  <c r="BD70"/>
  <c r="CD70"/>
  <c r="AS71"/>
  <c r="BD71"/>
  <c r="CD71"/>
  <c r="AS72"/>
  <c r="BD72"/>
  <c r="CD72"/>
  <c r="AS73"/>
  <c r="BD73"/>
  <c r="CD73"/>
  <c r="AS74"/>
  <c r="BD74"/>
  <c r="CD74"/>
  <c r="AS75"/>
  <c r="BD75"/>
  <c r="CD75"/>
  <c r="AS76"/>
  <c r="BD76"/>
  <c r="CW76"/>
  <c r="BK77"/>
  <c r="DC78"/>
  <c r="DC85"/>
  <c r="CW87"/>
  <c r="BK88"/>
  <c r="BM89"/>
  <c r="BM90"/>
  <c r="BM91"/>
  <c r="BM92"/>
  <c r="BM113"/>
  <c r="BM114"/>
  <c r="BM115"/>
  <c r="BM116"/>
  <c r="BM117"/>
  <c r="BM118"/>
  <c r="BM119"/>
  <c r="BM120"/>
  <c r="BM121"/>
  <c r="BM122"/>
  <c r="BM123"/>
  <c r="BM133"/>
  <c r="CW133"/>
  <c r="BK134"/>
  <c r="DC135"/>
  <c r="DE137"/>
  <c r="DE138"/>
  <c r="DE139"/>
  <c r="DE140"/>
  <c r="DE141"/>
  <c r="DE142"/>
  <c r="DE150"/>
  <c r="DE151"/>
  <c r="DE152"/>
  <c r="DE153"/>
  <c r="DE154"/>
  <c r="DE155"/>
  <c r="CO156"/>
  <c r="BM157"/>
  <c r="BJ157"/>
  <c r="BL157" s="1"/>
  <c r="R158"/>
  <c r="CD158"/>
  <c r="CO159"/>
  <c r="DB159"/>
  <c r="DD159" s="1"/>
  <c r="AH160"/>
  <c r="DE160"/>
  <c r="BM161"/>
  <c r="BJ161"/>
  <c r="BL161" s="1"/>
  <c r="CW161"/>
  <c r="BK162"/>
  <c r="DC163"/>
  <c r="CW165"/>
  <c r="BK166"/>
  <c r="DE167"/>
  <c r="DE168"/>
  <c r="DE169"/>
  <c r="DE170"/>
  <c r="DE171"/>
  <c r="DE172"/>
  <c r="DE173"/>
  <c r="DE174"/>
  <c r="DE175"/>
  <c r="DE176"/>
  <c r="DE177"/>
  <c r="CD179"/>
  <c r="DE54"/>
  <c r="DE55"/>
  <c r="DE56"/>
  <c r="DE64"/>
  <c r="DE65"/>
  <c r="DE66"/>
  <c r="DE67"/>
  <c r="DE68"/>
  <c r="DE69"/>
  <c r="DE70"/>
  <c r="DE71"/>
  <c r="DE72"/>
  <c r="DE73"/>
  <c r="DE74"/>
  <c r="DE75"/>
  <c r="DE157"/>
  <c r="CD159"/>
  <c r="CE159" s="1"/>
  <c r="CQ159"/>
  <c r="CD180"/>
  <c r="CE180" s="1"/>
  <c r="AS185"/>
  <c r="CD190"/>
  <c r="CP54"/>
  <c r="CP55"/>
  <c r="CP56"/>
  <c r="CP64"/>
  <c r="CP74"/>
  <c r="CP75"/>
  <c r="DC76"/>
  <c r="CW78"/>
  <c r="BK79"/>
  <c r="BM85"/>
  <c r="DE89"/>
  <c r="DE90"/>
  <c r="DE91"/>
  <c r="DE92"/>
  <c r="DE93"/>
  <c r="DE94"/>
  <c r="DE112"/>
  <c r="DE113"/>
  <c r="DE114"/>
  <c r="DE115"/>
  <c r="DE116"/>
  <c r="DE117"/>
  <c r="DE118"/>
  <c r="DE119"/>
  <c r="DE120"/>
  <c r="DE121"/>
  <c r="DE122"/>
  <c r="DE123"/>
  <c r="BM137"/>
  <c r="BM138"/>
  <c r="BM139"/>
  <c r="BM140"/>
  <c r="BM141"/>
  <c r="BM150"/>
  <c r="BM151"/>
  <c r="BM152"/>
  <c r="BM153"/>
  <c r="BM154"/>
  <c r="BM155"/>
  <c r="BM156"/>
  <c r="BD157"/>
  <c r="DE158"/>
  <c r="BM159"/>
  <c r="BJ159"/>
  <c r="BL159" s="1"/>
  <c r="CD160"/>
  <c r="CE160" s="1"/>
  <c r="CP160"/>
  <c r="CQ160" s="1"/>
  <c r="AS161"/>
  <c r="AT161" s="1"/>
  <c r="BD161"/>
  <c r="CP161"/>
  <c r="CW163"/>
  <c r="DC165"/>
  <c r="BM168"/>
  <c r="BM169"/>
  <c r="BM170"/>
  <c r="BM171"/>
  <c r="BM172"/>
  <c r="BM173"/>
  <c r="DE179"/>
  <c r="BM180"/>
  <c r="BJ180"/>
  <c r="BL180" s="1"/>
  <c r="DE185"/>
  <c r="DE186"/>
  <c r="DE187"/>
  <c r="DE188"/>
  <c r="DE190"/>
  <c r="BM66"/>
  <c r="BM67"/>
  <c r="BM68"/>
  <c r="BM69"/>
  <c r="BM70"/>
  <c r="BM71"/>
  <c r="BM72"/>
  <c r="BM73"/>
  <c r="BM74"/>
  <c r="BM75"/>
  <c r="AC76"/>
  <c r="DC77"/>
  <c r="DC134"/>
  <c r="AS137"/>
  <c r="BD137"/>
  <c r="CD137"/>
  <c r="AS138"/>
  <c r="BD138"/>
  <c r="CD138"/>
  <c r="AS139"/>
  <c r="BD139"/>
  <c r="CD139"/>
  <c r="AS140"/>
  <c r="BD140"/>
  <c r="CD140"/>
  <c r="AS141"/>
  <c r="BD141"/>
  <c r="CD141"/>
  <c r="AS142"/>
  <c r="BD142"/>
  <c r="CD142"/>
  <c r="AS150"/>
  <c r="BD150"/>
  <c r="CD150"/>
  <c r="AS151"/>
  <c r="BD151"/>
  <c r="CD151"/>
  <c r="AS152"/>
  <c r="BD152"/>
  <c r="CD152"/>
  <c r="AS153"/>
  <c r="BD153"/>
  <c r="CD153"/>
  <c r="AS154"/>
  <c r="BD154"/>
  <c r="CD154"/>
  <c r="AS155"/>
  <c r="BD155"/>
  <c r="CD155"/>
  <c r="AS156"/>
  <c r="BD156"/>
  <c r="CD156"/>
  <c r="DE156"/>
  <c r="R157"/>
  <c r="CD157"/>
  <c r="CE157" s="1"/>
  <c r="CP157"/>
  <c r="CQ157" s="1"/>
  <c r="AS158"/>
  <c r="AT158" s="1"/>
  <c r="BD158"/>
  <c r="CC158"/>
  <c r="CO158"/>
  <c r="CQ158" s="1"/>
  <c r="DB158"/>
  <c r="DD158" s="1"/>
  <c r="AH159"/>
  <c r="DE159"/>
  <c r="BM160"/>
  <c r="BJ160"/>
  <c r="BL160" s="1"/>
  <c r="CV160"/>
  <c r="CX160" s="1"/>
  <c r="R161"/>
  <c r="CD161"/>
  <c r="CE161" s="1"/>
  <c r="DC162"/>
  <c r="CW164"/>
  <c r="BK165"/>
  <c r="DC166"/>
  <c r="BD167"/>
  <c r="CD167"/>
  <c r="AS168"/>
  <c r="BD168"/>
  <c r="CD168"/>
  <c r="AS169"/>
  <c r="BD169"/>
  <c r="CD169"/>
  <c r="AS170"/>
  <c r="BD170"/>
  <c r="CD170"/>
  <c r="AS171"/>
  <c r="BD171"/>
  <c r="CD171"/>
  <c r="AS172"/>
  <c r="BD172"/>
  <c r="CD172"/>
  <c r="AS173"/>
  <c r="BD173"/>
  <c r="CD173"/>
  <c r="AS174"/>
  <c r="BD174"/>
  <c r="CD174"/>
  <c r="AS175"/>
  <c r="BD175"/>
  <c r="CD175"/>
  <c r="AS176"/>
  <c r="BD176"/>
  <c r="CD176"/>
  <c r="AS177"/>
  <c r="BD177"/>
  <c r="CD177"/>
  <c r="AS178"/>
  <c r="BD178"/>
  <c r="CD178"/>
  <c r="DE178"/>
  <c r="AS179"/>
  <c r="AT179" s="1"/>
  <c r="BD179"/>
  <c r="CC179"/>
  <c r="CO179"/>
  <c r="CQ179" s="1"/>
  <c r="DB179"/>
  <c r="DD179" s="1"/>
  <c r="AH180"/>
  <c r="AT180" s="1"/>
  <c r="DE180"/>
  <c r="AC181"/>
  <c r="AD181" s="1"/>
  <c r="CP185"/>
  <c r="CP186"/>
  <c r="CP187"/>
  <c r="DE189"/>
  <c r="I27" i="12"/>
  <c r="I26"/>
  <c r="I21"/>
  <c r="I18"/>
  <c r="I16"/>
  <c r="I15"/>
  <c r="I14"/>
  <c r="J28"/>
  <c r="J25"/>
  <c r="J24"/>
  <c r="J23"/>
  <c r="J22"/>
  <c r="BC157" i="11"/>
  <c r="BE157" s="1"/>
  <c r="BC158"/>
  <c r="BC159"/>
  <c r="BC160"/>
  <c r="BE160" s="1"/>
  <c r="BC161"/>
  <c r="BM174"/>
  <c r="BM175"/>
  <c r="BM176"/>
  <c r="BM177"/>
  <c r="BM178"/>
  <c r="BC179"/>
  <c r="BE179" s="1"/>
  <c r="BC180"/>
  <c r="BM189"/>
  <c r="BM190"/>
  <c r="BM124"/>
  <c r="BM142"/>
  <c r="BM93"/>
  <c r="BM55"/>
  <c r="BM56"/>
  <c r="BM94"/>
  <c r="BM57"/>
  <c r="J20" i="12"/>
  <c r="J19"/>
  <c r="J17"/>
  <c r="CQ156" i="11"/>
  <c r="BM167"/>
  <c r="R167"/>
  <c r="AS167"/>
  <c r="AH167"/>
  <c r="R150"/>
  <c r="AH150"/>
  <c r="BC150"/>
  <c r="BJ150"/>
  <c r="BL150" s="1"/>
  <c r="CC150"/>
  <c r="CO150"/>
  <c r="CQ150" s="1"/>
  <c r="CV150"/>
  <c r="CX150" s="1"/>
  <c r="DB150"/>
  <c r="DD150" s="1"/>
  <c r="R151"/>
  <c r="AH151"/>
  <c r="BC151"/>
  <c r="BJ151"/>
  <c r="BL151" s="1"/>
  <c r="CC151"/>
  <c r="CO151"/>
  <c r="CQ151" s="1"/>
  <c r="CV151"/>
  <c r="CX151" s="1"/>
  <c r="DB151"/>
  <c r="DD151" s="1"/>
  <c r="R152"/>
  <c r="AH152"/>
  <c r="BC152"/>
  <c r="BJ152"/>
  <c r="BL152" s="1"/>
  <c r="CC152"/>
  <c r="CO152"/>
  <c r="CQ152" s="1"/>
  <c r="CV152"/>
  <c r="CX152" s="1"/>
  <c r="DB152"/>
  <c r="DD152" s="1"/>
  <c r="R153"/>
  <c r="AH153"/>
  <c r="BC153"/>
  <c r="BE153" s="1"/>
  <c r="BJ153"/>
  <c r="BL153" s="1"/>
  <c r="CC153"/>
  <c r="CE153" s="1"/>
  <c r="CO153"/>
  <c r="CQ153" s="1"/>
  <c r="CV153"/>
  <c r="CX153" s="1"/>
  <c r="DB153"/>
  <c r="DD153" s="1"/>
  <c r="R154"/>
  <c r="AH154"/>
  <c r="BC154"/>
  <c r="BJ154"/>
  <c r="BL154" s="1"/>
  <c r="CC154"/>
  <c r="CO154"/>
  <c r="CQ154" s="1"/>
  <c r="CV154"/>
  <c r="CX154" s="1"/>
  <c r="DB154"/>
  <c r="DD154" s="1"/>
  <c r="R155"/>
  <c r="AH155"/>
  <c r="BC155"/>
  <c r="BJ155"/>
  <c r="BL155" s="1"/>
  <c r="CC155"/>
  <c r="CO155"/>
  <c r="CQ155" s="1"/>
  <c r="CV155"/>
  <c r="CX155" s="1"/>
  <c r="DB155"/>
  <c r="DD155" s="1"/>
  <c r="R156"/>
  <c r="AH156"/>
  <c r="BC156"/>
  <c r="BJ156"/>
  <c r="BL156" s="1"/>
  <c r="CC156"/>
  <c r="CV156"/>
  <c r="CX156" s="1"/>
  <c r="CQ161"/>
  <c r="BD162"/>
  <c r="BE162" s="1"/>
  <c r="CP162"/>
  <c r="CQ162" s="1"/>
  <c r="BD163"/>
  <c r="BE163" s="1"/>
  <c r="CP163"/>
  <c r="CQ163" s="1"/>
  <c r="BD164"/>
  <c r="BE164" s="1"/>
  <c r="CP164"/>
  <c r="CQ164" s="1"/>
  <c r="BD165"/>
  <c r="BE165" s="1"/>
  <c r="CP165"/>
  <c r="CQ165" s="1"/>
  <c r="BD166"/>
  <c r="BE166" s="1"/>
  <c r="CP166"/>
  <c r="CQ166" s="1"/>
  <c r="AC150"/>
  <c r="CW150"/>
  <c r="AC151"/>
  <c r="CW151"/>
  <c r="AC152"/>
  <c r="CW152"/>
  <c r="AC153"/>
  <c r="CW153"/>
  <c r="AC154"/>
  <c r="CW154"/>
  <c r="AC155"/>
  <c r="CW155"/>
  <c r="AC156"/>
  <c r="CW156"/>
  <c r="AC157"/>
  <c r="CW157"/>
  <c r="AC158"/>
  <c r="CW158"/>
  <c r="AC159"/>
  <c r="AD159" s="1"/>
  <c r="CW159"/>
  <c r="AC160"/>
  <c r="AD160" s="1"/>
  <c r="CW160"/>
  <c r="AC161"/>
  <c r="AD161" s="1"/>
  <c r="DE161"/>
  <c r="AC162"/>
  <c r="AD162" s="1"/>
  <c r="AS162"/>
  <c r="AT162" s="1"/>
  <c r="BM162"/>
  <c r="CD162"/>
  <c r="CE162" s="1"/>
  <c r="DE162"/>
  <c r="AC163"/>
  <c r="AD163" s="1"/>
  <c r="AS163"/>
  <c r="AT163" s="1"/>
  <c r="BM163"/>
  <c r="CD163"/>
  <c r="CE163" s="1"/>
  <c r="DE163"/>
  <c r="AC164"/>
  <c r="AD164" s="1"/>
  <c r="AS164"/>
  <c r="AT164" s="1"/>
  <c r="BM164"/>
  <c r="CD164"/>
  <c r="CE164" s="1"/>
  <c r="DE164"/>
  <c r="AC165"/>
  <c r="AD165" s="1"/>
  <c r="AS165"/>
  <c r="AT165" s="1"/>
  <c r="BM165"/>
  <c r="CD165"/>
  <c r="CE165" s="1"/>
  <c r="DE165"/>
  <c r="AC166"/>
  <c r="AD166" s="1"/>
  <c r="AS166"/>
  <c r="AT166" s="1"/>
  <c r="BM166"/>
  <c r="CD166"/>
  <c r="CE166" s="1"/>
  <c r="DE166"/>
  <c r="AC167"/>
  <c r="BC167"/>
  <c r="BE167" s="1"/>
  <c r="BJ167"/>
  <c r="BL167" s="1"/>
  <c r="CC167"/>
  <c r="CO167"/>
  <c r="CQ167" s="1"/>
  <c r="CV167"/>
  <c r="CX167" s="1"/>
  <c r="DB167"/>
  <c r="DD167" s="1"/>
  <c r="R168"/>
  <c r="AH168"/>
  <c r="BC168"/>
  <c r="BJ168"/>
  <c r="BL168" s="1"/>
  <c r="CC168"/>
  <c r="CE168" s="1"/>
  <c r="CO168"/>
  <c r="CQ168" s="1"/>
  <c r="CV168"/>
  <c r="CX168" s="1"/>
  <c r="DB168"/>
  <c r="DD168" s="1"/>
  <c r="R169"/>
  <c r="AH169"/>
  <c r="AT169" s="1"/>
  <c r="BC169"/>
  <c r="BE169" s="1"/>
  <c r="BJ169"/>
  <c r="BL169" s="1"/>
  <c r="CC169"/>
  <c r="CE169" s="1"/>
  <c r="CO169"/>
  <c r="CQ169" s="1"/>
  <c r="CV169"/>
  <c r="CX169" s="1"/>
  <c r="DB169"/>
  <c r="DD169" s="1"/>
  <c r="R170"/>
  <c r="AH170"/>
  <c r="BC170"/>
  <c r="BJ170"/>
  <c r="BL170" s="1"/>
  <c r="CC170"/>
  <c r="CE170" s="1"/>
  <c r="CO170"/>
  <c r="CQ170" s="1"/>
  <c r="CV170"/>
  <c r="CX170" s="1"/>
  <c r="DB170"/>
  <c r="DD170" s="1"/>
  <c r="R171"/>
  <c r="AH171"/>
  <c r="BC171"/>
  <c r="BE171" s="1"/>
  <c r="BJ171"/>
  <c r="BL171" s="1"/>
  <c r="CC171"/>
  <c r="CO171"/>
  <c r="CQ171" s="1"/>
  <c r="CV171"/>
  <c r="CX171" s="1"/>
  <c r="DB171"/>
  <c r="DD171" s="1"/>
  <c r="R172"/>
  <c r="AH172"/>
  <c r="BC172"/>
  <c r="BJ172"/>
  <c r="BL172" s="1"/>
  <c r="CC172"/>
  <c r="CE172" s="1"/>
  <c r="CO172"/>
  <c r="CQ172" s="1"/>
  <c r="CV172"/>
  <c r="CX172" s="1"/>
  <c r="DB172"/>
  <c r="DD172" s="1"/>
  <c r="R173"/>
  <c r="AH173"/>
  <c r="AT173" s="1"/>
  <c r="BC173"/>
  <c r="BE173" s="1"/>
  <c r="BJ173"/>
  <c r="BL173" s="1"/>
  <c r="CC173"/>
  <c r="CE173" s="1"/>
  <c r="CO173"/>
  <c r="CQ173" s="1"/>
  <c r="CV173"/>
  <c r="CX173" s="1"/>
  <c r="DB173"/>
  <c r="DD173" s="1"/>
  <c r="R174"/>
  <c r="AH174"/>
  <c r="BC174"/>
  <c r="BJ174"/>
  <c r="BL174" s="1"/>
  <c r="CC174"/>
  <c r="CE174" s="1"/>
  <c r="CO174"/>
  <c r="CQ174" s="1"/>
  <c r="CV174"/>
  <c r="CX174" s="1"/>
  <c r="DB174"/>
  <c r="DD174" s="1"/>
  <c r="R175"/>
  <c r="AH175"/>
  <c r="BC175"/>
  <c r="BE175" s="1"/>
  <c r="BJ175"/>
  <c r="BL175" s="1"/>
  <c r="CC175"/>
  <c r="CO175"/>
  <c r="CQ175" s="1"/>
  <c r="CV175"/>
  <c r="CX175" s="1"/>
  <c r="DB175"/>
  <c r="DD175" s="1"/>
  <c r="R176"/>
  <c r="AH176"/>
  <c r="BC176"/>
  <c r="BJ176"/>
  <c r="BL176" s="1"/>
  <c r="CC176"/>
  <c r="CO176"/>
  <c r="CQ176" s="1"/>
  <c r="CV176"/>
  <c r="CX176" s="1"/>
  <c r="DB176"/>
  <c r="DD176" s="1"/>
  <c r="R177"/>
  <c r="AH177"/>
  <c r="AT177" s="1"/>
  <c r="BC177"/>
  <c r="BE177" s="1"/>
  <c r="BJ177"/>
  <c r="BL177" s="1"/>
  <c r="CC177"/>
  <c r="CE177" s="1"/>
  <c r="CO177"/>
  <c r="CQ177" s="1"/>
  <c r="CV177"/>
  <c r="CX177" s="1"/>
  <c r="DB177"/>
  <c r="DD177" s="1"/>
  <c r="R178"/>
  <c r="AH178"/>
  <c r="BC178"/>
  <c r="BJ178"/>
  <c r="BL178" s="1"/>
  <c r="CC178"/>
  <c r="CE178" s="1"/>
  <c r="CV178"/>
  <c r="CX178" s="1"/>
  <c r="DB178"/>
  <c r="DD178" s="1"/>
  <c r="AS181"/>
  <c r="AT181" s="1"/>
  <c r="BM181"/>
  <c r="CD181"/>
  <c r="CE181" s="1"/>
  <c r="DE181"/>
  <c r="AC182"/>
  <c r="AD182" s="1"/>
  <c r="AS182"/>
  <c r="AT182" s="1"/>
  <c r="BM182"/>
  <c r="CD182"/>
  <c r="CE182" s="1"/>
  <c r="DE182"/>
  <c r="AC183"/>
  <c r="AD183" s="1"/>
  <c r="AS183"/>
  <c r="AT183" s="1"/>
  <c r="BM183"/>
  <c r="CD183"/>
  <c r="CE183" s="1"/>
  <c r="DE183"/>
  <c r="AC184"/>
  <c r="AD184" s="1"/>
  <c r="AS184"/>
  <c r="AT184" s="1"/>
  <c r="BM184"/>
  <c r="CD184"/>
  <c r="CE184" s="1"/>
  <c r="DE184"/>
  <c r="CW167"/>
  <c r="AC168"/>
  <c r="CW168"/>
  <c r="AC169"/>
  <c r="CW169"/>
  <c r="AC170"/>
  <c r="CW170"/>
  <c r="AC171"/>
  <c r="CW171"/>
  <c r="AC172"/>
  <c r="CW172"/>
  <c r="AC173"/>
  <c r="CW173"/>
  <c r="AC174"/>
  <c r="CW174"/>
  <c r="AC175"/>
  <c r="CW175"/>
  <c r="AC176"/>
  <c r="CW176"/>
  <c r="AC177"/>
  <c r="CW177"/>
  <c r="AC178"/>
  <c r="CW178"/>
  <c r="AC179"/>
  <c r="AD179" s="1"/>
  <c r="CW179"/>
  <c r="AC180"/>
  <c r="AD180" s="1"/>
  <c r="CW180"/>
  <c r="BD181"/>
  <c r="BE181" s="1"/>
  <c r="BK181"/>
  <c r="CP181"/>
  <c r="CQ181" s="1"/>
  <c r="CW181"/>
  <c r="DC181"/>
  <c r="BD182"/>
  <c r="BE182" s="1"/>
  <c r="BK182"/>
  <c r="CP182"/>
  <c r="CQ182" s="1"/>
  <c r="CW182"/>
  <c r="DC182"/>
  <c r="BD183"/>
  <c r="BE183" s="1"/>
  <c r="BK183"/>
  <c r="CP183"/>
  <c r="CQ183" s="1"/>
  <c r="CW183"/>
  <c r="DC183"/>
  <c r="BD184"/>
  <c r="BE184" s="1"/>
  <c r="BK184"/>
  <c r="CP184"/>
  <c r="CQ184" s="1"/>
  <c r="CW184"/>
  <c r="DC184"/>
  <c r="R185"/>
  <c r="AH185"/>
  <c r="BC185"/>
  <c r="BJ185"/>
  <c r="BL185" s="1"/>
  <c r="CC185"/>
  <c r="CE185" s="1"/>
  <c r="CO185"/>
  <c r="CQ185" s="1"/>
  <c r="CV185"/>
  <c r="CX185" s="1"/>
  <c r="DB185"/>
  <c r="DD185" s="1"/>
  <c r="R186"/>
  <c r="AH186"/>
  <c r="BC186"/>
  <c r="BE186" s="1"/>
  <c r="BJ186"/>
  <c r="BL186" s="1"/>
  <c r="CC186"/>
  <c r="CE186" s="1"/>
  <c r="CO186"/>
  <c r="CV186"/>
  <c r="CX186" s="1"/>
  <c r="DB186"/>
  <c r="DD186" s="1"/>
  <c r="R187"/>
  <c r="AH187"/>
  <c r="AT187" s="1"/>
  <c r="BC187"/>
  <c r="BJ187"/>
  <c r="BL187" s="1"/>
  <c r="CC187"/>
  <c r="CE187" s="1"/>
  <c r="CO187"/>
  <c r="CQ187" s="1"/>
  <c r="CV187"/>
  <c r="CX187" s="1"/>
  <c r="DB187"/>
  <c r="DD187" s="1"/>
  <c r="R188"/>
  <c r="AH188"/>
  <c r="BC188"/>
  <c r="BE188" s="1"/>
  <c r="BJ188"/>
  <c r="BL188" s="1"/>
  <c r="CC188"/>
  <c r="CE188" s="1"/>
  <c r="CO188"/>
  <c r="CV188"/>
  <c r="CX188" s="1"/>
  <c r="DB188"/>
  <c r="DD188" s="1"/>
  <c r="R189"/>
  <c r="AH189"/>
  <c r="BC189"/>
  <c r="BE189" s="1"/>
  <c r="BJ189"/>
  <c r="BL189" s="1"/>
  <c r="CC189"/>
  <c r="CE189" s="1"/>
  <c r="CO189"/>
  <c r="CQ189" s="1"/>
  <c r="CV189"/>
  <c r="CX189" s="1"/>
  <c r="DB189"/>
  <c r="DD189" s="1"/>
  <c r="R190"/>
  <c r="AH190"/>
  <c r="BC190"/>
  <c r="BE190" s="1"/>
  <c r="BJ190"/>
  <c r="BL190" s="1"/>
  <c r="CC190"/>
  <c r="CE190" s="1"/>
  <c r="CO190"/>
  <c r="CQ190" s="1"/>
  <c r="CV190"/>
  <c r="CX190" s="1"/>
  <c r="DB190"/>
  <c r="DD190" s="1"/>
  <c r="AC185"/>
  <c r="AD185" s="1"/>
  <c r="CW185"/>
  <c r="AC186"/>
  <c r="CW186"/>
  <c r="AC187"/>
  <c r="AD187" s="1"/>
  <c r="CW187"/>
  <c r="AC188"/>
  <c r="CW188"/>
  <c r="AC189"/>
  <c r="AD189" s="1"/>
  <c r="CW189"/>
  <c r="AC190"/>
  <c r="CW190"/>
  <c r="AC102"/>
  <c r="AD102" s="1"/>
  <c r="AS102"/>
  <c r="AT102" s="1"/>
  <c r="BD102"/>
  <c r="BE102" s="1"/>
  <c r="BK102"/>
  <c r="BM102"/>
  <c r="CD102"/>
  <c r="CE102" s="1"/>
  <c r="CP102"/>
  <c r="CQ102" s="1"/>
  <c r="CW102"/>
  <c r="DC102"/>
  <c r="DE102"/>
  <c r="AC103"/>
  <c r="AD103" s="1"/>
  <c r="AS103"/>
  <c r="AT103" s="1"/>
  <c r="BD103"/>
  <c r="BE103" s="1"/>
  <c r="BK103"/>
  <c r="BM103"/>
  <c r="CD103"/>
  <c r="CE103" s="1"/>
  <c r="CP103"/>
  <c r="CQ103" s="1"/>
  <c r="CW103"/>
  <c r="DC103"/>
  <c r="DE103"/>
  <c r="AC104"/>
  <c r="AD104" s="1"/>
  <c r="AS104"/>
  <c r="AT104" s="1"/>
  <c r="BD104"/>
  <c r="BE104" s="1"/>
  <c r="BK104"/>
  <c r="BM104"/>
  <c r="CD104"/>
  <c r="CE104" s="1"/>
  <c r="CP104"/>
  <c r="CQ104" s="1"/>
  <c r="CW104"/>
  <c r="DC104"/>
  <c r="DE104"/>
  <c r="AC105"/>
  <c r="AD105" s="1"/>
  <c r="AS105"/>
  <c r="AT105" s="1"/>
  <c r="BM105"/>
  <c r="CD105"/>
  <c r="CE105" s="1"/>
  <c r="DE105"/>
  <c r="AC106"/>
  <c r="AD106" s="1"/>
  <c r="AS106"/>
  <c r="AT106" s="1"/>
  <c r="BM106"/>
  <c r="CD106"/>
  <c r="CE106" s="1"/>
  <c r="DE106"/>
  <c r="AC107"/>
  <c r="AD107" s="1"/>
  <c r="AS107"/>
  <c r="AT107" s="1"/>
  <c r="BM107"/>
  <c r="CD107"/>
  <c r="CE107" s="1"/>
  <c r="DE107"/>
  <c r="AC108"/>
  <c r="AD108" s="1"/>
  <c r="AS108"/>
  <c r="AT108" s="1"/>
  <c r="BM108"/>
  <c r="CD108"/>
  <c r="CE108" s="1"/>
  <c r="DE108"/>
  <c r="AC109"/>
  <c r="AD109" s="1"/>
  <c r="AS109"/>
  <c r="AT109" s="1"/>
  <c r="BM109"/>
  <c r="CD109"/>
  <c r="CE109" s="1"/>
  <c r="DE109"/>
  <c r="AC110"/>
  <c r="AD110" s="1"/>
  <c r="AS110"/>
  <c r="AT110" s="1"/>
  <c r="BM110"/>
  <c r="CD110"/>
  <c r="CE110" s="1"/>
  <c r="DE110"/>
  <c r="AC111"/>
  <c r="AD111" s="1"/>
  <c r="AS111"/>
  <c r="AT111" s="1"/>
  <c r="BM111"/>
  <c r="CD111"/>
  <c r="CE111" s="1"/>
  <c r="DE111"/>
  <c r="AC112"/>
  <c r="AS112"/>
  <c r="AT112" s="1"/>
  <c r="BM112"/>
  <c r="R112"/>
  <c r="BD105"/>
  <c r="BE105" s="1"/>
  <c r="BK105"/>
  <c r="CP105"/>
  <c r="CQ105" s="1"/>
  <c r="CW105"/>
  <c r="DC105"/>
  <c r="BD106"/>
  <c r="BE106" s="1"/>
  <c r="BK106"/>
  <c r="CP106"/>
  <c r="CQ106" s="1"/>
  <c r="CW106"/>
  <c r="DC106"/>
  <c r="BD107"/>
  <c r="BE107" s="1"/>
  <c r="BK107"/>
  <c r="CP107"/>
  <c r="CQ107" s="1"/>
  <c r="CW107"/>
  <c r="DC107"/>
  <c r="BD108"/>
  <c r="BE108" s="1"/>
  <c r="BK108"/>
  <c r="CP108"/>
  <c r="CQ108" s="1"/>
  <c r="CW108"/>
  <c r="DC108"/>
  <c r="BD109"/>
  <c r="BE109" s="1"/>
  <c r="BK109"/>
  <c r="CP109"/>
  <c r="CQ109" s="1"/>
  <c r="CW109"/>
  <c r="DC109"/>
  <c r="BD110"/>
  <c r="BE110" s="1"/>
  <c r="BK110"/>
  <c r="CP110"/>
  <c r="CQ110" s="1"/>
  <c r="CW110"/>
  <c r="DC110"/>
  <c r="BD111"/>
  <c r="BE111" s="1"/>
  <c r="BK111"/>
  <c r="CP111"/>
  <c r="CQ111" s="1"/>
  <c r="CW111"/>
  <c r="DC111"/>
  <c r="R127"/>
  <c r="BM127"/>
  <c r="BC112"/>
  <c r="BE112" s="1"/>
  <c r="BJ112"/>
  <c r="BL112" s="1"/>
  <c r="CC112"/>
  <c r="CE112" s="1"/>
  <c r="CO112"/>
  <c r="CQ112" s="1"/>
  <c r="CV112"/>
  <c r="CX112" s="1"/>
  <c r="DB112"/>
  <c r="DD112" s="1"/>
  <c r="R113"/>
  <c r="AH113"/>
  <c r="AT113" s="1"/>
  <c r="BC113"/>
  <c r="BE113" s="1"/>
  <c r="BJ113"/>
  <c r="BL113" s="1"/>
  <c r="CC113"/>
  <c r="CE113" s="1"/>
  <c r="CO113"/>
  <c r="CQ113" s="1"/>
  <c r="CV113"/>
  <c r="CX113" s="1"/>
  <c r="DB113"/>
  <c r="DD113" s="1"/>
  <c r="R114"/>
  <c r="AH114"/>
  <c r="AT114" s="1"/>
  <c r="BC114"/>
  <c r="BE114" s="1"/>
  <c r="BJ114"/>
  <c r="BL114" s="1"/>
  <c r="CC114"/>
  <c r="CE114" s="1"/>
  <c r="CO114"/>
  <c r="CQ114" s="1"/>
  <c r="CV114"/>
  <c r="CX114" s="1"/>
  <c r="DB114"/>
  <c r="DD114" s="1"/>
  <c r="R115"/>
  <c r="AH115"/>
  <c r="AT115" s="1"/>
  <c r="BC115"/>
  <c r="BE115" s="1"/>
  <c r="BJ115"/>
  <c r="BL115" s="1"/>
  <c r="CC115"/>
  <c r="CE115" s="1"/>
  <c r="CO115"/>
  <c r="CQ115" s="1"/>
  <c r="CV115"/>
  <c r="CX115" s="1"/>
  <c r="DB115"/>
  <c r="DD115" s="1"/>
  <c r="R116"/>
  <c r="AH116"/>
  <c r="AT116" s="1"/>
  <c r="BC116"/>
  <c r="BE116" s="1"/>
  <c r="BJ116"/>
  <c r="BL116" s="1"/>
  <c r="CC116"/>
  <c r="CE116" s="1"/>
  <c r="CO116"/>
  <c r="CQ116" s="1"/>
  <c r="CV116"/>
  <c r="CX116" s="1"/>
  <c r="DB116"/>
  <c r="DD116" s="1"/>
  <c r="R117"/>
  <c r="AH117"/>
  <c r="AT117" s="1"/>
  <c r="BC117"/>
  <c r="BE117" s="1"/>
  <c r="BJ117"/>
  <c r="BL117" s="1"/>
  <c r="CC117"/>
  <c r="CE117" s="1"/>
  <c r="CO117"/>
  <c r="CQ117" s="1"/>
  <c r="CV117"/>
  <c r="CX117" s="1"/>
  <c r="DB117"/>
  <c r="DD117" s="1"/>
  <c r="R118"/>
  <c r="AH118"/>
  <c r="AT118" s="1"/>
  <c r="BC118"/>
  <c r="BE118" s="1"/>
  <c r="BJ118"/>
  <c r="BL118" s="1"/>
  <c r="CC118"/>
  <c r="CE118" s="1"/>
  <c r="CO118"/>
  <c r="CQ118" s="1"/>
  <c r="CV118"/>
  <c r="CX118" s="1"/>
  <c r="DB118"/>
  <c r="DD118" s="1"/>
  <c r="R119"/>
  <c r="AH119"/>
  <c r="AT119" s="1"/>
  <c r="BC119"/>
  <c r="BE119" s="1"/>
  <c r="BJ119"/>
  <c r="BL119" s="1"/>
  <c r="CC119"/>
  <c r="CE119" s="1"/>
  <c r="CO119"/>
  <c r="CQ119" s="1"/>
  <c r="CV119"/>
  <c r="CX119" s="1"/>
  <c r="DB119"/>
  <c r="DD119" s="1"/>
  <c r="R120"/>
  <c r="AH120"/>
  <c r="AT120" s="1"/>
  <c r="BC120"/>
  <c r="BE120" s="1"/>
  <c r="BJ120"/>
  <c r="BL120" s="1"/>
  <c r="CC120"/>
  <c r="CE120" s="1"/>
  <c r="CO120"/>
  <c r="CQ120" s="1"/>
  <c r="CV120"/>
  <c r="CX120" s="1"/>
  <c r="DB120"/>
  <c r="DD120" s="1"/>
  <c r="R121"/>
  <c r="AH121"/>
  <c r="BC121"/>
  <c r="BE121" s="1"/>
  <c r="BJ121"/>
  <c r="BL121" s="1"/>
  <c r="CC121"/>
  <c r="CE121" s="1"/>
  <c r="CO121"/>
  <c r="CQ121" s="1"/>
  <c r="CV121"/>
  <c r="CX121" s="1"/>
  <c r="DB121"/>
  <c r="DD121" s="1"/>
  <c r="R122"/>
  <c r="AH122"/>
  <c r="AT122" s="1"/>
  <c r="BC122"/>
  <c r="BE122" s="1"/>
  <c r="BJ122"/>
  <c r="BL122" s="1"/>
  <c r="CC122"/>
  <c r="CE122" s="1"/>
  <c r="CO122"/>
  <c r="CQ122" s="1"/>
  <c r="CV122"/>
  <c r="CX122" s="1"/>
  <c r="DB122"/>
  <c r="DD122" s="1"/>
  <c r="R123"/>
  <c r="AH123"/>
  <c r="AT123" s="1"/>
  <c r="BC123"/>
  <c r="BE123" s="1"/>
  <c r="BJ123"/>
  <c r="BL123" s="1"/>
  <c r="CC123"/>
  <c r="CE123" s="1"/>
  <c r="CO123"/>
  <c r="CQ123" s="1"/>
  <c r="CV123"/>
  <c r="CX123" s="1"/>
  <c r="DB123"/>
  <c r="DD123" s="1"/>
  <c r="R124"/>
  <c r="AH124"/>
  <c r="AT124" s="1"/>
  <c r="BC124"/>
  <c r="BK124"/>
  <c r="CP124"/>
  <c r="CQ124" s="1"/>
  <c r="CW124"/>
  <c r="DC124"/>
  <c r="BD125"/>
  <c r="BE125" s="1"/>
  <c r="BK125"/>
  <c r="CP125"/>
  <c r="CQ125" s="1"/>
  <c r="CW125"/>
  <c r="DC125"/>
  <c r="BD126"/>
  <c r="BE126" s="1"/>
  <c r="BK126"/>
  <c r="CP126"/>
  <c r="CQ126" s="1"/>
  <c r="CW126"/>
  <c r="DC126"/>
  <c r="CW112"/>
  <c r="AC113"/>
  <c r="CW113"/>
  <c r="AC114"/>
  <c r="AD114" s="1"/>
  <c r="CW114"/>
  <c r="AC115"/>
  <c r="CW115"/>
  <c r="AC116"/>
  <c r="AD116" s="1"/>
  <c r="CW116"/>
  <c r="AC117"/>
  <c r="CW117"/>
  <c r="AC118"/>
  <c r="AD118" s="1"/>
  <c r="CW118"/>
  <c r="AC119"/>
  <c r="CW119"/>
  <c r="AC120"/>
  <c r="AD120" s="1"/>
  <c r="CW120"/>
  <c r="AC121"/>
  <c r="CW121"/>
  <c r="AC122"/>
  <c r="AD122" s="1"/>
  <c r="CW122"/>
  <c r="AC123"/>
  <c r="CW123"/>
  <c r="AC124"/>
  <c r="AD124" s="1"/>
  <c r="CD124"/>
  <c r="CE124" s="1"/>
  <c r="DE124"/>
  <c r="AC125"/>
  <c r="AD125" s="1"/>
  <c r="AS125"/>
  <c r="AT125" s="1"/>
  <c r="BM125"/>
  <c r="CD125"/>
  <c r="CE125" s="1"/>
  <c r="DE125"/>
  <c r="AC126"/>
  <c r="AD126" s="1"/>
  <c r="AS126"/>
  <c r="AT126" s="1"/>
  <c r="BM126"/>
  <c r="CD126"/>
  <c r="CE126" s="1"/>
  <c r="DE126"/>
  <c r="AC127"/>
  <c r="AS127"/>
  <c r="AT127" s="1"/>
  <c r="BD127"/>
  <c r="BE127" s="1"/>
  <c r="BK127"/>
  <c r="CD127"/>
  <c r="CE127" s="1"/>
  <c r="CP127"/>
  <c r="CQ127" s="1"/>
  <c r="CW127"/>
  <c r="DC127"/>
  <c r="DE127"/>
  <c r="AC128"/>
  <c r="AD128" s="1"/>
  <c r="AS128"/>
  <c r="AT128" s="1"/>
  <c r="BD128"/>
  <c r="BE128" s="1"/>
  <c r="BK128"/>
  <c r="BM128"/>
  <c r="CD128"/>
  <c r="CE128" s="1"/>
  <c r="CP128"/>
  <c r="CQ128" s="1"/>
  <c r="CW128"/>
  <c r="DC128"/>
  <c r="DE128"/>
  <c r="AC129"/>
  <c r="AD129" s="1"/>
  <c r="AS129"/>
  <c r="AT129" s="1"/>
  <c r="BD129"/>
  <c r="BE129" s="1"/>
  <c r="BK129"/>
  <c r="BM129"/>
  <c r="CD129"/>
  <c r="CE129" s="1"/>
  <c r="CP129"/>
  <c r="CQ129" s="1"/>
  <c r="CW129"/>
  <c r="DC129"/>
  <c r="DE129"/>
  <c r="AC130"/>
  <c r="AD130" s="1"/>
  <c r="AS130"/>
  <c r="AT130" s="1"/>
  <c r="BD130"/>
  <c r="BE130" s="1"/>
  <c r="BK130"/>
  <c r="BM130"/>
  <c r="CD130"/>
  <c r="CE130" s="1"/>
  <c r="CP130"/>
  <c r="CQ130" s="1"/>
  <c r="CW130"/>
  <c r="DC130"/>
  <c r="DE130"/>
  <c r="AC131"/>
  <c r="AD131" s="1"/>
  <c r="AS131"/>
  <c r="AT131" s="1"/>
  <c r="BD131"/>
  <c r="BE131" s="1"/>
  <c r="BK131"/>
  <c r="BM131"/>
  <c r="CD131"/>
  <c r="CE131" s="1"/>
  <c r="CP131"/>
  <c r="CQ131" s="1"/>
  <c r="CW131"/>
  <c r="DC131"/>
  <c r="DE131"/>
  <c r="AC132"/>
  <c r="AD132" s="1"/>
  <c r="AS132"/>
  <c r="AT132" s="1"/>
  <c r="BD132"/>
  <c r="BE132" s="1"/>
  <c r="BK132"/>
  <c r="BM132"/>
  <c r="CD132"/>
  <c r="CE132" s="1"/>
  <c r="CP132"/>
  <c r="CQ132" s="1"/>
  <c r="CW132"/>
  <c r="DC132"/>
  <c r="DE132"/>
  <c r="AC133"/>
  <c r="BD133"/>
  <c r="BE133" s="1"/>
  <c r="BK133"/>
  <c r="CP133"/>
  <c r="CQ133" s="1"/>
  <c r="BD134"/>
  <c r="BE134" s="1"/>
  <c r="CP134"/>
  <c r="CQ134" s="1"/>
  <c r="BD135"/>
  <c r="BE135" s="1"/>
  <c r="CP135"/>
  <c r="CQ135" s="1"/>
  <c r="BD136"/>
  <c r="BE136" s="1"/>
  <c r="CP136"/>
  <c r="CQ136" s="1"/>
  <c r="DE136"/>
  <c r="CW136"/>
  <c r="CV136"/>
  <c r="CX136" s="1"/>
  <c r="R133"/>
  <c r="AS133"/>
  <c r="AT133" s="1"/>
  <c r="CD133"/>
  <c r="CE133" s="1"/>
  <c r="DE133"/>
  <c r="AC134"/>
  <c r="AD134" s="1"/>
  <c r="AS134"/>
  <c r="AT134" s="1"/>
  <c r="BM134"/>
  <c r="CD134"/>
  <c r="CE134" s="1"/>
  <c r="DE134"/>
  <c r="AC135"/>
  <c r="AD135" s="1"/>
  <c r="AS135"/>
  <c r="AT135" s="1"/>
  <c r="BM135"/>
  <c r="CD135"/>
  <c r="CE135" s="1"/>
  <c r="DE135"/>
  <c r="AC136"/>
  <c r="AD136" s="1"/>
  <c r="AS136"/>
  <c r="AT136" s="1"/>
  <c r="BM136"/>
  <c r="CD136"/>
  <c r="CE136" s="1"/>
  <c r="DB136"/>
  <c r="DD136" s="1"/>
  <c r="R137"/>
  <c r="AH137"/>
  <c r="BC137"/>
  <c r="BE137" s="1"/>
  <c r="BJ137"/>
  <c r="BL137" s="1"/>
  <c r="CC137"/>
  <c r="CE137" s="1"/>
  <c r="CO137"/>
  <c r="CQ137" s="1"/>
  <c r="CV137"/>
  <c r="CX137" s="1"/>
  <c r="DB137"/>
  <c r="DD137" s="1"/>
  <c r="R138"/>
  <c r="AH138"/>
  <c r="AT138" s="1"/>
  <c r="BC138"/>
  <c r="BJ138"/>
  <c r="BL138" s="1"/>
  <c r="CC138"/>
  <c r="CE138" s="1"/>
  <c r="CO138"/>
  <c r="CQ138" s="1"/>
  <c r="CV138"/>
  <c r="CX138" s="1"/>
  <c r="DB138"/>
  <c r="DD138" s="1"/>
  <c r="R139"/>
  <c r="AH139"/>
  <c r="AT139" s="1"/>
  <c r="BC139"/>
  <c r="BE139" s="1"/>
  <c r="BJ139"/>
  <c r="BL139" s="1"/>
  <c r="CC139"/>
  <c r="CE139" s="1"/>
  <c r="CO139"/>
  <c r="CQ139" s="1"/>
  <c r="CV139"/>
  <c r="CX139" s="1"/>
  <c r="DB139"/>
  <c r="DD139" s="1"/>
  <c r="R140"/>
  <c r="AH140"/>
  <c r="AT140" s="1"/>
  <c r="BC140"/>
  <c r="BE140" s="1"/>
  <c r="BJ140"/>
  <c r="BL140" s="1"/>
  <c r="CC140"/>
  <c r="CE140" s="1"/>
  <c r="CO140"/>
  <c r="CV140"/>
  <c r="CX140" s="1"/>
  <c r="DB140"/>
  <c r="DD140" s="1"/>
  <c r="R141"/>
  <c r="AH141"/>
  <c r="BC141"/>
  <c r="BE141" s="1"/>
  <c r="BJ141"/>
  <c r="BL141" s="1"/>
  <c r="CC141"/>
  <c r="CE141" s="1"/>
  <c r="CO141"/>
  <c r="CQ141" s="1"/>
  <c r="CV141"/>
  <c r="CX141" s="1"/>
  <c r="DB141"/>
  <c r="DD141" s="1"/>
  <c r="R142"/>
  <c r="AH142"/>
  <c r="AT142" s="1"/>
  <c r="BC142"/>
  <c r="BJ142"/>
  <c r="BL142" s="1"/>
  <c r="CC142"/>
  <c r="CE142" s="1"/>
  <c r="CO142"/>
  <c r="CQ142" s="1"/>
  <c r="CV142"/>
  <c r="CX142" s="1"/>
  <c r="DB142"/>
  <c r="DD142" s="1"/>
  <c r="AC137"/>
  <c r="AD137" s="1"/>
  <c r="CW137"/>
  <c r="AC138"/>
  <c r="CW138"/>
  <c r="AC139"/>
  <c r="AD139" s="1"/>
  <c r="CW139"/>
  <c r="AC140"/>
  <c r="CW140"/>
  <c r="AC141"/>
  <c r="AD141" s="1"/>
  <c r="CW141"/>
  <c r="AC142"/>
  <c r="CW142"/>
  <c r="BM64"/>
  <c r="AC64"/>
  <c r="R64"/>
  <c r="R54"/>
  <c r="AH54"/>
  <c r="AT54" s="1"/>
  <c r="BC54"/>
  <c r="BE54" s="1"/>
  <c r="BJ54"/>
  <c r="BL54" s="1"/>
  <c r="CC54"/>
  <c r="CE54" s="1"/>
  <c r="CO54"/>
  <c r="CQ54" s="1"/>
  <c r="CV54"/>
  <c r="CX54" s="1"/>
  <c r="DB54"/>
  <c r="DD54" s="1"/>
  <c r="R55"/>
  <c r="AH55"/>
  <c r="AT55" s="1"/>
  <c r="BC55"/>
  <c r="BE55" s="1"/>
  <c r="BJ55"/>
  <c r="BL55" s="1"/>
  <c r="CC55"/>
  <c r="CE55" s="1"/>
  <c r="CO55"/>
  <c r="CQ55" s="1"/>
  <c r="CV55"/>
  <c r="CX55" s="1"/>
  <c r="DB55"/>
  <c r="DD55" s="1"/>
  <c r="R56"/>
  <c r="AH56"/>
  <c r="AT56" s="1"/>
  <c r="BC56"/>
  <c r="BJ56"/>
  <c r="BL56" s="1"/>
  <c r="CC56"/>
  <c r="CO56"/>
  <c r="CQ56" s="1"/>
  <c r="CV56"/>
  <c r="CX56" s="1"/>
  <c r="DB56"/>
  <c r="DD56" s="1"/>
  <c r="R57"/>
  <c r="AH57"/>
  <c r="BC57"/>
  <c r="BE57" s="1"/>
  <c r="BK57"/>
  <c r="CP57"/>
  <c r="CQ57" s="1"/>
  <c r="CW57"/>
  <c r="DC57"/>
  <c r="BD58"/>
  <c r="BE58" s="1"/>
  <c r="BK58"/>
  <c r="CP58"/>
  <c r="CQ58" s="1"/>
  <c r="CW58"/>
  <c r="DC58"/>
  <c r="BD59"/>
  <c r="BE59" s="1"/>
  <c r="BK59"/>
  <c r="CP59"/>
  <c r="CQ59" s="1"/>
  <c r="CW59"/>
  <c r="DC59"/>
  <c r="BD60"/>
  <c r="BE60" s="1"/>
  <c r="BK60"/>
  <c r="CP60"/>
  <c r="CQ60" s="1"/>
  <c r="CW60"/>
  <c r="DC60"/>
  <c r="BD61"/>
  <c r="BE61" s="1"/>
  <c r="BK61"/>
  <c r="CP61"/>
  <c r="CQ61" s="1"/>
  <c r="CW61"/>
  <c r="DC61"/>
  <c r="BD62"/>
  <c r="BE62" s="1"/>
  <c r="BK62"/>
  <c r="CQ62"/>
  <c r="CW62"/>
  <c r="DC62"/>
  <c r="BD63"/>
  <c r="BE63" s="1"/>
  <c r="BK63"/>
  <c r="CP63"/>
  <c r="CQ63" s="1"/>
  <c r="CW63"/>
  <c r="DC63"/>
  <c r="AC54"/>
  <c r="CW54"/>
  <c r="AC55"/>
  <c r="CW55"/>
  <c r="AC56"/>
  <c r="CW56"/>
  <c r="AC57"/>
  <c r="CD57"/>
  <c r="CE57" s="1"/>
  <c r="DE57"/>
  <c r="AC58"/>
  <c r="AD58" s="1"/>
  <c r="AS58"/>
  <c r="AT58" s="1"/>
  <c r="BM58"/>
  <c r="CD58"/>
  <c r="CE58" s="1"/>
  <c r="DE58"/>
  <c r="AC59"/>
  <c r="AD59" s="1"/>
  <c r="AS59"/>
  <c r="AT59" s="1"/>
  <c r="BM59"/>
  <c r="CD59"/>
  <c r="CE59" s="1"/>
  <c r="DE59"/>
  <c r="AC60"/>
  <c r="AD60" s="1"/>
  <c r="AS60"/>
  <c r="AT60" s="1"/>
  <c r="BM60"/>
  <c r="CD60"/>
  <c r="CE60" s="1"/>
  <c r="DE60"/>
  <c r="AC61"/>
  <c r="AD61" s="1"/>
  <c r="AS61"/>
  <c r="AT61" s="1"/>
  <c r="BM61"/>
  <c r="CD61"/>
  <c r="CE61" s="1"/>
  <c r="DE61"/>
  <c r="AC62"/>
  <c r="AD62" s="1"/>
  <c r="AS62"/>
  <c r="AT62" s="1"/>
  <c r="BM62"/>
  <c r="CD62"/>
  <c r="CE62" s="1"/>
  <c r="DE62"/>
  <c r="AC63"/>
  <c r="AD63" s="1"/>
  <c r="AS63"/>
  <c r="AT63" s="1"/>
  <c r="BM63"/>
  <c r="CD63"/>
  <c r="CE63" s="1"/>
  <c r="DE63"/>
  <c r="AH64"/>
  <c r="BC64"/>
  <c r="BE64" s="1"/>
  <c r="BJ64"/>
  <c r="BL64" s="1"/>
  <c r="CC64"/>
  <c r="CO64"/>
  <c r="CV64"/>
  <c r="CX64" s="1"/>
  <c r="DB64"/>
  <c r="DD64" s="1"/>
  <c r="R65"/>
  <c r="AH65"/>
  <c r="AT65" s="1"/>
  <c r="BC65"/>
  <c r="BE65" s="1"/>
  <c r="BJ65"/>
  <c r="BL65" s="1"/>
  <c r="CC65"/>
  <c r="CE65" s="1"/>
  <c r="CO65"/>
  <c r="CQ65" s="1"/>
  <c r="CV65"/>
  <c r="CX65" s="1"/>
  <c r="DB65"/>
  <c r="DD65" s="1"/>
  <c r="R66"/>
  <c r="AH66"/>
  <c r="AT66" s="1"/>
  <c r="BC66"/>
  <c r="BE66" s="1"/>
  <c r="BJ66"/>
  <c r="BL66" s="1"/>
  <c r="CC66"/>
  <c r="CO66"/>
  <c r="CQ66" s="1"/>
  <c r="CV66"/>
  <c r="CX66" s="1"/>
  <c r="DB66"/>
  <c r="DD66" s="1"/>
  <c r="R67"/>
  <c r="AH67"/>
  <c r="AT67" s="1"/>
  <c r="BC67"/>
  <c r="BE67" s="1"/>
  <c r="BJ67"/>
  <c r="BL67" s="1"/>
  <c r="CC67"/>
  <c r="CE67" s="1"/>
  <c r="CO67"/>
  <c r="CQ67" s="1"/>
  <c r="CV67"/>
  <c r="CX67" s="1"/>
  <c r="DB67"/>
  <c r="DD67" s="1"/>
  <c r="R68"/>
  <c r="AH68"/>
  <c r="BC68"/>
  <c r="BE68" s="1"/>
  <c r="BJ68"/>
  <c r="BL68" s="1"/>
  <c r="CC68"/>
  <c r="CO68"/>
  <c r="CQ68" s="1"/>
  <c r="CV68"/>
  <c r="CX68" s="1"/>
  <c r="DB68"/>
  <c r="DD68" s="1"/>
  <c r="R69"/>
  <c r="AH69"/>
  <c r="AT69" s="1"/>
  <c r="BC69"/>
  <c r="BE69" s="1"/>
  <c r="BJ69"/>
  <c r="BL69" s="1"/>
  <c r="CC69"/>
  <c r="CE69" s="1"/>
  <c r="CO69"/>
  <c r="CQ69" s="1"/>
  <c r="CV69"/>
  <c r="CX69" s="1"/>
  <c r="DB69"/>
  <c r="DD69" s="1"/>
  <c r="R70"/>
  <c r="AH70"/>
  <c r="AT70" s="1"/>
  <c r="BC70"/>
  <c r="BE70" s="1"/>
  <c r="BJ70"/>
  <c r="BL70" s="1"/>
  <c r="CC70"/>
  <c r="CO70"/>
  <c r="CQ70" s="1"/>
  <c r="CV70"/>
  <c r="CX70" s="1"/>
  <c r="DB70"/>
  <c r="DD70" s="1"/>
  <c r="R71"/>
  <c r="AH71"/>
  <c r="AT71" s="1"/>
  <c r="BC71"/>
  <c r="BE71" s="1"/>
  <c r="BJ71"/>
  <c r="BL71" s="1"/>
  <c r="CC71"/>
  <c r="CE71" s="1"/>
  <c r="CO71"/>
  <c r="CQ71" s="1"/>
  <c r="CV71"/>
  <c r="CX71" s="1"/>
  <c r="DB71"/>
  <c r="DD71" s="1"/>
  <c r="R72"/>
  <c r="AH72"/>
  <c r="BC72"/>
  <c r="BE72" s="1"/>
  <c r="BJ72"/>
  <c r="BL72" s="1"/>
  <c r="CC72"/>
  <c r="CO72"/>
  <c r="CQ72" s="1"/>
  <c r="CV72"/>
  <c r="CX72" s="1"/>
  <c r="DB72"/>
  <c r="DD72" s="1"/>
  <c r="R73"/>
  <c r="AH73"/>
  <c r="AT73" s="1"/>
  <c r="BC73"/>
  <c r="BE73" s="1"/>
  <c r="BJ73"/>
  <c r="BL73" s="1"/>
  <c r="CC73"/>
  <c r="CE73" s="1"/>
  <c r="CO73"/>
  <c r="CQ73" s="1"/>
  <c r="CV73"/>
  <c r="CX73" s="1"/>
  <c r="DB73"/>
  <c r="DD73" s="1"/>
  <c r="R74"/>
  <c r="AH74"/>
  <c r="AT74" s="1"/>
  <c r="BC74"/>
  <c r="BE74" s="1"/>
  <c r="BJ74"/>
  <c r="BL74" s="1"/>
  <c r="CC74"/>
  <c r="CO74"/>
  <c r="CQ74" s="1"/>
  <c r="CV74"/>
  <c r="CX74" s="1"/>
  <c r="DB74"/>
  <c r="DD74" s="1"/>
  <c r="R75"/>
  <c r="AH75"/>
  <c r="AT75" s="1"/>
  <c r="BC75"/>
  <c r="BE75" s="1"/>
  <c r="BJ75"/>
  <c r="BL75" s="1"/>
  <c r="CC75"/>
  <c r="CE75" s="1"/>
  <c r="CO75"/>
  <c r="CQ75" s="1"/>
  <c r="CV75"/>
  <c r="CX75" s="1"/>
  <c r="DB75"/>
  <c r="DD75" s="1"/>
  <c r="R76"/>
  <c r="AH76"/>
  <c r="BC76"/>
  <c r="BE76" s="1"/>
  <c r="BJ76"/>
  <c r="BL76" s="1"/>
  <c r="BM76"/>
  <c r="CD76"/>
  <c r="CE76" s="1"/>
  <c r="DE76"/>
  <c r="AC77"/>
  <c r="AD77" s="1"/>
  <c r="AS77"/>
  <c r="AT77" s="1"/>
  <c r="BM77"/>
  <c r="CD77"/>
  <c r="CE77" s="1"/>
  <c r="DE77"/>
  <c r="AC78"/>
  <c r="AD78" s="1"/>
  <c r="AS78"/>
  <c r="AT78" s="1"/>
  <c r="BM78"/>
  <c r="CD78"/>
  <c r="CE78" s="1"/>
  <c r="DE78"/>
  <c r="AC79"/>
  <c r="AD79" s="1"/>
  <c r="AS79"/>
  <c r="AT79" s="1"/>
  <c r="BM79"/>
  <c r="CD79"/>
  <c r="CE79" s="1"/>
  <c r="CW64"/>
  <c r="AC65"/>
  <c r="CW65"/>
  <c r="AC66"/>
  <c r="AD66" s="1"/>
  <c r="CW66"/>
  <c r="AC67"/>
  <c r="CW67"/>
  <c r="AC68"/>
  <c r="AD68" s="1"/>
  <c r="CW68"/>
  <c r="AC69"/>
  <c r="CW69"/>
  <c r="AC70"/>
  <c r="AD70" s="1"/>
  <c r="CW70"/>
  <c r="AC71"/>
  <c r="CW71"/>
  <c r="AC72"/>
  <c r="AD72" s="1"/>
  <c r="CW72"/>
  <c r="AC73"/>
  <c r="CW73"/>
  <c r="AC74"/>
  <c r="AD74" s="1"/>
  <c r="CW74"/>
  <c r="AC75"/>
  <c r="CW75"/>
  <c r="CP76"/>
  <c r="CQ76" s="1"/>
  <c r="BD77"/>
  <c r="BE77" s="1"/>
  <c r="CP77"/>
  <c r="CQ77" s="1"/>
  <c r="BD78"/>
  <c r="BE78" s="1"/>
  <c r="CP78"/>
  <c r="CQ78" s="1"/>
  <c r="BD79"/>
  <c r="BE79" s="1"/>
  <c r="CP79"/>
  <c r="CQ79" s="1"/>
  <c r="CW79"/>
  <c r="DC79"/>
  <c r="DE79"/>
  <c r="AC80"/>
  <c r="AD80" s="1"/>
  <c r="AS80"/>
  <c r="AT80" s="1"/>
  <c r="BD80"/>
  <c r="BE80" s="1"/>
  <c r="BK80"/>
  <c r="BM80"/>
  <c r="CD80"/>
  <c r="CE80" s="1"/>
  <c r="CP80"/>
  <c r="CQ80" s="1"/>
  <c r="CW80"/>
  <c r="DC80"/>
  <c r="DE80"/>
  <c r="AC81"/>
  <c r="AD81" s="1"/>
  <c r="AS81"/>
  <c r="AT81" s="1"/>
  <c r="BD81"/>
  <c r="BE81" s="1"/>
  <c r="BK81"/>
  <c r="BM81"/>
  <c r="CD81"/>
  <c r="CE81" s="1"/>
  <c r="CP81"/>
  <c r="CQ81" s="1"/>
  <c r="CW81"/>
  <c r="DC81"/>
  <c r="DE81"/>
  <c r="AC82"/>
  <c r="AD82" s="1"/>
  <c r="AS82"/>
  <c r="AT82" s="1"/>
  <c r="BD82"/>
  <c r="BE82" s="1"/>
  <c r="BK82"/>
  <c r="BM82"/>
  <c r="CD82"/>
  <c r="CE82" s="1"/>
  <c r="CP82"/>
  <c r="CQ82" s="1"/>
  <c r="CW82"/>
  <c r="DC82"/>
  <c r="DE82"/>
  <c r="AC83"/>
  <c r="AD83" s="1"/>
  <c r="AS83"/>
  <c r="AT83" s="1"/>
  <c r="BD83"/>
  <c r="BE83" s="1"/>
  <c r="BK83"/>
  <c r="BM83"/>
  <c r="CD83"/>
  <c r="CE83" s="1"/>
  <c r="CP83"/>
  <c r="CQ83" s="1"/>
  <c r="CW83"/>
  <c r="DC83"/>
  <c r="DE83"/>
  <c r="AC84"/>
  <c r="AD84" s="1"/>
  <c r="AS84"/>
  <c r="BD84"/>
  <c r="BE84" s="1"/>
  <c r="BK84"/>
  <c r="BM84"/>
  <c r="CD84"/>
  <c r="CE84" s="1"/>
  <c r="CP84"/>
  <c r="CQ84" s="1"/>
  <c r="CW84"/>
  <c r="DC84"/>
  <c r="DE84"/>
  <c r="AC85"/>
  <c r="BD85"/>
  <c r="BE85" s="1"/>
  <c r="CP85"/>
  <c r="CQ85" s="1"/>
  <c r="BD86"/>
  <c r="BE86" s="1"/>
  <c r="CP86"/>
  <c r="CQ86" s="1"/>
  <c r="BD87"/>
  <c r="BE87" s="1"/>
  <c r="CP87"/>
  <c r="CQ87" s="1"/>
  <c r="BD88"/>
  <c r="BE88" s="1"/>
  <c r="CD88"/>
  <c r="R85"/>
  <c r="AS85"/>
  <c r="AT85" s="1"/>
  <c r="CD85"/>
  <c r="CE85" s="1"/>
  <c r="DE85"/>
  <c r="AC86"/>
  <c r="AD86" s="1"/>
  <c r="AS86"/>
  <c r="AT86" s="1"/>
  <c r="BM86"/>
  <c r="CD86"/>
  <c r="CE86" s="1"/>
  <c r="DE86"/>
  <c r="AC87"/>
  <c r="AD87" s="1"/>
  <c r="AS87"/>
  <c r="AT87" s="1"/>
  <c r="BM87"/>
  <c r="CD87"/>
  <c r="CE87" s="1"/>
  <c r="DE87"/>
  <c r="AC88"/>
  <c r="AD88" s="1"/>
  <c r="AS88"/>
  <c r="AT88" s="1"/>
  <c r="BM88"/>
  <c r="DE88"/>
  <c r="CC88"/>
  <c r="CO88"/>
  <c r="CQ88" s="1"/>
  <c r="CV88"/>
  <c r="CX88" s="1"/>
  <c r="DB88"/>
  <c r="DD88" s="1"/>
  <c r="R89"/>
  <c r="AH89"/>
  <c r="AT89" s="1"/>
  <c r="BC89"/>
  <c r="BE89" s="1"/>
  <c r="BJ89"/>
  <c r="BL89" s="1"/>
  <c r="CC89"/>
  <c r="CE89" s="1"/>
  <c r="CO89"/>
  <c r="CQ89" s="1"/>
  <c r="CV89"/>
  <c r="CX89" s="1"/>
  <c r="DB89"/>
  <c r="DD89" s="1"/>
  <c r="R90"/>
  <c r="AH90"/>
  <c r="AT90" s="1"/>
  <c r="BC90"/>
  <c r="BE90" s="1"/>
  <c r="BJ90"/>
  <c r="BL90" s="1"/>
  <c r="CC90"/>
  <c r="CE90" s="1"/>
  <c r="CO90"/>
  <c r="CQ90" s="1"/>
  <c r="CV90"/>
  <c r="CX90" s="1"/>
  <c r="DB90"/>
  <c r="DD90" s="1"/>
  <c r="R91"/>
  <c r="AH91"/>
  <c r="AT91" s="1"/>
  <c r="BC91"/>
  <c r="BE91" s="1"/>
  <c r="BJ91"/>
  <c r="BL91" s="1"/>
  <c r="CC91"/>
  <c r="CE91" s="1"/>
  <c r="CO91"/>
  <c r="CQ91" s="1"/>
  <c r="CV91"/>
  <c r="CX91" s="1"/>
  <c r="DB91"/>
  <c r="DD91" s="1"/>
  <c r="R92"/>
  <c r="AH92"/>
  <c r="AT92" s="1"/>
  <c r="BC92"/>
  <c r="BE92" s="1"/>
  <c r="BJ92"/>
  <c r="BL92" s="1"/>
  <c r="CC92"/>
  <c r="CE92" s="1"/>
  <c r="CO92"/>
  <c r="CQ92" s="1"/>
  <c r="CV92"/>
  <c r="CX92" s="1"/>
  <c r="DB92"/>
  <c r="DD92" s="1"/>
  <c r="R93"/>
  <c r="AH93"/>
  <c r="AT93" s="1"/>
  <c r="BC93"/>
  <c r="BE93" s="1"/>
  <c r="BJ93"/>
  <c r="BL93" s="1"/>
  <c r="CC93"/>
  <c r="CE93" s="1"/>
  <c r="CO93"/>
  <c r="CV93"/>
  <c r="CX93" s="1"/>
  <c r="DB93"/>
  <c r="DD93" s="1"/>
  <c r="R94"/>
  <c r="AH94"/>
  <c r="AT94" s="1"/>
  <c r="BC94"/>
  <c r="BE94" s="1"/>
  <c r="BJ94"/>
  <c r="BL94" s="1"/>
  <c r="CC94"/>
  <c r="CE94" s="1"/>
  <c r="CO94"/>
  <c r="CQ94" s="1"/>
  <c r="CV94"/>
  <c r="CX94" s="1"/>
  <c r="DB94"/>
  <c r="DD94" s="1"/>
  <c r="CW88"/>
  <c r="AC89"/>
  <c r="CW89"/>
  <c r="AC90"/>
  <c r="CW90"/>
  <c r="AC91"/>
  <c r="CW91"/>
  <c r="AC92"/>
  <c r="CW92"/>
  <c r="AC93"/>
  <c r="CW93"/>
  <c r="AC94"/>
  <c r="CW94"/>
  <c r="CV131" i="6" l="1"/>
  <c r="CW131" s="1"/>
  <c r="CX131" s="1"/>
  <c r="CV167"/>
  <c r="CW167" s="1"/>
  <c r="CX167" s="1"/>
  <c r="CV171"/>
  <c r="CW171" s="1"/>
  <c r="CX171" s="1"/>
  <c r="CV61"/>
  <c r="CW61" s="1"/>
  <c r="CX61" s="1"/>
  <c r="CV115"/>
  <c r="CW115" s="1"/>
  <c r="CX115" s="1"/>
  <c r="CV73"/>
  <c r="CW73" s="1"/>
  <c r="CX73" s="1"/>
  <c r="CV77"/>
  <c r="CW77" s="1"/>
  <c r="CX77" s="1"/>
  <c r="CV101"/>
  <c r="CW101" s="1"/>
  <c r="CX101" s="1"/>
  <c r="CV145"/>
  <c r="CW145" s="1"/>
  <c r="CX145" s="1"/>
  <c r="CV165"/>
  <c r="CW165" s="1"/>
  <c r="CX165" s="1"/>
  <c r="CV83"/>
  <c r="CW83" s="1"/>
  <c r="CX83" s="1"/>
  <c r="CV111"/>
  <c r="CW111" s="1"/>
  <c r="CX111" s="1"/>
  <c r="CV141"/>
  <c r="CW141" s="1"/>
  <c r="CX141" s="1"/>
  <c r="CV57"/>
  <c r="CW57" s="1"/>
  <c r="CX57" s="1"/>
  <c r="CV161"/>
  <c r="CW161" s="1"/>
  <c r="CX161" s="1"/>
  <c r="CV156"/>
  <c r="CW156" s="1"/>
  <c r="CX156" s="1"/>
  <c r="CV71"/>
  <c r="CW71" s="1"/>
  <c r="CX71" s="1"/>
  <c r="CV53"/>
  <c r="CW53" s="1"/>
  <c r="CX53" s="1"/>
  <c r="CV99"/>
  <c r="CW99" s="1"/>
  <c r="CX99" s="1"/>
  <c r="CV96"/>
  <c r="CW96" s="1"/>
  <c r="CX96" s="1"/>
  <c r="CV153"/>
  <c r="CW153" s="1"/>
  <c r="CX153" s="1"/>
  <c r="CV75"/>
  <c r="CW75" s="1"/>
  <c r="CX75" s="1"/>
  <c r="CV59"/>
  <c r="CW59" s="1"/>
  <c r="CX59" s="1"/>
  <c r="CV98"/>
  <c r="CW98" s="1"/>
  <c r="CX98" s="1"/>
  <c r="CV149"/>
  <c r="CW149" s="1"/>
  <c r="CX149" s="1"/>
  <c r="K20" i="12"/>
  <c r="AT121" i="11"/>
  <c r="CE176"/>
  <c r="DF160"/>
  <c r="CE72"/>
  <c r="CE68"/>
  <c r="CE64"/>
  <c r="CE56"/>
  <c r="CQ188"/>
  <c r="BE187"/>
  <c r="BN187" s="1"/>
  <c r="BE185"/>
  <c r="CQ140"/>
  <c r="DF140" s="1"/>
  <c r="BE124"/>
  <c r="AT57"/>
  <c r="AT175"/>
  <c r="AT171"/>
  <c r="AT159"/>
  <c r="BN159" s="1"/>
  <c r="AD76"/>
  <c r="AD158"/>
  <c r="BE154"/>
  <c r="BE150"/>
  <c r="BE156"/>
  <c r="BE152"/>
  <c r="BE159"/>
  <c r="AT154"/>
  <c r="BN154" s="1"/>
  <c r="AT150"/>
  <c r="AT190"/>
  <c r="AT189"/>
  <c r="BN189" s="1"/>
  <c r="AT188"/>
  <c r="AT185"/>
  <c r="BN185" s="1"/>
  <c r="AT178"/>
  <c r="AT176"/>
  <c r="AT174"/>
  <c r="AT172"/>
  <c r="AT170"/>
  <c r="AT168"/>
  <c r="BE155"/>
  <c r="BE151"/>
  <c r="BE176"/>
  <c r="BE172"/>
  <c r="L20" i="12" s="1"/>
  <c r="BE168" i="11"/>
  <c r="BE180"/>
  <c r="BN180" s="1"/>
  <c r="AD156"/>
  <c r="AD154"/>
  <c r="AD152"/>
  <c r="AD150"/>
  <c r="CQ178"/>
  <c r="DF178" s="1"/>
  <c r="AT160"/>
  <c r="BN160" s="1"/>
  <c r="BE56"/>
  <c r="AT141"/>
  <c r="AT137"/>
  <c r="BN137" s="1"/>
  <c r="AD127"/>
  <c r="CQ186"/>
  <c r="AT186"/>
  <c r="BE178"/>
  <c r="BE174"/>
  <c r="BE170"/>
  <c r="AD157"/>
  <c r="BN157" s="1"/>
  <c r="AD155"/>
  <c r="AD153"/>
  <c r="AD151"/>
  <c r="DF180"/>
  <c r="DF159"/>
  <c r="CQ93"/>
  <c r="CE74"/>
  <c r="DF74" s="1"/>
  <c r="CE70"/>
  <c r="DF70" s="1"/>
  <c r="CE66"/>
  <c r="AD140"/>
  <c r="AD138"/>
  <c r="BE142"/>
  <c r="BE138"/>
  <c r="AD121"/>
  <c r="BN121" s="1"/>
  <c r="AD119"/>
  <c r="AD117"/>
  <c r="BN117" s="1"/>
  <c r="AD115"/>
  <c r="BN115" s="1"/>
  <c r="AD113"/>
  <c r="BN113" s="1"/>
  <c r="AD188"/>
  <c r="AD186"/>
  <c r="CE154"/>
  <c r="DF154" s="1"/>
  <c r="CE150"/>
  <c r="DF150" s="1"/>
  <c r="AT76"/>
  <c r="AT72"/>
  <c r="AT68"/>
  <c r="CQ64"/>
  <c r="AT64"/>
  <c r="CE175"/>
  <c r="DF175" s="1"/>
  <c r="CE171"/>
  <c r="DF171" s="1"/>
  <c r="CE167"/>
  <c r="DF167" s="1"/>
  <c r="AT156"/>
  <c r="AT152"/>
  <c r="BE158"/>
  <c r="BN158" s="1"/>
  <c r="DF63"/>
  <c r="BN61"/>
  <c r="DF59"/>
  <c r="AD57"/>
  <c r="BN57" s="1"/>
  <c r="AD55"/>
  <c r="AD142"/>
  <c r="BN142" s="1"/>
  <c r="DF135"/>
  <c r="BN103"/>
  <c r="AD190"/>
  <c r="AD178"/>
  <c r="AD176"/>
  <c r="AD174"/>
  <c r="AD172"/>
  <c r="AD170"/>
  <c r="AD168"/>
  <c r="DF161"/>
  <c r="AT155"/>
  <c r="AT153"/>
  <c r="BN153" s="1"/>
  <c r="AT151"/>
  <c r="DF87"/>
  <c r="DF61"/>
  <c r="DF57"/>
  <c r="AD56"/>
  <c r="AD54"/>
  <c r="BN54" s="1"/>
  <c r="DF133"/>
  <c r="AD177"/>
  <c r="BN177" s="1"/>
  <c r="AD175"/>
  <c r="BN175" s="1"/>
  <c r="AD173"/>
  <c r="BN173" s="1"/>
  <c r="AD171"/>
  <c r="AD169"/>
  <c r="BN169" s="1"/>
  <c r="BE161"/>
  <c r="BN161" s="1"/>
  <c r="DF157"/>
  <c r="BN86"/>
  <c r="DF84"/>
  <c r="DF82"/>
  <c r="DF80"/>
  <c r="BN125"/>
  <c r="DF102"/>
  <c r="DF177"/>
  <c r="DF176"/>
  <c r="DF174"/>
  <c r="DF173"/>
  <c r="DF172"/>
  <c r="DF170"/>
  <c r="DF169"/>
  <c r="DF168"/>
  <c r="BN166"/>
  <c r="DF164"/>
  <c r="BN162"/>
  <c r="BN132"/>
  <c r="BN130"/>
  <c r="BN126"/>
  <c r="DF124"/>
  <c r="AD123"/>
  <c r="BN123" s="1"/>
  <c r="CE158"/>
  <c r="DF158" s="1"/>
  <c r="AT167"/>
  <c r="AD89"/>
  <c r="BN89" s="1"/>
  <c r="AD94"/>
  <c r="BN94" s="1"/>
  <c r="AD92"/>
  <c r="BN92" s="1"/>
  <c r="AD90"/>
  <c r="AD75"/>
  <c r="BN75" s="1"/>
  <c r="AD73"/>
  <c r="BN73" s="1"/>
  <c r="AD71"/>
  <c r="BN71" s="1"/>
  <c r="AD69"/>
  <c r="BN69" s="1"/>
  <c r="AD67"/>
  <c r="BN67" s="1"/>
  <c r="AD65"/>
  <c r="BN65" s="1"/>
  <c r="DF75"/>
  <c r="DF73"/>
  <c r="DF72"/>
  <c r="DF69"/>
  <c r="DF67"/>
  <c r="DF66"/>
  <c r="DF65"/>
  <c r="DF64"/>
  <c r="BN63"/>
  <c r="BN59"/>
  <c r="BN135"/>
  <c r="BN131"/>
  <c r="BN129"/>
  <c r="DF126"/>
  <c r="BN104"/>
  <c r="BN102"/>
  <c r="AD167"/>
  <c r="CE156"/>
  <c r="DF156" s="1"/>
  <c r="CE155"/>
  <c r="DF155" s="1"/>
  <c r="CE152"/>
  <c r="DF152" s="1"/>
  <c r="CE151"/>
  <c r="DF151" s="1"/>
  <c r="DF56"/>
  <c r="DF55"/>
  <c r="DF54"/>
  <c r="DF129"/>
  <c r="DF127"/>
  <c r="AD93"/>
  <c r="BN93" s="1"/>
  <c r="BN87"/>
  <c r="DF189"/>
  <c r="DF188"/>
  <c r="DF186"/>
  <c r="DF185"/>
  <c r="CE179"/>
  <c r="DF179" s="1"/>
  <c r="AD91"/>
  <c r="BN91" s="1"/>
  <c r="DF85"/>
  <c r="DF92"/>
  <c r="DF91"/>
  <c r="DF90"/>
  <c r="DF89"/>
  <c r="BN88"/>
  <c r="DF86"/>
  <c r="DF83"/>
  <c r="DF81"/>
  <c r="DF79"/>
  <c r="DF132"/>
  <c r="DF125"/>
  <c r="BN122"/>
  <c r="BN120"/>
  <c r="BN119"/>
  <c r="BN118"/>
  <c r="BN116"/>
  <c r="BN114"/>
  <c r="DF103"/>
  <c r="DF166"/>
  <c r="BN164"/>
  <c r="DF162"/>
  <c r="BN179"/>
  <c r="BN141"/>
  <c r="BN140"/>
  <c r="BN139"/>
  <c r="BN70"/>
  <c r="BN90"/>
  <c r="BN74"/>
  <c r="BN68"/>
  <c r="BN66"/>
  <c r="BN190"/>
  <c r="DF190"/>
  <c r="DF187"/>
  <c r="BN176"/>
  <c r="DF153"/>
  <c r="DF184"/>
  <c r="BN184"/>
  <c r="DF182"/>
  <c r="BN182"/>
  <c r="DF165"/>
  <c r="BN165"/>
  <c r="DF163"/>
  <c r="BN163"/>
  <c r="DF183"/>
  <c r="BN183"/>
  <c r="DF181"/>
  <c r="BN181"/>
  <c r="DF142"/>
  <c r="DF141"/>
  <c r="DF139"/>
  <c r="DF138"/>
  <c r="DF137"/>
  <c r="BN124"/>
  <c r="DF123"/>
  <c r="DF122"/>
  <c r="DF121"/>
  <c r="DF120"/>
  <c r="DF119"/>
  <c r="DF118"/>
  <c r="DF117"/>
  <c r="DF116"/>
  <c r="DF115"/>
  <c r="DF114"/>
  <c r="DF113"/>
  <c r="DF112"/>
  <c r="DF136"/>
  <c r="AD133"/>
  <c r="BN133" s="1"/>
  <c r="BN128"/>
  <c r="BN127"/>
  <c r="DF111"/>
  <c r="BN111"/>
  <c r="DF109"/>
  <c r="BN109"/>
  <c r="DF107"/>
  <c r="BN107"/>
  <c r="DF105"/>
  <c r="BN105"/>
  <c r="BN136"/>
  <c r="DF134"/>
  <c r="BN134"/>
  <c r="DF131"/>
  <c r="DF130"/>
  <c r="AD112"/>
  <c r="BN112" s="1"/>
  <c r="DF110"/>
  <c r="BN110"/>
  <c r="DF108"/>
  <c r="BN108"/>
  <c r="DF106"/>
  <c r="BN106"/>
  <c r="DF104"/>
  <c r="DF71"/>
  <c r="DF68"/>
  <c r="BN55"/>
  <c r="DF94"/>
  <c r="DF93"/>
  <c r="BN72"/>
  <c r="CE88"/>
  <c r="DF88" s="1"/>
  <c r="AD85"/>
  <c r="BN85" s="1"/>
  <c r="BN83"/>
  <c r="BN82"/>
  <c r="BN81"/>
  <c r="BN80"/>
  <c r="BN79"/>
  <c r="DF77"/>
  <c r="BN77"/>
  <c r="DF62"/>
  <c r="BN62"/>
  <c r="DF60"/>
  <c r="BN60"/>
  <c r="DF58"/>
  <c r="BN58"/>
  <c r="AD64"/>
  <c r="BN64" s="1"/>
  <c r="DF78"/>
  <c r="BN78"/>
  <c r="DF76"/>
  <c r="BN188" l="1"/>
  <c r="BN138"/>
  <c r="BN56"/>
  <c r="BN172"/>
  <c r="BN171"/>
  <c r="BN76"/>
  <c r="BN150"/>
  <c r="BN155"/>
  <c r="BN170"/>
  <c r="BN178"/>
  <c r="BN168"/>
  <c r="BN174"/>
  <c r="BN152"/>
  <c r="BN151"/>
  <c r="BN186"/>
  <c r="BN156"/>
  <c r="BN167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DI170"/>
  <c r="DG170"/>
  <c r="L170"/>
  <c r="M170" s="1"/>
  <c r="L169"/>
  <c r="M169" s="1"/>
  <c r="L168"/>
  <c r="M168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B15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L150"/>
  <c r="M150" s="1"/>
  <c r="DI142"/>
  <c r="DG142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DI123"/>
  <c r="DG123"/>
  <c r="L123"/>
  <c r="M123" s="1"/>
  <c r="L122"/>
  <c r="M122" s="1"/>
  <c r="DI121"/>
  <c r="DG12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B103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L102"/>
  <c r="M102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DI75"/>
  <c r="DG75"/>
  <c r="L75"/>
  <c r="M75" s="1"/>
  <c r="L74"/>
  <c r="M74" s="1"/>
  <c r="DI73"/>
  <c r="DG73"/>
  <c r="L73"/>
  <c r="M73" s="1"/>
  <c r="L72"/>
  <c r="M72" s="1"/>
  <c r="DI71"/>
  <c r="DG7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B55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L54"/>
  <c r="M54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L29" i="12"/>
  <c r="K29"/>
  <c r="L28"/>
  <c r="L22"/>
  <c r="K22"/>
  <c r="D831" i="10"/>
  <c r="I806" s="1"/>
  <c r="L830"/>
  <c r="G830"/>
  <c r="D830"/>
  <c r="L829"/>
  <c r="K829"/>
  <c r="J829"/>
  <c r="I829"/>
  <c r="L828"/>
  <c r="K828"/>
  <c r="J828"/>
  <c r="I828"/>
  <c r="J827"/>
  <c r="I827"/>
  <c r="L826"/>
  <c r="K826"/>
  <c r="J826"/>
  <c r="I826"/>
  <c r="J825"/>
  <c r="I825"/>
  <c r="J824"/>
  <c r="I824"/>
  <c r="O823"/>
  <c r="N823"/>
  <c r="L823"/>
  <c r="K823"/>
  <c r="J823"/>
  <c r="I823"/>
  <c r="L822"/>
  <c r="K822"/>
  <c r="J822"/>
  <c r="I822"/>
  <c r="J821"/>
  <c r="I821"/>
  <c r="L820"/>
  <c r="K820"/>
  <c r="J820"/>
  <c r="I820"/>
  <c r="J819"/>
  <c r="I819"/>
  <c r="J818"/>
  <c r="I818"/>
  <c r="L817"/>
  <c r="K817"/>
  <c r="J817"/>
  <c r="I817"/>
  <c r="J816"/>
  <c r="I816"/>
  <c r="J815"/>
  <c r="I815"/>
  <c r="O814"/>
  <c r="N814"/>
  <c r="L814"/>
  <c r="K814"/>
  <c r="J814"/>
  <c r="I814"/>
  <c r="C808"/>
  <c r="N807"/>
  <c r="J807"/>
  <c r="E807"/>
  <c r="C807"/>
  <c r="O831"/>
  <c r="O829"/>
  <c r="N829"/>
  <c r="M829"/>
  <c r="O828"/>
  <c r="N828"/>
  <c r="O827"/>
  <c r="N827"/>
  <c r="O826"/>
  <c r="N826"/>
  <c r="O825"/>
  <c r="N825"/>
  <c r="O824"/>
  <c r="N824"/>
  <c r="O822"/>
  <c r="N822"/>
  <c r="M822"/>
  <c r="O821"/>
  <c r="N821"/>
  <c r="M821"/>
  <c r="L821"/>
  <c r="K821"/>
  <c r="O820"/>
  <c r="N820"/>
  <c r="M820"/>
  <c r="O819"/>
  <c r="N819"/>
  <c r="M819"/>
  <c r="L819"/>
  <c r="K819"/>
  <c r="O818"/>
  <c r="N818"/>
  <c r="M818"/>
  <c r="L818"/>
  <c r="K818"/>
  <c r="O817"/>
  <c r="N817"/>
  <c r="M817"/>
  <c r="O816"/>
  <c r="N816"/>
  <c r="M816"/>
  <c r="L816"/>
  <c r="K816"/>
  <c r="O815"/>
  <c r="N815"/>
  <c r="M815"/>
  <c r="L815"/>
  <c r="K815"/>
  <c r="M814"/>
  <c r="F807"/>
  <c r="D799"/>
  <c r="I774" s="1"/>
  <c r="L798"/>
  <c r="G798"/>
  <c r="D798"/>
  <c r="L797"/>
  <c r="K797"/>
  <c r="J797"/>
  <c r="I797"/>
  <c r="L796"/>
  <c r="K796"/>
  <c r="J796"/>
  <c r="I796"/>
  <c r="J795"/>
  <c r="I795"/>
  <c r="L794"/>
  <c r="K794"/>
  <c r="J794"/>
  <c r="I794"/>
  <c r="J793"/>
  <c r="I793"/>
  <c r="J792"/>
  <c r="I792"/>
  <c r="O791"/>
  <c r="N791"/>
  <c r="L791"/>
  <c r="K791"/>
  <c r="J791"/>
  <c r="I791"/>
  <c r="L790"/>
  <c r="K790"/>
  <c r="J790"/>
  <c r="I790"/>
  <c r="J789"/>
  <c r="I789"/>
  <c r="L788"/>
  <c r="K788"/>
  <c r="J788"/>
  <c r="I788"/>
  <c r="J787"/>
  <c r="I787"/>
  <c r="J786"/>
  <c r="I786"/>
  <c r="L785"/>
  <c r="K785"/>
  <c r="J785"/>
  <c r="I785"/>
  <c r="J784"/>
  <c r="I784"/>
  <c r="J783"/>
  <c r="I783"/>
  <c r="O782"/>
  <c r="N782"/>
  <c r="L782"/>
  <c r="K782"/>
  <c r="J782"/>
  <c r="I782"/>
  <c r="C776"/>
  <c r="N775"/>
  <c r="J775"/>
  <c r="E775"/>
  <c r="C775"/>
  <c r="O799"/>
  <c r="O797"/>
  <c r="N797"/>
  <c r="M797"/>
  <c r="O796"/>
  <c r="N796"/>
  <c r="O795"/>
  <c r="N795"/>
  <c r="O794"/>
  <c r="N794"/>
  <c r="O793"/>
  <c r="N793"/>
  <c r="O792"/>
  <c r="N792"/>
  <c r="O790"/>
  <c r="N790"/>
  <c r="M790"/>
  <c r="O789"/>
  <c r="N789"/>
  <c r="M789"/>
  <c r="L789"/>
  <c r="K789"/>
  <c r="O788"/>
  <c r="N788"/>
  <c r="M788"/>
  <c r="O787"/>
  <c r="N787"/>
  <c r="M787"/>
  <c r="L787"/>
  <c r="K787"/>
  <c r="O786"/>
  <c r="N786"/>
  <c r="M786"/>
  <c r="L786"/>
  <c r="K786"/>
  <c r="O785"/>
  <c r="N785"/>
  <c r="M785"/>
  <c r="O784"/>
  <c r="N784"/>
  <c r="M784"/>
  <c r="L784"/>
  <c r="K784"/>
  <c r="O783"/>
  <c r="N783"/>
  <c r="M783"/>
  <c r="L783"/>
  <c r="K783"/>
  <c r="M782"/>
  <c r="F775"/>
  <c r="D767"/>
  <c r="I742" s="1"/>
  <c r="L766"/>
  <c r="G766"/>
  <c r="D766"/>
  <c r="L765"/>
  <c r="K765"/>
  <c r="J765"/>
  <c r="I765"/>
  <c r="L764"/>
  <c r="K764"/>
  <c r="J764"/>
  <c r="I764"/>
  <c r="J763"/>
  <c r="I763"/>
  <c r="L762"/>
  <c r="K762"/>
  <c r="J762"/>
  <c r="I762"/>
  <c r="J761"/>
  <c r="I761"/>
  <c r="J760"/>
  <c r="I760"/>
  <c r="O759"/>
  <c r="N759"/>
  <c r="L759"/>
  <c r="K759"/>
  <c r="J759"/>
  <c r="I759"/>
  <c r="L758"/>
  <c r="K758"/>
  <c r="J758"/>
  <c r="I758"/>
  <c r="J757"/>
  <c r="I757"/>
  <c r="L756"/>
  <c r="K756"/>
  <c r="J756"/>
  <c r="I756"/>
  <c r="J755"/>
  <c r="I755"/>
  <c r="J754"/>
  <c r="I754"/>
  <c r="L753"/>
  <c r="K753"/>
  <c r="J753"/>
  <c r="I753"/>
  <c r="J752"/>
  <c r="I752"/>
  <c r="J751"/>
  <c r="I751"/>
  <c r="O750"/>
  <c r="N750"/>
  <c r="L750"/>
  <c r="K750"/>
  <c r="J750"/>
  <c r="I750"/>
  <c r="C744"/>
  <c r="N743"/>
  <c r="J743"/>
  <c r="E743"/>
  <c r="C743"/>
  <c r="O767"/>
  <c r="O765"/>
  <c r="N765"/>
  <c r="M765"/>
  <c r="O764"/>
  <c r="N764"/>
  <c r="O763"/>
  <c r="N763"/>
  <c r="O762"/>
  <c r="N762"/>
  <c r="O761"/>
  <c r="N761"/>
  <c r="O760"/>
  <c r="N760"/>
  <c r="O758"/>
  <c r="N758"/>
  <c r="M758"/>
  <c r="O757"/>
  <c r="N757"/>
  <c r="M757"/>
  <c r="L757"/>
  <c r="K757"/>
  <c r="O756"/>
  <c r="N756"/>
  <c r="M756"/>
  <c r="O755"/>
  <c r="N755"/>
  <c r="M755"/>
  <c r="L755"/>
  <c r="K755"/>
  <c r="O754"/>
  <c r="N754"/>
  <c r="M754"/>
  <c r="L754"/>
  <c r="K754"/>
  <c r="O753"/>
  <c r="N753"/>
  <c r="M753"/>
  <c r="O752"/>
  <c r="N752"/>
  <c r="M752"/>
  <c r="L752"/>
  <c r="K752"/>
  <c r="O751"/>
  <c r="N751"/>
  <c r="M751"/>
  <c r="L751"/>
  <c r="K751"/>
  <c r="M750"/>
  <c r="F743"/>
  <c r="D735"/>
  <c r="I710" s="1"/>
  <c r="L734"/>
  <c r="G734"/>
  <c r="D734"/>
  <c r="L733"/>
  <c r="K733"/>
  <c r="J733"/>
  <c r="I733"/>
  <c r="L732"/>
  <c r="K732"/>
  <c r="J732"/>
  <c r="I732"/>
  <c r="J731"/>
  <c r="I731"/>
  <c r="L730"/>
  <c r="K730"/>
  <c r="J730"/>
  <c r="I730"/>
  <c r="J729"/>
  <c r="I729"/>
  <c r="J728"/>
  <c r="I728"/>
  <c r="O727"/>
  <c r="N727"/>
  <c r="L727"/>
  <c r="K727"/>
  <c r="J727"/>
  <c r="I727"/>
  <c r="L726"/>
  <c r="K726"/>
  <c r="J726"/>
  <c r="I726"/>
  <c r="J725"/>
  <c r="I725"/>
  <c r="L724"/>
  <c r="K724"/>
  <c r="J724"/>
  <c r="I724"/>
  <c r="J723"/>
  <c r="I723"/>
  <c r="J722"/>
  <c r="I722"/>
  <c r="L721"/>
  <c r="K721"/>
  <c r="J721"/>
  <c r="I721"/>
  <c r="J720"/>
  <c r="I720"/>
  <c r="J719"/>
  <c r="I719"/>
  <c r="O718"/>
  <c r="N718"/>
  <c r="L718"/>
  <c r="K718"/>
  <c r="J718"/>
  <c r="I718"/>
  <c r="C712"/>
  <c r="N711"/>
  <c r="J711"/>
  <c r="E711"/>
  <c r="C711"/>
  <c r="O735"/>
  <c r="O733"/>
  <c r="N733"/>
  <c r="M733"/>
  <c r="O732"/>
  <c r="N732"/>
  <c r="O731"/>
  <c r="N731"/>
  <c r="O730"/>
  <c r="N730"/>
  <c r="O729"/>
  <c r="N729"/>
  <c r="O728"/>
  <c r="N728"/>
  <c r="O726"/>
  <c r="N726"/>
  <c r="M726"/>
  <c r="O725"/>
  <c r="N725"/>
  <c r="M725"/>
  <c r="L725"/>
  <c r="K725"/>
  <c r="O724"/>
  <c r="N724"/>
  <c r="M724"/>
  <c r="O723"/>
  <c r="N723"/>
  <c r="M723"/>
  <c r="L723"/>
  <c r="K723"/>
  <c r="O722"/>
  <c r="N722"/>
  <c r="M722"/>
  <c r="L722"/>
  <c r="K722"/>
  <c r="O721"/>
  <c r="N721"/>
  <c r="M721"/>
  <c r="O720"/>
  <c r="N720"/>
  <c r="M720"/>
  <c r="L720"/>
  <c r="K720"/>
  <c r="O719"/>
  <c r="N719"/>
  <c r="M719"/>
  <c r="L719"/>
  <c r="K719"/>
  <c r="M718"/>
  <c r="F711"/>
  <c r="D703"/>
  <c r="I678" s="1"/>
  <c r="L702"/>
  <c r="G702"/>
  <c r="D702"/>
  <c r="L701"/>
  <c r="K701"/>
  <c r="J701"/>
  <c r="I701"/>
  <c r="L700"/>
  <c r="K700"/>
  <c r="J700"/>
  <c r="I700"/>
  <c r="J699"/>
  <c r="I699"/>
  <c r="L698"/>
  <c r="K698"/>
  <c r="J698"/>
  <c r="I698"/>
  <c r="J697"/>
  <c r="I697"/>
  <c r="J696"/>
  <c r="I696"/>
  <c r="O695"/>
  <c r="N695"/>
  <c r="L695"/>
  <c r="K695"/>
  <c r="J695"/>
  <c r="I695"/>
  <c r="L694"/>
  <c r="K694"/>
  <c r="J694"/>
  <c r="I694"/>
  <c r="J693"/>
  <c r="I693"/>
  <c r="L692"/>
  <c r="K692"/>
  <c r="J692"/>
  <c r="I692"/>
  <c r="J691"/>
  <c r="I691"/>
  <c r="J690"/>
  <c r="I690"/>
  <c r="L689"/>
  <c r="K689"/>
  <c r="J689"/>
  <c r="I689"/>
  <c r="J688"/>
  <c r="I688"/>
  <c r="J687"/>
  <c r="I687"/>
  <c r="O686"/>
  <c r="N686"/>
  <c r="L686"/>
  <c r="K686"/>
  <c r="J686"/>
  <c r="I686"/>
  <c r="C680"/>
  <c r="N679"/>
  <c r="J679"/>
  <c r="E679"/>
  <c r="C679"/>
  <c r="O703"/>
  <c r="O701"/>
  <c r="N701"/>
  <c r="M701"/>
  <c r="O700"/>
  <c r="N700"/>
  <c r="O699"/>
  <c r="N699"/>
  <c r="O698"/>
  <c r="N698"/>
  <c r="O697"/>
  <c r="N697"/>
  <c r="O696"/>
  <c r="N696"/>
  <c r="O694"/>
  <c r="N694"/>
  <c r="M694"/>
  <c r="O693"/>
  <c r="N693"/>
  <c r="M693"/>
  <c r="L693"/>
  <c r="K693"/>
  <c r="O692"/>
  <c r="N692"/>
  <c r="M692"/>
  <c r="O691"/>
  <c r="N691"/>
  <c r="M691"/>
  <c r="L691"/>
  <c r="K691"/>
  <c r="O690"/>
  <c r="N690"/>
  <c r="M690"/>
  <c r="L690"/>
  <c r="K690"/>
  <c r="O689"/>
  <c r="N689"/>
  <c r="M689"/>
  <c r="O688"/>
  <c r="N688"/>
  <c r="M688"/>
  <c r="L688"/>
  <c r="K688"/>
  <c r="O687"/>
  <c r="N687"/>
  <c r="M687"/>
  <c r="L687"/>
  <c r="K687"/>
  <c r="M686"/>
  <c r="F679"/>
  <c r="D671"/>
  <c r="I646" s="1"/>
  <c r="L670"/>
  <c r="G670"/>
  <c r="D670"/>
  <c r="L669"/>
  <c r="K669"/>
  <c r="J669"/>
  <c r="I669"/>
  <c r="L668"/>
  <c r="K668"/>
  <c r="J668"/>
  <c r="I668"/>
  <c r="J667"/>
  <c r="I667"/>
  <c r="L666"/>
  <c r="K666"/>
  <c r="J666"/>
  <c r="I666"/>
  <c r="J665"/>
  <c r="I665"/>
  <c r="J664"/>
  <c r="I664"/>
  <c r="O663"/>
  <c r="N663"/>
  <c r="L663"/>
  <c r="K663"/>
  <c r="J663"/>
  <c r="I663"/>
  <c r="L662"/>
  <c r="K662"/>
  <c r="J662"/>
  <c r="I662"/>
  <c r="J661"/>
  <c r="I661"/>
  <c r="L660"/>
  <c r="K660"/>
  <c r="J660"/>
  <c r="I660"/>
  <c r="J659"/>
  <c r="I659"/>
  <c r="J658"/>
  <c r="I658"/>
  <c r="L657"/>
  <c r="K657"/>
  <c r="J657"/>
  <c r="I657"/>
  <c r="J656"/>
  <c r="I656"/>
  <c r="J655"/>
  <c r="I655"/>
  <c r="O654"/>
  <c r="N654"/>
  <c r="L654"/>
  <c r="K654"/>
  <c r="J654"/>
  <c r="I654"/>
  <c r="C648"/>
  <c r="N647"/>
  <c r="J647"/>
  <c r="E647"/>
  <c r="C647"/>
  <c r="O671"/>
  <c r="O669"/>
  <c r="N669"/>
  <c r="M669"/>
  <c r="O668"/>
  <c r="N668"/>
  <c r="O667"/>
  <c r="N667"/>
  <c r="O666"/>
  <c r="N666"/>
  <c r="O665"/>
  <c r="N665"/>
  <c r="O664"/>
  <c r="N664"/>
  <c r="O662"/>
  <c r="N662"/>
  <c r="M662"/>
  <c r="O661"/>
  <c r="N661"/>
  <c r="M661"/>
  <c r="L661"/>
  <c r="K661"/>
  <c r="O660"/>
  <c r="N660"/>
  <c r="M660"/>
  <c r="O659"/>
  <c r="N659"/>
  <c r="M659"/>
  <c r="L659"/>
  <c r="K659"/>
  <c r="O658"/>
  <c r="N658"/>
  <c r="M658"/>
  <c r="L658"/>
  <c r="K658"/>
  <c r="O657"/>
  <c r="N657"/>
  <c r="M657"/>
  <c r="O656"/>
  <c r="N656"/>
  <c r="M656"/>
  <c r="L656"/>
  <c r="K656"/>
  <c r="O655"/>
  <c r="N655"/>
  <c r="M655"/>
  <c r="L655"/>
  <c r="K655"/>
  <c r="M654"/>
  <c r="F647"/>
  <c r="D639"/>
  <c r="I614" s="1"/>
  <c r="L638"/>
  <c r="G638"/>
  <c r="D638"/>
  <c r="L637"/>
  <c r="K637"/>
  <c r="J637"/>
  <c r="I637"/>
  <c r="L636"/>
  <c r="K636"/>
  <c r="J636"/>
  <c r="I636"/>
  <c r="J635"/>
  <c r="I635"/>
  <c r="L634"/>
  <c r="K634"/>
  <c r="J634"/>
  <c r="I634"/>
  <c r="J633"/>
  <c r="I633"/>
  <c r="J632"/>
  <c r="I632"/>
  <c r="O631"/>
  <c r="N631"/>
  <c r="L631"/>
  <c r="K631"/>
  <c r="J631"/>
  <c r="I631"/>
  <c r="L630"/>
  <c r="K630"/>
  <c r="J630"/>
  <c r="I630"/>
  <c r="J629"/>
  <c r="I629"/>
  <c r="L628"/>
  <c r="K628"/>
  <c r="J628"/>
  <c r="I628"/>
  <c r="J627"/>
  <c r="I627"/>
  <c r="J626"/>
  <c r="I626"/>
  <c r="L625"/>
  <c r="K625"/>
  <c r="J625"/>
  <c r="I625"/>
  <c r="J624"/>
  <c r="I624"/>
  <c r="J623"/>
  <c r="I623"/>
  <c r="O622"/>
  <c r="N622"/>
  <c r="L622"/>
  <c r="K622"/>
  <c r="J622"/>
  <c r="I622"/>
  <c r="C616"/>
  <c r="N615"/>
  <c r="J615"/>
  <c r="E615"/>
  <c r="C615"/>
  <c r="O639"/>
  <c r="O637"/>
  <c r="N637"/>
  <c r="M637"/>
  <c r="O636"/>
  <c r="N636"/>
  <c r="O635"/>
  <c r="N635"/>
  <c r="O634"/>
  <c r="N634"/>
  <c r="O633"/>
  <c r="N633"/>
  <c r="O632"/>
  <c r="N632"/>
  <c r="O630"/>
  <c r="N630"/>
  <c r="M630"/>
  <c r="O629"/>
  <c r="N629"/>
  <c r="M629"/>
  <c r="L629"/>
  <c r="K629"/>
  <c r="O628"/>
  <c r="N628"/>
  <c r="M628"/>
  <c r="O627"/>
  <c r="N627"/>
  <c r="M627"/>
  <c r="L627"/>
  <c r="K627"/>
  <c r="O626"/>
  <c r="N626"/>
  <c r="M626"/>
  <c r="L626"/>
  <c r="K626"/>
  <c r="O625"/>
  <c r="N625"/>
  <c r="M625"/>
  <c r="O624"/>
  <c r="N624"/>
  <c r="M624"/>
  <c r="L624"/>
  <c r="K624"/>
  <c r="O623"/>
  <c r="N623"/>
  <c r="M623"/>
  <c r="L623"/>
  <c r="K623"/>
  <c r="M622"/>
  <c r="F615"/>
  <c r="D607"/>
  <c r="I582" s="1"/>
  <c r="L606"/>
  <c r="G606"/>
  <c r="D606"/>
  <c r="L605"/>
  <c r="K605"/>
  <c r="J605"/>
  <c r="I605"/>
  <c r="L604"/>
  <c r="K604"/>
  <c r="J604"/>
  <c r="I604"/>
  <c r="J603"/>
  <c r="I603"/>
  <c r="L602"/>
  <c r="K602"/>
  <c r="J602"/>
  <c r="I602"/>
  <c r="J601"/>
  <c r="I601"/>
  <c r="J600"/>
  <c r="I600"/>
  <c r="O599"/>
  <c r="N599"/>
  <c r="L599"/>
  <c r="K599"/>
  <c r="J599"/>
  <c r="I599"/>
  <c r="L598"/>
  <c r="K598"/>
  <c r="J598"/>
  <c r="I598"/>
  <c r="J597"/>
  <c r="I597"/>
  <c r="L596"/>
  <c r="K596"/>
  <c r="J596"/>
  <c r="I596"/>
  <c r="J595"/>
  <c r="I595"/>
  <c r="J594"/>
  <c r="I594"/>
  <c r="L593"/>
  <c r="K593"/>
  <c r="J593"/>
  <c r="I593"/>
  <c r="J592"/>
  <c r="I592"/>
  <c r="J591"/>
  <c r="I591"/>
  <c r="O590"/>
  <c r="N590"/>
  <c r="L590"/>
  <c r="K590"/>
  <c r="J590"/>
  <c r="I590"/>
  <c r="C584"/>
  <c r="N583"/>
  <c r="J583"/>
  <c r="E583"/>
  <c r="C583"/>
  <c r="O607"/>
  <c r="O605"/>
  <c r="N605"/>
  <c r="M605"/>
  <c r="O604"/>
  <c r="N604"/>
  <c r="O603"/>
  <c r="N603"/>
  <c r="O602"/>
  <c r="N602"/>
  <c r="O601"/>
  <c r="N601"/>
  <c r="O600"/>
  <c r="N600"/>
  <c r="O598"/>
  <c r="N598"/>
  <c r="M598"/>
  <c r="O597"/>
  <c r="N597"/>
  <c r="M597"/>
  <c r="L597"/>
  <c r="K597"/>
  <c r="O596"/>
  <c r="N596"/>
  <c r="M596"/>
  <c r="O595"/>
  <c r="N595"/>
  <c r="M595"/>
  <c r="L595"/>
  <c r="K595"/>
  <c r="O594"/>
  <c r="N594"/>
  <c r="M594"/>
  <c r="L594"/>
  <c r="K594"/>
  <c r="O593"/>
  <c r="N593"/>
  <c r="M593"/>
  <c r="O592"/>
  <c r="N592"/>
  <c r="M592"/>
  <c r="L592"/>
  <c r="K592"/>
  <c r="O591"/>
  <c r="N591"/>
  <c r="M591"/>
  <c r="L591"/>
  <c r="K591"/>
  <c r="M590"/>
  <c r="F583"/>
  <c r="D575"/>
  <c r="I550" s="1"/>
  <c r="L574"/>
  <c r="G574"/>
  <c r="D574"/>
  <c r="L573"/>
  <c r="K573"/>
  <c r="J573"/>
  <c r="I573"/>
  <c r="L572"/>
  <c r="K572"/>
  <c r="J572"/>
  <c r="I572"/>
  <c r="J571"/>
  <c r="I571"/>
  <c r="L570"/>
  <c r="K570"/>
  <c r="J570"/>
  <c r="I570"/>
  <c r="J569"/>
  <c r="I569"/>
  <c r="J568"/>
  <c r="I568"/>
  <c r="O567"/>
  <c r="N567"/>
  <c r="L567"/>
  <c r="K567"/>
  <c r="J567"/>
  <c r="I567"/>
  <c r="L566"/>
  <c r="K566"/>
  <c r="J566"/>
  <c r="I566"/>
  <c r="J565"/>
  <c r="I565"/>
  <c r="L564"/>
  <c r="K564"/>
  <c r="J564"/>
  <c r="I564"/>
  <c r="J563"/>
  <c r="I563"/>
  <c r="J562"/>
  <c r="I562"/>
  <c r="L561"/>
  <c r="K561"/>
  <c r="J561"/>
  <c r="I561"/>
  <c r="J560"/>
  <c r="I560"/>
  <c r="J559"/>
  <c r="I559"/>
  <c r="O558"/>
  <c r="N558"/>
  <c r="L558"/>
  <c r="K558"/>
  <c r="J558"/>
  <c r="I558"/>
  <c r="C552"/>
  <c r="N551"/>
  <c r="J551"/>
  <c r="E551"/>
  <c r="C551"/>
  <c r="O575"/>
  <c r="O573"/>
  <c r="N573"/>
  <c r="M573"/>
  <c r="O572"/>
  <c r="N572"/>
  <c r="O571"/>
  <c r="N571"/>
  <c r="O570"/>
  <c r="N570"/>
  <c r="O569"/>
  <c r="N569"/>
  <c r="O568"/>
  <c r="N568"/>
  <c r="O566"/>
  <c r="N566"/>
  <c r="M566"/>
  <c r="O565"/>
  <c r="N565"/>
  <c r="M565"/>
  <c r="L565"/>
  <c r="K565"/>
  <c r="O564"/>
  <c r="N564"/>
  <c r="M564"/>
  <c r="O563"/>
  <c r="N563"/>
  <c r="M563"/>
  <c r="L563"/>
  <c r="K563"/>
  <c r="O562"/>
  <c r="N562"/>
  <c r="M562"/>
  <c r="L562"/>
  <c r="K562"/>
  <c r="O561"/>
  <c r="N561"/>
  <c r="M561"/>
  <c r="O560"/>
  <c r="N560"/>
  <c r="M560"/>
  <c r="L560"/>
  <c r="K560"/>
  <c r="O559"/>
  <c r="N559"/>
  <c r="M559"/>
  <c r="L559"/>
  <c r="K559"/>
  <c r="M558"/>
  <c r="F551"/>
  <c r="D543"/>
  <c r="I518" s="1"/>
  <c r="L542"/>
  <c r="G542"/>
  <c r="D542"/>
  <c r="L541"/>
  <c r="K541"/>
  <c r="J541"/>
  <c r="I541"/>
  <c r="L540"/>
  <c r="K540"/>
  <c r="J540"/>
  <c r="I540"/>
  <c r="J539"/>
  <c r="I539"/>
  <c r="L538"/>
  <c r="K538"/>
  <c r="J538"/>
  <c r="I538"/>
  <c r="J537"/>
  <c r="I537"/>
  <c r="J536"/>
  <c r="I536"/>
  <c r="O535"/>
  <c r="N535"/>
  <c r="L535"/>
  <c r="K535"/>
  <c r="J535"/>
  <c r="I535"/>
  <c r="L534"/>
  <c r="K534"/>
  <c r="J534"/>
  <c r="I534"/>
  <c r="J533"/>
  <c r="I533"/>
  <c r="L532"/>
  <c r="K532"/>
  <c r="J532"/>
  <c r="I532"/>
  <c r="J531"/>
  <c r="I531"/>
  <c r="J530"/>
  <c r="I530"/>
  <c r="L529"/>
  <c r="K529"/>
  <c r="J529"/>
  <c r="I529"/>
  <c r="J528"/>
  <c r="I528"/>
  <c r="J527"/>
  <c r="I527"/>
  <c r="O526"/>
  <c r="N526"/>
  <c r="L526"/>
  <c r="K526"/>
  <c r="J526"/>
  <c r="I526"/>
  <c r="C520"/>
  <c r="N519"/>
  <c r="J519"/>
  <c r="E519"/>
  <c r="C519"/>
  <c r="O543"/>
  <c r="O541"/>
  <c r="N541"/>
  <c r="M541"/>
  <c r="O540"/>
  <c r="N540"/>
  <c r="O539"/>
  <c r="N539"/>
  <c r="O538"/>
  <c r="N538"/>
  <c r="O537"/>
  <c r="N537"/>
  <c r="O536"/>
  <c r="N536"/>
  <c r="O534"/>
  <c r="N534"/>
  <c r="M534"/>
  <c r="O533"/>
  <c r="N533"/>
  <c r="M533"/>
  <c r="L533"/>
  <c r="K533"/>
  <c r="O532"/>
  <c r="N532"/>
  <c r="M532"/>
  <c r="O531"/>
  <c r="N531"/>
  <c r="M531"/>
  <c r="L531"/>
  <c r="K531"/>
  <c r="O530"/>
  <c r="N530"/>
  <c r="M530"/>
  <c r="L530"/>
  <c r="K530"/>
  <c r="O529"/>
  <c r="N529"/>
  <c r="M529"/>
  <c r="O528"/>
  <c r="N528"/>
  <c r="M528"/>
  <c r="L528"/>
  <c r="K528"/>
  <c r="O527"/>
  <c r="N527"/>
  <c r="M527"/>
  <c r="L527"/>
  <c r="K527"/>
  <c r="M526"/>
  <c r="F519"/>
  <c r="D511"/>
  <c r="I486" s="1"/>
  <c r="L510"/>
  <c r="G510"/>
  <c r="D510"/>
  <c r="L509"/>
  <c r="K509"/>
  <c r="J509"/>
  <c r="I509"/>
  <c r="L508"/>
  <c r="K508"/>
  <c r="J508"/>
  <c r="I508"/>
  <c r="J507"/>
  <c r="I507"/>
  <c r="L506"/>
  <c r="K506"/>
  <c r="J506"/>
  <c r="I506"/>
  <c r="J505"/>
  <c r="I505"/>
  <c r="J504"/>
  <c r="I504"/>
  <c r="O503"/>
  <c r="N503"/>
  <c r="L503"/>
  <c r="K503"/>
  <c r="J503"/>
  <c r="I503"/>
  <c r="L502"/>
  <c r="K502"/>
  <c r="J502"/>
  <c r="I502"/>
  <c r="J501"/>
  <c r="I501"/>
  <c r="L500"/>
  <c r="K500"/>
  <c r="J500"/>
  <c r="I500"/>
  <c r="J499"/>
  <c r="I499"/>
  <c r="J498"/>
  <c r="I498"/>
  <c r="L497"/>
  <c r="K497"/>
  <c r="J497"/>
  <c r="I497"/>
  <c r="J496"/>
  <c r="I496"/>
  <c r="J495"/>
  <c r="I495"/>
  <c r="O494"/>
  <c r="N494"/>
  <c r="L494"/>
  <c r="K494"/>
  <c r="J494"/>
  <c r="I494"/>
  <c r="C488"/>
  <c r="N487"/>
  <c r="J487"/>
  <c r="E487"/>
  <c r="C487"/>
  <c r="O511"/>
  <c r="O509"/>
  <c r="N509"/>
  <c r="M509"/>
  <c r="O508"/>
  <c r="N508"/>
  <c r="O507"/>
  <c r="N507"/>
  <c r="O506"/>
  <c r="N506"/>
  <c r="O505"/>
  <c r="N505"/>
  <c r="O504"/>
  <c r="N504"/>
  <c r="O502"/>
  <c r="N502"/>
  <c r="M502"/>
  <c r="O501"/>
  <c r="N501"/>
  <c r="M501"/>
  <c r="L501"/>
  <c r="K501"/>
  <c r="O500"/>
  <c r="N500"/>
  <c r="M500"/>
  <c r="O499"/>
  <c r="N499"/>
  <c r="M499"/>
  <c r="L499"/>
  <c r="K499"/>
  <c r="O498"/>
  <c r="N498"/>
  <c r="M498"/>
  <c r="L498"/>
  <c r="K498"/>
  <c r="O497"/>
  <c r="N497"/>
  <c r="M497"/>
  <c r="O496"/>
  <c r="N496"/>
  <c r="M496"/>
  <c r="L496"/>
  <c r="K496"/>
  <c r="O495"/>
  <c r="N495"/>
  <c r="M495"/>
  <c r="L495"/>
  <c r="K495"/>
  <c r="M494"/>
  <c r="F487"/>
  <c r="D479"/>
  <c r="I454" s="1"/>
  <c r="L478"/>
  <c r="G478"/>
  <c r="D478"/>
  <c r="L477"/>
  <c r="K477"/>
  <c r="J477"/>
  <c r="I477"/>
  <c r="L476"/>
  <c r="K476"/>
  <c r="J476"/>
  <c r="I476"/>
  <c r="J475"/>
  <c r="I475"/>
  <c r="L474"/>
  <c r="K474"/>
  <c r="J474"/>
  <c r="I474"/>
  <c r="J473"/>
  <c r="I473"/>
  <c r="J472"/>
  <c r="I472"/>
  <c r="O471"/>
  <c r="N471"/>
  <c r="L471"/>
  <c r="K471"/>
  <c r="J471"/>
  <c r="I471"/>
  <c r="L470"/>
  <c r="K470"/>
  <c r="J470"/>
  <c r="I470"/>
  <c r="J469"/>
  <c r="I469"/>
  <c r="L468"/>
  <c r="K468"/>
  <c r="J468"/>
  <c r="I468"/>
  <c r="J467"/>
  <c r="I467"/>
  <c r="J466"/>
  <c r="I466"/>
  <c r="L465"/>
  <c r="K465"/>
  <c r="J465"/>
  <c r="I465"/>
  <c r="J464"/>
  <c r="I464"/>
  <c r="J463"/>
  <c r="I463"/>
  <c r="O462"/>
  <c r="N462"/>
  <c r="L462"/>
  <c r="K462"/>
  <c r="J462"/>
  <c r="I462"/>
  <c r="C456"/>
  <c r="N455"/>
  <c r="J455"/>
  <c r="E455"/>
  <c r="C455"/>
  <c r="O479"/>
  <c r="O477"/>
  <c r="N477"/>
  <c r="M477"/>
  <c r="O476"/>
  <c r="N476"/>
  <c r="O475"/>
  <c r="N475"/>
  <c r="O474"/>
  <c r="N474"/>
  <c r="O473"/>
  <c r="N473"/>
  <c r="O472"/>
  <c r="N472"/>
  <c r="O470"/>
  <c r="N470"/>
  <c r="M470"/>
  <c r="O469"/>
  <c r="N469"/>
  <c r="M469"/>
  <c r="L469"/>
  <c r="K469"/>
  <c r="O468"/>
  <c r="N468"/>
  <c r="M468"/>
  <c r="O467"/>
  <c r="N467"/>
  <c r="M467"/>
  <c r="L467"/>
  <c r="K467"/>
  <c r="O466"/>
  <c r="N466"/>
  <c r="M466"/>
  <c r="L466"/>
  <c r="K466"/>
  <c r="O465"/>
  <c r="N465"/>
  <c r="M465"/>
  <c r="O464"/>
  <c r="N464"/>
  <c r="M464"/>
  <c r="L464"/>
  <c r="K464"/>
  <c r="O463"/>
  <c r="N463"/>
  <c r="M463"/>
  <c r="L463"/>
  <c r="K463"/>
  <c r="M462"/>
  <c r="F455"/>
  <c r="D447"/>
  <c r="I422" s="1"/>
  <c r="L446"/>
  <c r="G446"/>
  <c r="D446"/>
  <c r="L445"/>
  <c r="K445"/>
  <c r="J445"/>
  <c r="I445"/>
  <c r="L444"/>
  <c r="K444"/>
  <c r="J444"/>
  <c r="I444"/>
  <c r="J443"/>
  <c r="I443"/>
  <c r="L442"/>
  <c r="K442"/>
  <c r="J442"/>
  <c r="I442"/>
  <c r="J441"/>
  <c r="I441"/>
  <c r="J440"/>
  <c r="I440"/>
  <c r="O439"/>
  <c r="N439"/>
  <c r="L439"/>
  <c r="K439"/>
  <c r="J439"/>
  <c r="I439"/>
  <c r="L438"/>
  <c r="K438"/>
  <c r="J438"/>
  <c r="I438"/>
  <c r="J437"/>
  <c r="I437"/>
  <c r="L436"/>
  <c r="K436"/>
  <c r="J436"/>
  <c r="I436"/>
  <c r="J435"/>
  <c r="I435"/>
  <c r="J434"/>
  <c r="I434"/>
  <c r="L433"/>
  <c r="K433"/>
  <c r="J433"/>
  <c r="I433"/>
  <c r="J432"/>
  <c r="I432"/>
  <c r="J431"/>
  <c r="I431"/>
  <c r="O430"/>
  <c r="N430"/>
  <c r="L430"/>
  <c r="K430"/>
  <c r="J430"/>
  <c r="I430"/>
  <c r="C424"/>
  <c r="N423"/>
  <c r="J423"/>
  <c r="E423"/>
  <c r="C423"/>
  <c r="O447"/>
  <c r="O445"/>
  <c r="N445"/>
  <c r="M445"/>
  <c r="O444"/>
  <c r="N444"/>
  <c r="O443"/>
  <c r="N443"/>
  <c r="O442"/>
  <c r="N442"/>
  <c r="O441"/>
  <c r="N441"/>
  <c r="O440"/>
  <c r="N440"/>
  <c r="O438"/>
  <c r="N438"/>
  <c r="M438"/>
  <c r="O437"/>
  <c r="N437"/>
  <c r="M437"/>
  <c r="L437"/>
  <c r="K437"/>
  <c r="O436"/>
  <c r="N436"/>
  <c r="M436"/>
  <c r="O435"/>
  <c r="N435"/>
  <c r="M435"/>
  <c r="L435"/>
  <c r="K435"/>
  <c r="O434"/>
  <c r="N434"/>
  <c r="M434"/>
  <c r="L434"/>
  <c r="K434"/>
  <c r="O433"/>
  <c r="N433"/>
  <c r="M433"/>
  <c r="O432"/>
  <c r="N432"/>
  <c r="M432"/>
  <c r="L432"/>
  <c r="K432"/>
  <c r="O431"/>
  <c r="N431"/>
  <c r="M431"/>
  <c r="L431"/>
  <c r="K431"/>
  <c r="M430"/>
  <c r="F423"/>
  <c r="D415"/>
  <c r="I390" s="1"/>
  <c r="L414"/>
  <c r="G414"/>
  <c r="D414"/>
  <c r="L413"/>
  <c r="K413"/>
  <c r="J413"/>
  <c r="I413"/>
  <c r="L412"/>
  <c r="K412"/>
  <c r="J412"/>
  <c r="I412"/>
  <c r="J411"/>
  <c r="I411"/>
  <c r="L410"/>
  <c r="K410"/>
  <c r="J410"/>
  <c r="I410"/>
  <c r="J409"/>
  <c r="I409"/>
  <c r="J408"/>
  <c r="I408"/>
  <c r="O407"/>
  <c r="N407"/>
  <c r="L407"/>
  <c r="K407"/>
  <c r="J407"/>
  <c r="I407"/>
  <c r="L406"/>
  <c r="K406"/>
  <c r="J406"/>
  <c r="I406"/>
  <c r="J405"/>
  <c r="I405"/>
  <c r="L404"/>
  <c r="K404"/>
  <c r="J404"/>
  <c r="I404"/>
  <c r="J403"/>
  <c r="I403"/>
  <c r="J402"/>
  <c r="I402"/>
  <c r="L401"/>
  <c r="K401"/>
  <c r="J401"/>
  <c r="I401"/>
  <c r="J400"/>
  <c r="I400"/>
  <c r="J399"/>
  <c r="I399"/>
  <c r="O398"/>
  <c r="N398"/>
  <c r="L398"/>
  <c r="K398"/>
  <c r="J398"/>
  <c r="I398"/>
  <c r="C392"/>
  <c r="N391"/>
  <c r="J391"/>
  <c r="E391"/>
  <c r="C391"/>
  <c r="O415"/>
  <c r="O413"/>
  <c r="N413"/>
  <c r="M413"/>
  <c r="O412"/>
  <c r="N412"/>
  <c r="O411"/>
  <c r="N411"/>
  <c r="O410"/>
  <c r="N410"/>
  <c r="O409"/>
  <c r="N409"/>
  <c r="O408"/>
  <c r="N408"/>
  <c r="O406"/>
  <c r="N406"/>
  <c r="M406"/>
  <c r="O405"/>
  <c r="N405"/>
  <c r="M405"/>
  <c r="L405"/>
  <c r="K405"/>
  <c r="O404"/>
  <c r="N404"/>
  <c r="M404"/>
  <c r="O403"/>
  <c r="N403"/>
  <c r="M403"/>
  <c r="L403"/>
  <c r="K403"/>
  <c r="O402"/>
  <c r="N402"/>
  <c r="M402"/>
  <c r="L402"/>
  <c r="K402"/>
  <c r="O401"/>
  <c r="N401"/>
  <c r="M401"/>
  <c r="O400"/>
  <c r="N400"/>
  <c r="M400"/>
  <c r="L400"/>
  <c r="K400"/>
  <c r="O399"/>
  <c r="N399"/>
  <c r="M399"/>
  <c r="L399"/>
  <c r="K399"/>
  <c r="M398"/>
  <c r="F391"/>
  <c r="D383"/>
  <c r="I358" s="1"/>
  <c r="L382"/>
  <c r="G382"/>
  <c r="D382"/>
  <c r="L381"/>
  <c r="K381"/>
  <c r="J381"/>
  <c r="I381"/>
  <c r="L380"/>
  <c r="K380"/>
  <c r="J380"/>
  <c r="I380"/>
  <c r="J379"/>
  <c r="I379"/>
  <c r="L378"/>
  <c r="K378"/>
  <c r="J378"/>
  <c r="I378"/>
  <c r="J377"/>
  <c r="I377"/>
  <c r="J376"/>
  <c r="I376"/>
  <c r="O375"/>
  <c r="N375"/>
  <c r="L375"/>
  <c r="K375"/>
  <c r="J375"/>
  <c r="I375"/>
  <c r="L374"/>
  <c r="K374"/>
  <c r="J374"/>
  <c r="I374"/>
  <c r="J373"/>
  <c r="I373"/>
  <c r="L372"/>
  <c r="K372"/>
  <c r="J372"/>
  <c r="I372"/>
  <c r="J371"/>
  <c r="I371"/>
  <c r="J370"/>
  <c r="I370"/>
  <c r="L369"/>
  <c r="K369"/>
  <c r="J369"/>
  <c r="I369"/>
  <c r="J368"/>
  <c r="I368"/>
  <c r="J367"/>
  <c r="I367"/>
  <c r="O366"/>
  <c r="N366"/>
  <c r="L366"/>
  <c r="K366"/>
  <c r="J366"/>
  <c r="I366"/>
  <c r="C360"/>
  <c r="N359"/>
  <c r="J359"/>
  <c r="E359"/>
  <c r="C359"/>
  <c r="O383"/>
  <c r="O381"/>
  <c r="N381"/>
  <c r="M381"/>
  <c r="O380"/>
  <c r="N380"/>
  <c r="O379"/>
  <c r="N379"/>
  <c r="O378"/>
  <c r="N378"/>
  <c r="O377"/>
  <c r="N377"/>
  <c r="O376"/>
  <c r="N376"/>
  <c r="O374"/>
  <c r="N374"/>
  <c r="M374"/>
  <c r="O373"/>
  <c r="N373"/>
  <c r="M373"/>
  <c r="L373"/>
  <c r="K373"/>
  <c r="O372"/>
  <c r="N372"/>
  <c r="M372"/>
  <c r="O371"/>
  <c r="N371"/>
  <c r="M371"/>
  <c r="L371"/>
  <c r="K371"/>
  <c r="O370"/>
  <c r="N370"/>
  <c r="M370"/>
  <c r="L370"/>
  <c r="K370"/>
  <c r="O369"/>
  <c r="N369"/>
  <c r="M369"/>
  <c r="O368"/>
  <c r="N368"/>
  <c r="M368"/>
  <c r="L368"/>
  <c r="K368"/>
  <c r="O367"/>
  <c r="N367"/>
  <c r="M367"/>
  <c r="L367"/>
  <c r="K367"/>
  <c r="M366"/>
  <c r="F359"/>
  <c r="D351"/>
  <c r="I326" s="1"/>
  <c r="L350"/>
  <c r="G350"/>
  <c r="D350"/>
  <c r="L349"/>
  <c r="K349"/>
  <c r="J349"/>
  <c r="I349"/>
  <c r="L348"/>
  <c r="K348"/>
  <c r="J348"/>
  <c r="I348"/>
  <c r="J347"/>
  <c r="I347"/>
  <c r="L346"/>
  <c r="K346"/>
  <c r="J346"/>
  <c r="I346"/>
  <c r="J345"/>
  <c r="I345"/>
  <c r="J344"/>
  <c r="I344"/>
  <c r="O343"/>
  <c r="N343"/>
  <c r="L343"/>
  <c r="K343"/>
  <c r="J343"/>
  <c r="I343"/>
  <c r="L342"/>
  <c r="K342"/>
  <c r="J342"/>
  <c r="I342"/>
  <c r="J341"/>
  <c r="I341"/>
  <c r="L340"/>
  <c r="K340"/>
  <c r="J340"/>
  <c r="I340"/>
  <c r="J339"/>
  <c r="I339"/>
  <c r="J338"/>
  <c r="I338"/>
  <c r="L337"/>
  <c r="K337"/>
  <c r="J337"/>
  <c r="I337"/>
  <c r="J336"/>
  <c r="I336"/>
  <c r="J335"/>
  <c r="I335"/>
  <c r="O334"/>
  <c r="N334"/>
  <c r="L334"/>
  <c r="K334"/>
  <c r="J334"/>
  <c r="I334"/>
  <c r="C328"/>
  <c r="N327"/>
  <c r="J327"/>
  <c r="E327"/>
  <c r="C327"/>
  <c r="O351"/>
  <c r="O349"/>
  <c r="N349"/>
  <c r="M349"/>
  <c r="O348"/>
  <c r="N348"/>
  <c r="O347"/>
  <c r="N347"/>
  <c r="O346"/>
  <c r="N346"/>
  <c r="O345"/>
  <c r="N345"/>
  <c r="O344"/>
  <c r="N344"/>
  <c r="O342"/>
  <c r="N342"/>
  <c r="M342"/>
  <c r="O341"/>
  <c r="N341"/>
  <c r="M341"/>
  <c r="L341"/>
  <c r="K341"/>
  <c r="O340"/>
  <c r="N340"/>
  <c r="M340"/>
  <c r="O339"/>
  <c r="N339"/>
  <c r="M339"/>
  <c r="L339"/>
  <c r="K339"/>
  <c r="O338"/>
  <c r="N338"/>
  <c r="M338"/>
  <c r="L338"/>
  <c r="K338"/>
  <c r="O337"/>
  <c r="N337"/>
  <c r="M337"/>
  <c r="O336"/>
  <c r="N336"/>
  <c r="M336"/>
  <c r="L336"/>
  <c r="K336"/>
  <c r="O335"/>
  <c r="N335"/>
  <c r="M335"/>
  <c r="L335"/>
  <c r="K335"/>
  <c r="M334"/>
  <c r="F327"/>
  <c r="D319"/>
  <c r="I294" s="1"/>
  <c r="L318"/>
  <c r="G318"/>
  <c r="D318"/>
  <c r="L317"/>
  <c r="K317"/>
  <c r="J317"/>
  <c r="I317"/>
  <c r="L316"/>
  <c r="K316"/>
  <c r="J316"/>
  <c r="I316"/>
  <c r="J315"/>
  <c r="I315"/>
  <c r="L314"/>
  <c r="K314"/>
  <c r="J314"/>
  <c r="I314"/>
  <c r="J313"/>
  <c r="I313"/>
  <c r="J312"/>
  <c r="I312"/>
  <c r="O311"/>
  <c r="N311"/>
  <c r="L311"/>
  <c r="K311"/>
  <c r="J311"/>
  <c r="I311"/>
  <c r="L310"/>
  <c r="K310"/>
  <c r="J310"/>
  <c r="I310"/>
  <c r="J309"/>
  <c r="I309"/>
  <c r="L308"/>
  <c r="K308"/>
  <c r="J308"/>
  <c r="I308"/>
  <c r="J307"/>
  <c r="I307"/>
  <c r="J306"/>
  <c r="I306"/>
  <c r="L305"/>
  <c r="K305"/>
  <c r="J305"/>
  <c r="I305"/>
  <c r="J304"/>
  <c r="I304"/>
  <c r="J303"/>
  <c r="I303"/>
  <c r="O302"/>
  <c r="N302"/>
  <c r="L302"/>
  <c r="K302"/>
  <c r="J302"/>
  <c r="I302"/>
  <c r="C296"/>
  <c r="N295"/>
  <c r="J295"/>
  <c r="E295"/>
  <c r="C295"/>
  <c r="O319"/>
  <c r="O317"/>
  <c r="N317"/>
  <c r="M317"/>
  <c r="O316"/>
  <c r="N316"/>
  <c r="O315"/>
  <c r="N315"/>
  <c r="O314"/>
  <c r="N314"/>
  <c r="O313"/>
  <c r="N313"/>
  <c r="O312"/>
  <c r="N312"/>
  <c r="O310"/>
  <c r="N310"/>
  <c r="M310"/>
  <c r="O309"/>
  <c r="N309"/>
  <c r="M309"/>
  <c r="L309"/>
  <c r="K309"/>
  <c r="O308"/>
  <c r="N308"/>
  <c r="M308"/>
  <c r="O307"/>
  <c r="N307"/>
  <c r="M307"/>
  <c r="L307"/>
  <c r="K307"/>
  <c r="O306"/>
  <c r="N306"/>
  <c r="M306"/>
  <c r="L306"/>
  <c r="K306"/>
  <c r="O305"/>
  <c r="N305"/>
  <c r="M305"/>
  <c r="O304"/>
  <c r="N304"/>
  <c r="M304"/>
  <c r="L304"/>
  <c r="K304"/>
  <c r="O303"/>
  <c r="N303"/>
  <c r="M303"/>
  <c r="L303"/>
  <c r="K303"/>
  <c r="M302"/>
  <c r="F295"/>
  <c r="D287"/>
  <c r="I262" s="1"/>
  <c r="L286"/>
  <c r="G286"/>
  <c r="D286"/>
  <c r="L285"/>
  <c r="K285"/>
  <c r="J285"/>
  <c r="I285"/>
  <c r="L284"/>
  <c r="K284"/>
  <c r="J284"/>
  <c r="I284"/>
  <c r="J283"/>
  <c r="I283"/>
  <c r="L282"/>
  <c r="K282"/>
  <c r="J282"/>
  <c r="I282"/>
  <c r="J281"/>
  <c r="I281"/>
  <c r="J280"/>
  <c r="I280"/>
  <c r="O279"/>
  <c r="N279"/>
  <c r="L279"/>
  <c r="K279"/>
  <c r="J279"/>
  <c r="I279"/>
  <c r="L278"/>
  <c r="K278"/>
  <c r="J278"/>
  <c r="I278"/>
  <c r="J277"/>
  <c r="I277"/>
  <c r="L276"/>
  <c r="K276"/>
  <c r="J276"/>
  <c r="I276"/>
  <c r="J275"/>
  <c r="I275"/>
  <c r="J274"/>
  <c r="I274"/>
  <c r="L273"/>
  <c r="K273"/>
  <c r="J273"/>
  <c r="I273"/>
  <c r="J272"/>
  <c r="I272"/>
  <c r="J271"/>
  <c r="I271"/>
  <c r="O270"/>
  <c r="N270"/>
  <c r="L270"/>
  <c r="K270"/>
  <c r="J270"/>
  <c r="I270"/>
  <c r="C264"/>
  <c r="N263"/>
  <c r="J263"/>
  <c r="E263"/>
  <c r="C263"/>
  <c r="O287"/>
  <c r="O285"/>
  <c r="N285"/>
  <c r="M285"/>
  <c r="O284"/>
  <c r="N284"/>
  <c r="O283"/>
  <c r="N283"/>
  <c r="O282"/>
  <c r="N282"/>
  <c r="O281"/>
  <c r="N281"/>
  <c r="O280"/>
  <c r="N280"/>
  <c r="O278"/>
  <c r="N278"/>
  <c r="M278"/>
  <c r="O277"/>
  <c r="N277"/>
  <c r="M277"/>
  <c r="L277"/>
  <c r="K277"/>
  <c r="O276"/>
  <c r="N276"/>
  <c r="M276"/>
  <c r="O275"/>
  <c r="N275"/>
  <c r="M275"/>
  <c r="L275"/>
  <c r="K275"/>
  <c r="O274"/>
  <c r="N274"/>
  <c r="M274"/>
  <c r="L274"/>
  <c r="K274"/>
  <c r="O273"/>
  <c r="N273"/>
  <c r="M273"/>
  <c r="O272"/>
  <c r="N272"/>
  <c r="M272"/>
  <c r="L272"/>
  <c r="K272"/>
  <c r="O271"/>
  <c r="N271"/>
  <c r="M271"/>
  <c r="L271"/>
  <c r="K271"/>
  <c r="M270"/>
  <c r="F263"/>
  <c r="D255"/>
  <c r="I230" s="1"/>
  <c r="L254"/>
  <c r="G254"/>
  <c r="D254"/>
  <c r="L253"/>
  <c r="K253"/>
  <c r="J253"/>
  <c r="I253"/>
  <c r="L252"/>
  <c r="K252"/>
  <c r="J252"/>
  <c r="I252"/>
  <c r="J251"/>
  <c r="I251"/>
  <c r="L250"/>
  <c r="K250"/>
  <c r="J250"/>
  <c r="I250"/>
  <c r="J249"/>
  <c r="I249"/>
  <c r="J248"/>
  <c r="I248"/>
  <c r="O247"/>
  <c r="N247"/>
  <c r="L247"/>
  <c r="K247"/>
  <c r="J247"/>
  <c r="I247"/>
  <c r="L246"/>
  <c r="K246"/>
  <c r="J246"/>
  <c r="I246"/>
  <c r="J245"/>
  <c r="I245"/>
  <c r="L244"/>
  <c r="K244"/>
  <c r="J244"/>
  <c r="I244"/>
  <c r="J243"/>
  <c r="I243"/>
  <c r="J242"/>
  <c r="I242"/>
  <c r="L241"/>
  <c r="K241"/>
  <c r="J241"/>
  <c r="I241"/>
  <c r="J240"/>
  <c r="I240"/>
  <c r="J239"/>
  <c r="I239"/>
  <c r="O238"/>
  <c r="N238"/>
  <c r="L238"/>
  <c r="K238"/>
  <c r="J238"/>
  <c r="I238"/>
  <c r="C232"/>
  <c r="N231"/>
  <c r="J231"/>
  <c r="E231"/>
  <c r="C231"/>
  <c r="O255"/>
  <c r="O253"/>
  <c r="N253"/>
  <c r="M253"/>
  <c r="O252"/>
  <c r="N252"/>
  <c r="O251"/>
  <c r="N251"/>
  <c r="O250"/>
  <c r="N250"/>
  <c r="O249"/>
  <c r="N249"/>
  <c r="O248"/>
  <c r="N248"/>
  <c r="O246"/>
  <c r="N246"/>
  <c r="M246"/>
  <c r="O245"/>
  <c r="N245"/>
  <c r="M245"/>
  <c r="L245"/>
  <c r="K245"/>
  <c r="O244"/>
  <c r="N244"/>
  <c r="M244"/>
  <c r="O243"/>
  <c r="N243"/>
  <c r="M243"/>
  <c r="L243"/>
  <c r="K243"/>
  <c r="O242"/>
  <c r="N242"/>
  <c r="M242"/>
  <c r="L242"/>
  <c r="K242"/>
  <c r="O241"/>
  <c r="N241"/>
  <c r="M241"/>
  <c r="O240"/>
  <c r="N240"/>
  <c r="M240"/>
  <c r="L240"/>
  <c r="K240"/>
  <c r="O239"/>
  <c r="N239"/>
  <c r="M239"/>
  <c r="L239"/>
  <c r="K239"/>
  <c r="M238"/>
  <c r="F231"/>
  <c r="D223"/>
  <c r="I198" s="1"/>
  <c r="L222"/>
  <c r="G222"/>
  <c r="D222"/>
  <c r="L221"/>
  <c r="K221"/>
  <c r="J221"/>
  <c r="I221"/>
  <c r="L220"/>
  <c r="K220"/>
  <c r="J220"/>
  <c r="I220"/>
  <c r="J219"/>
  <c r="I219"/>
  <c r="L218"/>
  <c r="K218"/>
  <c r="J218"/>
  <c r="I218"/>
  <c r="J217"/>
  <c r="I217"/>
  <c r="J216"/>
  <c r="I216"/>
  <c r="O215"/>
  <c r="N215"/>
  <c r="L215"/>
  <c r="K215"/>
  <c r="J215"/>
  <c r="I215"/>
  <c r="L214"/>
  <c r="K214"/>
  <c r="J214"/>
  <c r="I214"/>
  <c r="J213"/>
  <c r="I213"/>
  <c r="L212"/>
  <c r="K212"/>
  <c r="J212"/>
  <c r="I212"/>
  <c r="J211"/>
  <c r="I211"/>
  <c r="J210"/>
  <c r="I210"/>
  <c r="L209"/>
  <c r="K209"/>
  <c r="J209"/>
  <c r="I209"/>
  <c r="J208"/>
  <c r="I208"/>
  <c r="J207"/>
  <c r="I207"/>
  <c r="O206"/>
  <c r="N206"/>
  <c r="L206"/>
  <c r="K206"/>
  <c r="J206"/>
  <c r="I206"/>
  <c r="C200"/>
  <c r="N199"/>
  <c r="J199"/>
  <c r="E199"/>
  <c r="C199"/>
  <c r="O223"/>
  <c r="O221"/>
  <c r="N221"/>
  <c r="M221"/>
  <c r="O220"/>
  <c r="N220"/>
  <c r="O219"/>
  <c r="N219"/>
  <c r="O218"/>
  <c r="N218"/>
  <c r="O217"/>
  <c r="N217"/>
  <c r="O216"/>
  <c r="N216"/>
  <c r="O214"/>
  <c r="N214"/>
  <c r="M214"/>
  <c r="O213"/>
  <c r="N213"/>
  <c r="M213"/>
  <c r="L213"/>
  <c r="K213"/>
  <c r="O212"/>
  <c r="N212"/>
  <c r="M212"/>
  <c r="O211"/>
  <c r="N211"/>
  <c r="M211"/>
  <c r="L211"/>
  <c r="K211"/>
  <c r="O210"/>
  <c r="N210"/>
  <c r="M210"/>
  <c r="L210"/>
  <c r="K210"/>
  <c r="O209"/>
  <c r="N209"/>
  <c r="M209"/>
  <c r="O208"/>
  <c r="N208"/>
  <c r="M208"/>
  <c r="L208"/>
  <c r="K208"/>
  <c r="O207"/>
  <c r="N207"/>
  <c r="M207"/>
  <c r="L207"/>
  <c r="K207"/>
  <c r="M206"/>
  <c r="F199"/>
  <c r="D191"/>
  <c r="I166" s="1"/>
  <c r="L190"/>
  <c r="G190"/>
  <c r="D190"/>
  <c r="L189"/>
  <c r="K189"/>
  <c r="J189"/>
  <c r="I189"/>
  <c r="L188"/>
  <c r="K188"/>
  <c r="J188"/>
  <c r="I188"/>
  <c r="J187"/>
  <c r="I187"/>
  <c r="L186"/>
  <c r="K186"/>
  <c r="J186"/>
  <c r="I186"/>
  <c r="J185"/>
  <c r="I185"/>
  <c r="J184"/>
  <c r="I184"/>
  <c r="O183"/>
  <c r="N183"/>
  <c r="L183"/>
  <c r="K183"/>
  <c r="J183"/>
  <c r="I183"/>
  <c r="L182"/>
  <c r="K182"/>
  <c r="J182"/>
  <c r="I182"/>
  <c r="J181"/>
  <c r="I181"/>
  <c r="L180"/>
  <c r="K180"/>
  <c r="J180"/>
  <c r="I180"/>
  <c r="J179"/>
  <c r="I179"/>
  <c r="J178"/>
  <c r="I178"/>
  <c r="L177"/>
  <c r="K177"/>
  <c r="J177"/>
  <c r="I177"/>
  <c r="J176"/>
  <c r="I176"/>
  <c r="J175"/>
  <c r="I175"/>
  <c r="O174"/>
  <c r="N174"/>
  <c r="L174"/>
  <c r="K174"/>
  <c r="J174"/>
  <c r="I174"/>
  <c r="C168"/>
  <c r="N167"/>
  <c r="J167"/>
  <c r="E167"/>
  <c r="C167"/>
  <c r="O191"/>
  <c r="O189"/>
  <c r="N189"/>
  <c r="M189"/>
  <c r="O188"/>
  <c r="N188"/>
  <c r="O187"/>
  <c r="N187"/>
  <c r="O186"/>
  <c r="N186"/>
  <c r="O185"/>
  <c r="N185"/>
  <c r="O184"/>
  <c r="N184"/>
  <c r="O182"/>
  <c r="N182"/>
  <c r="M182"/>
  <c r="O181"/>
  <c r="N181"/>
  <c r="M181"/>
  <c r="L181"/>
  <c r="O180"/>
  <c r="N180"/>
  <c r="M180"/>
  <c r="O179"/>
  <c r="N179"/>
  <c r="M179"/>
  <c r="L179"/>
  <c r="O178"/>
  <c r="N178"/>
  <c r="M178"/>
  <c r="L178"/>
  <c r="O177"/>
  <c r="N177"/>
  <c r="M177"/>
  <c r="O176"/>
  <c r="N176"/>
  <c r="M176"/>
  <c r="L176"/>
  <c r="O175"/>
  <c r="N175"/>
  <c r="M175"/>
  <c r="L175"/>
  <c r="M174"/>
  <c r="F167"/>
  <c r="D159"/>
  <c r="I134" s="1"/>
  <c r="L158"/>
  <c r="G158"/>
  <c r="D158"/>
  <c r="L157"/>
  <c r="K157"/>
  <c r="J157"/>
  <c r="I157"/>
  <c r="L156"/>
  <c r="K156"/>
  <c r="J156"/>
  <c r="I156"/>
  <c r="J155"/>
  <c r="I155"/>
  <c r="L154"/>
  <c r="K154"/>
  <c r="J154"/>
  <c r="I154"/>
  <c r="J153"/>
  <c r="I153"/>
  <c r="J152"/>
  <c r="I152"/>
  <c r="O151"/>
  <c r="N151"/>
  <c r="L151"/>
  <c r="K151"/>
  <c r="J151"/>
  <c r="I151"/>
  <c r="L150"/>
  <c r="K150"/>
  <c r="J150"/>
  <c r="I150"/>
  <c r="J149"/>
  <c r="I149"/>
  <c r="L148"/>
  <c r="K148"/>
  <c r="J148"/>
  <c r="I148"/>
  <c r="J147"/>
  <c r="I147"/>
  <c r="J146"/>
  <c r="I146"/>
  <c r="L145"/>
  <c r="K145"/>
  <c r="J145"/>
  <c r="I145"/>
  <c r="J144"/>
  <c r="I144"/>
  <c r="J143"/>
  <c r="I143"/>
  <c r="O142"/>
  <c r="N142"/>
  <c r="L142"/>
  <c r="K142"/>
  <c r="J142"/>
  <c r="I142"/>
  <c r="C136"/>
  <c r="N135"/>
  <c r="J135"/>
  <c r="E135"/>
  <c r="C135"/>
  <c r="O159"/>
  <c r="O157"/>
  <c r="N157"/>
  <c r="M157"/>
  <c r="O156"/>
  <c r="N156"/>
  <c r="O155"/>
  <c r="N155"/>
  <c r="O154"/>
  <c r="N154"/>
  <c r="O153"/>
  <c r="N153"/>
  <c r="O152"/>
  <c r="N152"/>
  <c r="O150"/>
  <c r="N150"/>
  <c r="M150"/>
  <c r="O149"/>
  <c r="N149"/>
  <c r="M149"/>
  <c r="L149"/>
  <c r="O148"/>
  <c r="N148"/>
  <c r="M148"/>
  <c r="O147"/>
  <c r="N147"/>
  <c r="M147"/>
  <c r="L147"/>
  <c r="O146"/>
  <c r="N146"/>
  <c r="M146"/>
  <c r="L146"/>
  <c r="O145"/>
  <c r="N145"/>
  <c r="M145"/>
  <c r="O144"/>
  <c r="N144"/>
  <c r="M144"/>
  <c r="L144"/>
  <c r="O143"/>
  <c r="N143"/>
  <c r="M143"/>
  <c r="L143"/>
  <c r="M142"/>
  <c r="F135"/>
  <c r="D127"/>
  <c r="I102" s="1"/>
  <c r="L126"/>
  <c r="G126"/>
  <c r="D126"/>
  <c r="L125"/>
  <c r="K125"/>
  <c r="J125"/>
  <c r="I125"/>
  <c r="L124"/>
  <c r="K124"/>
  <c r="J124"/>
  <c r="I124"/>
  <c r="J123"/>
  <c r="I123"/>
  <c r="L122"/>
  <c r="K122"/>
  <c r="J122"/>
  <c r="I122"/>
  <c r="J121"/>
  <c r="I121"/>
  <c r="J120"/>
  <c r="I120"/>
  <c r="O119"/>
  <c r="N119"/>
  <c r="L119"/>
  <c r="K119"/>
  <c r="J119"/>
  <c r="I119"/>
  <c r="L118"/>
  <c r="K118"/>
  <c r="J118"/>
  <c r="I118"/>
  <c r="J117"/>
  <c r="I117"/>
  <c r="L116"/>
  <c r="K116"/>
  <c r="J116"/>
  <c r="I116"/>
  <c r="J115"/>
  <c r="I115"/>
  <c r="J114"/>
  <c r="I114"/>
  <c r="L113"/>
  <c r="K113"/>
  <c r="J113"/>
  <c r="I113"/>
  <c r="J112"/>
  <c r="I112"/>
  <c r="J111"/>
  <c r="I111"/>
  <c r="O110"/>
  <c r="N110"/>
  <c r="L110"/>
  <c r="K110"/>
  <c r="J110"/>
  <c r="I110"/>
  <c r="C104"/>
  <c r="N103"/>
  <c r="J103"/>
  <c r="E103"/>
  <c r="C103"/>
  <c r="O127"/>
  <c r="O125"/>
  <c r="N125"/>
  <c r="M125"/>
  <c r="O124"/>
  <c r="N124"/>
  <c r="O123"/>
  <c r="N123"/>
  <c r="O122"/>
  <c r="N122"/>
  <c r="O121"/>
  <c r="N121"/>
  <c r="O120"/>
  <c r="N120"/>
  <c r="O118"/>
  <c r="N118"/>
  <c r="M118"/>
  <c r="O117"/>
  <c r="N117"/>
  <c r="M117"/>
  <c r="L117"/>
  <c r="O116"/>
  <c r="N116"/>
  <c r="M116"/>
  <c r="O115"/>
  <c r="N115"/>
  <c r="M115"/>
  <c r="L115"/>
  <c r="O114"/>
  <c r="N114"/>
  <c r="M114"/>
  <c r="L114"/>
  <c r="O113"/>
  <c r="N113"/>
  <c r="M113"/>
  <c r="O112"/>
  <c r="N112"/>
  <c r="M112"/>
  <c r="L112"/>
  <c r="O111"/>
  <c r="N111"/>
  <c r="M111"/>
  <c r="L111"/>
  <c r="M110"/>
  <c r="F103"/>
  <c r="D95"/>
  <c r="I70" s="1"/>
  <c r="L94"/>
  <c r="G94"/>
  <c r="D94"/>
  <c r="L93"/>
  <c r="K93"/>
  <c r="J93"/>
  <c r="I93"/>
  <c r="L92"/>
  <c r="K92"/>
  <c r="J92"/>
  <c r="I92"/>
  <c r="J91"/>
  <c r="I91"/>
  <c r="L90"/>
  <c r="K90"/>
  <c r="J90"/>
  <c r="I90"/>
  <c r="J89"/>
  <c r="I89"/>
  <c r="J88"/>
  <c r="I88"/>
  <c r="O87"/>
  <c r="N87"/>
  <c r="L87"/>
  <c r="K87"/>
  <c r="J87"/>
  <c r="I87"/>
  <c r="L86"/>
  <c r="K86"/>
  <c r="J86"/>
  <c r="I86"/>
  <c r="J85"/>
  <c r="I85"/>
  <c r="L84"/>
  <c r="K84"/>
  <c r="J84"/>
  <c r="I84"/>
  <c r="J83"/>
  <c r="I83"/>
  <c r="J82"/>
  <c r="I82"/>
  <c r="L81"/>
  <c r="K81"/>
  <c r="J81"/>
  <c r="I81"/>
  <c r="J80"/>
  <c r="I80"/>
  <c r="J79"/>
  <c r="I79"/>
  <c r="O78"/>
  <c r="N78"/>
  <c r="L78"/>
  <c r="K78"/>
  <c r="J78"/>
  <c r="I78"/>
  <c r="C72"/>
  <c r="N71"/>
  <c r="J71"/>
  <c r="E71"/>
  <c r="C71"/>
  <c r="O95"/>
  <c r="O93"/>
  <c r="N93"/>
  <c r="M93"/>
  <c r="O92"/>
  <c r="N92"/>
  <c r="O91"/>
  <c r="N91"/>
  <c r="O90"/>
  <c r="N90"/>
  <c r="O89"/>
  <c r="N89"/>
  <c r="O88"/>
  <c r="N88"/>
  <c r="O86"/>
  <c r="N86"/>
  <c r="M86"/>
  <c r="O85"/>
  <c r="N85"/>
  <c r="M85"/>
  <c r="L85"/>
  <c r="O84"/>
  <c r="N84"/>
  <c r="M84"/>
  <c r="O83"/>
  <c r="N83"/>
  <c r="M83"/>
  <c r="L83"/>
  <c r="O82"/>
  <c r="N82"/>
  <c r="M82"/>
  <c r="L82"/>
  <c r="O81"/>
  <c r="N81"/>
  <c r="M81"/>
  <c r="O80"/>
  <c r="N80"/>
  <c r="M80"/>
  <c r="L80"/>
  <c r="O79"/>
  <c r="N79"/>
  <c r="M79"/>
  <c r="L79"/>
  <c r="M78"/>
  <c r="F71"/>
  <c r="C40"/>
  <c r="N39"/>
  <c r="J39"/>
  <c r="E39"/>
  <c r="C39"/>
  <c r="O63"/>
  <c r="O61"/>
  <c r="N61"/>
  <c r="M61"/>
  <c r="O60"/>
  <c r="N60"/>
  <c r="O59"/>
  <c r="N59"/>
  <c r="O58"/>
  <c r="N58"/>
  <c r="O57"/>
  <c r="N57"/>
  <c r="O56"/>
  <c r="N56"/>
  <c r="O54"/>
  <c r="N54"/>
  <c r="M54"/>
  <c r="O53"/>
  <c r="N53"/>
  <c r="M53"/>
  <c r="L53"/>
  <c r="O52"/>
  <c r="N52"/>
  <c r="M52"/>
  <c r="O51"/>
  <c r="N51"/>
  <c r="M51"/>
  <c r="L51"/>
  <c r="O50"/>
  <c r="N50"/>
  <c r="M50"/>
  <c r="L50"/>
  <c r="O49"/>
  <c r="N49"/>
  <c r="M49"/>
  <c r="O48"/>
  <c r="N48"/>
  <c r="M48"/>
  <c r="L48"/>
  <c r="O47"/>
  <c r="N47"/>
  <c r="M47"/>
  <c r="L47"/>
  <c r="M46"/>
  <c r="F39"/>
  <c r="C8"/>
  <c r="N7"/>
  <c r="J7"/>
  <c r="E7"/>
  <c r="C7"/>
  <c r="K61"/>
  <c r="J59"/>
  <c r="J58"/>
  <c r="J57"/>
  <c r="I57"/>
  <c r="J56"/>
  <c r="I56"/>
  <c r="J55"/>
  <c r="K54"/>
  <c r="J53"/>
  <c r="J52"/>
  <c r="J51"/>
  <c r="I51"/>
  <c r="J50"/>
  <c r="J48"/>
  <c r="J47"/>
  <c r="L26" i="12" l="1"/>
  <c r="K26"/>
  <c r="L23"/>
  <c r="K23"/>
  <c r="L17"/>
  <c r="K17"/>
  <c r="DK142" i="11"/>
  <c r="DH142" s="1"/>
  <c r="DK75"/>
  <c r="DH75" s="1"/>
  <c r="DK121"/>
  <c r="DJ121" s="1"/>
  <c r="DK123"/>
  <c r="DJ123" s="1"/>
  <c r="DK73"/>
  <c r="DJ73" s="1"/>
  <c r="DG54"/>
  <c r="DI54"/>
  <c r="DG58"/>
  <c r="DI58"/>
  <c r="DG62"/>
  <c r="DI62"/>
  <c r="DG66"/>
  <c r="DI66"/>
  <c r="DG70"/>
  <c r="DI70"/>
  <c r="DG56"/>
  <c r="DI56"/>
  <c r="DG60"/>
  <c r="DI60"/>
  <c r="DG64"/>
  <c r="DI64"/>
  <c r="DG68"/>
  <c r="DI68"/>
  <c r="K14" i="12"/>
  <c r="K28"/>
  <c r="DG76" i="11"/>
  <c r="DI76"/>
  <c r="DG77"/>
  <c r="DI77"/>
  <c r="DG80"/>
  <c r="DI80"/>
  <c r="DG81"/>
  <c r="DI81"/>
  <c r="DG84"/>
  <c r="DI84"/>
  <c r="DG85"/>
  <c r="DI85"/>
  <c r="DG88"/>
  <c r="DI88"/>
  <c r="DG89"/>
  <c r="DI89"/>
  <c r="DG92"/>
  <c r="DI92"/>
  <c r="DG93"/>
  <c r="DI93"/>
  <c r="DG102"/>
  <c r="DI102"/>
  <c r="DG104"/>
  <c r="DI104"/>
  <c r="DG105"/>
  <c r="DI105"/>
  <c r="DG108"/>
  <c r="DI108"/>
  <c r="DG109"/>
  <c r="DI109"/>
  <c r="DG112"/>
  <c r="DI112"/>
  <c r="DG113"/>
  <c r="DI113"/>
  <c r="DG116"/>
  <c r="DI116"/>
  <c r="DG117"/>
  <c r="DI117"/>
  <c r="DG120"/>
  <c r="DK71"/>
  <c r="DG78"/>
  <c r="DI78"/>
  <c r="DG79"/>
  <c r="DI79"/>
  <c r="DG82"/>
  <c r="DI82"/>
  <c r="DG83"/>
  <c r="DI83"/>
  <c r="DG86"/>
  <c r="DI86"/>
  <c r="DG87"/>
  <c r="DI87"/>
  <c r="DG90"/>
  <c r="DI90"/>
  <c r="DG91"/>
  <c r="DI91"/>
  <c r="DG94"/>
  <c r="DI94"/>
  <c r="DG103"/>
  <c r="DI103"/>
  <c r="DG106"/>
  <c r="DI106"/>
  <c r="DG107"/>
  <c r="DI107"/>
  <c r="DG110"/>
  <c r="DI110"/>
  <c r="DG111"/>
  <c r="DI111"/>
  <c r="DG114"/>
  <c r="DI114"/>
  <c r="DG115"/>
  <c r="DI115"/>
  <c r="DG118"/>
  <c r="DI118"/>
  <c r="DG119"/>
  <c r="DI119"/>
  <c r="DG125"/>
  <c r="DI125"/>
  <c r="DG129"/>
  <c r="DI129"/>
  <c r="DG133"/>
  <c r="DI133"/>
  <c r="DG137"/>
  <c r="DI137"/>
  <c r="DG141"/>
  <c r="DG127"/>
  <c r="DI127"/>
  <c r="DG131"/>
  <c r="DI131"/>
  <c r="DG135"/>
  <c r="DI135"/>
  <c r="DG139"/>
  <c r="DI139"/>
  <c r="DG152"/>
  <c r="DI152"/>
  <c r="DG155"/>
  <c r="DI155"/>
  <c r="DG156"/>
  <c r="DI156"/>
  <c r="DG159"/>
  <c r="DI159"/>
  <c r="DG160"/>
  <c r="DI160"/>
  <c r="DG163"/>
  <c r="DI163"/>
  <c r="DG164"/>
  <c r="DI164"/>
  <c r="DG167"/>
  <c r="DI167"/>
  <c r="DG168"/>
  <c r="DI168"/>
  <c r="DJ142"/>
  <c r="DG150"/>
  <c r="DI150"/>
  <c r="DG151"/>
  <c r="DI151"/>
  <c r="DG153"/>
  <c r="DI153"/>
  <c r="DG154"/>
  <c r="DI154"/>
  <c r="DG157"/>
  <c r="DI157"/>
  <c r="DG158"/>
  <c r="DI158"/>
  <c r="DG161"/>
  <c r="DI161"/>
  <c r="DG162"/>
  <c r="DI162"/>
  <c r="DG165"/>
  <c r="DI165"/>
  <c r="DG166"/>
  <c r="DI166"/>
  <c r="DG169"/>
  <c r="DI169"/>
  <c r="DG174"/>
  <c r="DI174"/>
  <c r="DG178"/>
  <c r="DI178"/>
  <c r="DK170"/>
  <c r="DG172"/>
  <c r="DI172"/>
  <c r="DG176"/>
  <c r="DI176"/>
  <c r="DG181"/>
  <c r="DI181"/>
  <c r="DG184"/>
  <c r="DI184"/>
  <c r="DG185"/>
  <c r="DI185"/>
  <c r="DG188"/>
  <c r="DI188"/>
  <c r="DG189"/>
  <c r="DI189"/>
  <c r="DG182"/>
  <c r="DI182"/>
  <c r="DG183"/>
  <c r="DI183"/>
  <c r="DG186"/>
  <c r="DI186"/>
  <c r="DG187"/>
  <c r="DI187"/>
  <c r="DG190"/>
  <c r="DI190"/>
  <c r="I61" i="10"/>
  <c r="L60"/>
  <c r="J60"/>
  <c r="I60"/>
  <c r="I59"/>
  <c r="I58"/>
  <c r="I55"/>
  <c r="I54"/>
  <c r="I53"/>
  <c r="I52"/>
  <c r="I50"/>
  <c r="I49"/>
  <c r="K49"/>
  <c r="J49"/>
  <c r="I48"/>
  <c r="I47"/>
  <c r="J46"/>
  <c r="I46"/>
  <c r="K60"/>
  <c r="N14" i="12" l="1"/>
  <c r="DH73" i="11"/>
  <c r="DL73" s="1"/>
  <c r="DM73" s="1"/>
  <c r="DN73" s="1"/>
  <c r="DH123"/>
  <c r="DL123" s="1"/>
  <c r="DM123" s="1"/>
  <c r="DN123" s="1"/>
  <c r="DK190"/>
  <c r="DH190" s="1"/>
  <c r="DK182"/>
  <c r="DH182" s="1"/>
  <c r="DK184"/>
  <c r="DJ184" s="1"/>
  <c r="DK119"/>
  <c r="DH119" s="1"/>
  <c r="DK115"/>
  <c r="DJ115" s="1"/>
  <c r="DK111"/>
  <c r="DJ111" s="1"/>
  <c r="DK107"/>
  <c r="DH107" s="1"/>
  <c r="DK103"/>
  <c r="DH103" s="1"/>
  <c r="DK91"/>
  <c r="DJ91" s="1"/>
  <c r="DK87"/>
  <c r="DJ87" s="1"/>
  <c r="DK83"/>
  <c r="DJ83" s="1"/>
  <c r="DK79"/>
  <c r="DH79" s="1"/>
  <c r="DJ75"/>
  <c r="DL75" s="1"/>
  <c r="DM75" s="1"/>
  <c r="DK186"/>
  <c r="DJ186" s="1"/>
  <c r="DK188"/>
  <c r="DH188" s="1"/>
  <c r="DK176"/>
  <c r="DH176" s="1"/>
  <c r="DK133"/>
  <c r="DH133" s="1"/>
  <c r="DK125"/>
  <c r="DJ125" s="1"/>
  <c r="DK113"/>
  <c r="DJ113" s="1"/>
  <c r="DK105"/>
  <c r="DJ105" s="1"/>
  <c r="DK80"/>
  <c r="DH80" s="1"/>
  <c r="DK68"/>
  <c r="DJ68" s="1"/>
  <c r="DK102"/>
  <c r="DJ102" s="1"/>
  <c r="DK117"/>
  <c r="DH117" s="1"/>
  <c r="DK109"/>
  <c r="DH109" s="1"/>
  <c r="DK92"/>
  <c r="DJ92" s="1"/>
  <c r="DK84"/>
  <c r="DH84" s="1"/>
  <c r="DK76"/>
  <c r="DJ76" s="1"/>
  <c r="DK60"/>
  <c r="DH60" s="1"/>
  <c r="DK70"/>
  <c r="DJ70" s="1"/>
  <c r="DK165"/>
  <c r="DJ165" s="1"/>
  <c r="DK157"/>
  <c r="DH157" s="1"/>
  <c r="DH121"/>
  <c r="DL121" s="1"/>
  <c r="DM121" s="1"/>
  <c r="DN121" s="1"/>
  <c r="DK164"/>
  <c r="DH164" s="1"/>
  <c r="DK187"/>
  <c r="DH187" s="1"/>
  <c r="DK189"/>
  <c r="DJ189" s="1"/>
  <c r="DK185"/>
  <c r="DH185" s="1"/>
  <c r="DK172"/>
  <c r="DJ172" s="1"/>
  <c r="DK162"/>
  <c r="DJ162" s="1"/>
  <c r="DK137"/>
  <c r="DH137" s="1"/>
  <c r="DK129"/>
  <c r="DH129" s="1"/>
  <c r="DK118"/>
  <c r="DJ118" s="1"/>
  <c r="DK114"/>
  <c r="DH114" s="1"/>
  <c r="DK106"/>
  <c r="DJ106" s="1"/>
  <c r="DK90"/>
  <c r="DH90" s="1"/>
  <c r="DK82"/>
  <c r="DJ82" s="1"/>
  <c r="DK78"/>
  <c r="DJ78" s="1"/>
  <c r="DK116"/>
  <c r="DJ116" s="1"/>
  <c r="DK108"/>
  <c r="DJ108" s="1"/>
  <c r="DK93"/>
  <c r="DJ93" s="1"/>
  <c r="DK56"/>
  <c r="DJ56" s="1"/>
  <c r="DK167"/>
  <c r="DH167" s="1"/>
  <c r="DK163"/>
  <c r="DJ163" s="1"/>
  <c r="DK159"/>
  <c r="DH159" s="1"/>
  <c r="DK155"/>
  <c r="DJ155" s="1"/>
  <c r="DK168"/>
  <c r="DH168" s="1"/>
  <c r="DK160"/>
  <c r="DJ160" s="1"/>
  <c r="DK156"/>
  <c r="DJ156" s="1"/>
  <c r="DK183"/>
  <c r="DJ183" s="1"/>
  <c r="DK181"/>
  <c r="DH181" s="1"/>
  <c r="DK158"/>
  <c r="DH158" s="1"/>
  <c r="DK110"/>
  <c r="DJ110" s="1"/>
  <c r="DK94"/>
  <c r="DH94" s="1"/>
  <c r="DK112"/>
  <c r="DH112" s="1"/>
  <c r="DK104"/>
  <c r="DJ104" s="1"/>
  <c r="DK89"/>
  <c r="DJ89" s="1"/>
  <c r="DK85"/>
  <c r="DH85" s="1"/>
  <c r="DK81"/>
  <c r="DH81" s="1"/>
  <c r="DK77"/>
  <c r="DJ77" s="1"/>
  <c r="DK64"/>
  <c r="DJ64" s="1"/>
  <c r="DK178"/>
  <c r="DJ178" s="1"/>
  <c r="DK174"/>
  <c r="DH174" s="1"/>
  <c r="DK169"/>
  <c r="DJ169" s="1"/>
  <c r="DK166"/>
  <c r="DH166" s="1"/>
  <c r="DK154"/>
  <c r="DJ154" s="1"/>
  <c r="DK152"/>
  <c r="DH152" s="1"/>
  <c r="DK139"/>
  <c r="DJ139" s="1"/>
  <c r="DK86"/>
  <c r="DH86" s="1"/>
  <c r="DK88"/>
  <c r="DH88" s="1"/>
  <c r="DK66"/>
  <c r="DH66" s="1"/>
  <c r="DK62"/>
  <c r="DJ62" s="1"/>
  <c r="DK58"/>
  <c r="DH58" s="1"/>
  <c r="L14" i="12"/>
  <c r="DK161" i="11"/>
  <c r="DH161" s="1"/>
  <c r="DK153"/>
  <c r="DJ153" s="1"/>
  <c r="DK151"/>
  <c r="DJ151" s="1"/>
  <c r="DK150"/>
  <c r="DH150" s="1"/>
  <c r="DK135"/>
  <c r="DH135" s="1"/>
  <c r="DK131"/>
  <c r="DJ131" s="1"/>
  <c r="DK127"/>
  <c r="DH127" s="1"/>
  <c r="DK54"/>
  <c r="DJ54" s="1"/>
  <c r="DL142"/>
  <c r="DM142" s="1"/>
  <c r="DN142" s="1"/>
  <c r="DJ190"/>
  <c r="DI180"/>
  <c r="DG180"/>
  <c r="DI179"/>
  <c r="DI177"/>
  <c r="DI175"/>
  <c r="DI173"/>
  <c r="DG171"/>
  <c r="DI171"/>
  <c r="DI141"/>
  <c r="DK141" s="1"/>
  <c r="DG140"/>
  <c r="DG138"/>
  <c r="DG136"/>
  <c r="DG134"/>
  <c r="DG132"/>
  <c r="DG130"/>
  <c r="DG128"/>
  <c r="DG126"/>
  <c r="DI72"/>
  <c r="DG72"/>
  <c r="DH91"/>
  <c r="DJ71"/>
  <c r="DI69"/>
  <c r="DI67"/>
  <c r="DI65"/>
  <c r="DI63"/>
  <c r="DI61"/>
  <c r="DI59"/>
  <c r="DI57"/>
  <c r="DI55"/>
  <c r="DG179"/>
  <c r="DG177"/>
  <c r="DG175"/>
  <c r="DG173"/>
  <c r="DH170"/>
  <c r="DJ170"/>
  <c r="DI140"/>
  <c r="DI138"/>
  <c r="DI136"/>
  <c r="DI134"/>
  <c r="DI132"/>
  <c r="DI130"/>
  <c r="DI128"/>
  <c r="N23" i="12" s="1"/>
  <c r="DI126" i="11"/>
  <c r="DI124"/>
  <c r="DG124"/>
  <c r="DI122"/>
  <c r="DG122"/>
  <c r="DI120"/>
  <c r="DK120" s="1"/>
  <c r="DJ137"/>
  <c r="DJ133"/>
  <c r="DH125"/>
  <c r="DI74"/>
  <c r="DG74"/>
  <c r="DG69"/>
  <c r="DG67"/>
  <c r="DG65"/>
  <c r="DG63"/>
  <c r="DG61"/>
  <c r="DG59"/>
  <c r="DG57"/>
  <c r="DG55"/>
  <c r="DH89"/>
  <c r="DH71"/>
  <c r="L61" i="10"/>
  <c r="J61"/>
  <c r="L58"/>
  <c r="K58"/>
  <c r="L55"/>
  <c r="K55"/>
  <c r="L54"/>
  <c r="J54"/>
  <c r="L52"/>
  <c r="K52"/>
  <c r="L49"/>
  <c r="K46"/>
  <c r="N55"/>
  <c r="N46"/>
  <c r="DJ109" i="11" l="1"/>
  <c r="DH68"/>
  <c r="DL68" s="1"/>
  <c r="DM68" s="1"/>
  <c r="DN68" s="1"/>
  <c r="DJ80"/>
  <c r="DJ94"/>
  <c r="DH70"/>
  <c r="DL70" s="1"/>
  <c r="DM70" s="1"/>
  <c r="DN70" s="1"/>
  <c r="DH110"/>
  <c r="DL110" s="1"/>
  <c r="DM110" s="1"/>
  <c r="DN110" s="1"/>
  <c r="DH102"/>
  <c r="DL102" s="1"/>
  <c r="DM102" s="1"/>
  <c r="DN102" s="1"/>
  <c r="DJ119"/>
  <c r="DL119" s="1"/>
  <c r="DM119" s="1"/>
  <c r="DJ103"/>
  <c r="DH189"/>
  <c r="DL189" s="1"/>
  <c r="DM189" s="1"/>
  <c r="DN189" s="1"/>
  <c r="DJ187"/>
  <c r="DL187" s="1"/>
  <c r="DM187" s="1"/>
  <c r="DN187" s="1"/>
  <c r="DJ127"/>
  <c r="DL127" s="1"/>
  <c r="DM127" s="1"/>
  <c r="DH116"/>
  <c r="DJ157"/>
  <c r="DL157" s="1"/>
  <c r="DM157" s="1"/>
  <c r="DN157" s="1"/>
  <c r="DH155"/>
  <c r="DH105"/>
  <c r="DL105" s="1"/>
  <c r="DM105" s="1"/>
  <c r="DN105" s="1"/>
  <c r="DJ117"/>
  <c r="DL117" s="1"/>
  <c r="DM117" s="1"/>
  <c r="DH115"/>
  <c r="DL115" s="1"/>
  <c r="DM115" s="1"/>
  <c r="DN115" s="1"/>
  <c r="DH56"/>
  <c r="DL56" s="1"/>
  <c r="DM56" s="1"/>
  <c r="DN56" s="1"/>
  <c r="DJ79"/>
  <c r="DL79" s="1"/>
  <c r="DM79" s="1"/>
  <c r="DN79" s="1"/>
  <c r="DH76"/>
  <c r="DL76" s="1"/>
  <c r="DM76" s="1"/>
  <c r="DN76" s="1"/>
  <c r="DJ58"/>
  <c r="DL58" s="1"/>
  <c r="DM58" s="1"/>
  <c r="DN58" s="1"/>
  <c r="DH64"/>
  <c r="DL64" s="1"/>
  <c r="DM64" s="1"/>
  <c r="DN64" s="1"/>
  <c r="DJ166"/>
  <c r="DL166" s="1"/>
  <c r="DM166" s="1"/>
  <c r="DN166" s="1"/>
  <c r="DJ159"/>
  <c r="DL159" s="1"/>
  <c r="DM159" s="1"/>
  <c r="DN159" s="1"/>
  <c r="DH162"/>
  <c r="DL162" s="1"/>
  <c r="DM162" s="1"/>
  <c r="DN162" s="1"/>
  <c r="DH165"/>
  <c r="DL165" s="1"/>
  <c r="DM165" s="1"/>
  <c r="DH156"/>
  <c r="DL156" s="1"/>
  <c r="DM156" s="1"/>
  <c r="DN156" s="1"/>
  <c r="DJ176"/>
  <c r="DL176" s="1"/>
  <c r="DM176" s="1"/>
  <c r="DN176" s="1"/>
  <c r="DH151"/>
  <c r="DJ150"/>
  <c r="DL150" s="1"/>
  <c r="DM150" s="1"/>
  <c r="DN150" s="1"/>
  <c r="DJ60"/>
  <c r="DL60" s="1"/>
  <c r="DM60" s="1"/>
  <c r="DH118"/>
  <c r="DL118" s="1"/>
  <c r="DM118" s="1"/>
  <c r="DJ164"/>
  <c r="DL164" s="1"/>
  <c r="DM164" s="1"/>
  <c r="DN164" s="1"/>
  <c r="DH83"/>
  <c r="DL83" s="1"/>
  <c r="DM83" s="1"/>
  <c r="DN83" s="1"/>
  <c r="DJ85"/>
  <c r="DL85" s="1"/>
  <c r="DM85" s="1"/>
  <c r="DN85" s="1"/>
  <c r="DH131"/>
  <c r="DL131" s="1"/>
  <c r="DM131" s="1"/>
  <c r="DN131" s="1"/>
  <c r="DH154"/>
  <c r="DL154" s="1"/>
  <c r="DM154" s="1"/>
  <c r="DJ88"/>
  <c r="DL88" s="1"/>
  <c r="DM88" s="1"/>
  <c r="DN88" s="1"/>
  <c r="DH77"/>
  <c r="DL77" s="1"/>
  <c r="DM77" s="1"/>
  <c r="DN77" s="1"/>
  <c r="DJ107"/>
  <c r="DL107" s="1"/>
  <c r="DM107" s="1"/>
  <c r="DH172"/>
  <c r="DL172" s="1"/>
  <c r="DM172" s="1"/>
  <c r="DJ182"/>
  <c r="DL182" s="1"/>
  <c r="DM182" s="1"/>
  <c r="DN182" s="1"/>
  <c r="DH163"/>
  <c r="DL163" s="1"/>
  <c r="DM163" s="1"/>
  <c r="DN163" s="1"/>
  <c r="DH184"/>
  <c r="DL184" s="1"/>
  <c r="DM184" s="1"/>
  <c r="DN184" s="1"/>
  <c r="DH169"/>
  <c r="DL169" s="1"/>
  <c r="DM169" s="1"/>
  <c r="DH153"/>
  <c r="DL153" s="1"/>
  <c r="DM153" s="1"/>
  <c r="DN153" s="1"/>
  <c r="DJ181"/>
  <c r="DL181" s="1"/>
  <c r="DM181" s="1"/>
  <c r="DN181" s="1"/>
  <c r="DJ84"/>
  <c r="DM84" s="1"/>
  <c r="DN84" s="1"/>
  <c r="DJ188"/>
  <c r="DL188" s="1"/>
  <c r="DM188" s="1"/>
  <c r="DN188" s="1"/>
  <c r="DH186"/>
  <c r="DL186" s="1"/>
  <c r="DM186" s="1"/>
  <c r="DN186" s="1"/>
  <c r="DH160"/>
  <c r="DL160" s="1"/>
  <c r="DM160" s="1"/>
  <c r="DN160" s="1"/>
  <c r="DJ158"/>
  <c r="DL158" s="1"/>
  <c r="DM158" s="1"/>
  <c r="DH108"/>
  <c r="DL108" s="1"/>
  <c r="DM108" s="1"/>
  <c r="DN108" s="1"/>
  <c r="DH62"/>
  <c r="DL62" s="1"/>
  <c r="DM62" s="1"/>
  <c r="DH93"/>
  <c r="DL93" s="1"/>
  <c r="DM93" s="1"/>
  <c r="DN93" s="1"/>
  <c r="DH113"/>
  <c r="DL113" s="1"/>
  <c r="DM113" s="1"/>
  <c r="DN113" s="1"/>
  <c r="DH82"/>
  <c r="DL82" s="1"/>
  <c r="DM82" s="1"/>
  <c r="DN82" s="1"/>
  <c r="DH139"/>
  <c r="DL139" s="1"/>
  <c r="DM139" s="1"/>
  <c r="DN139" s="1"/>
  <c r="DK128"/>
  <c r="DH128" s="1"/>
  <c r="DK136"/>
  <c r="DH136" s="1"/>
  <c r="DH92"/>
  <c r="DH104"/>
  <c r="DL104" s="1"/>
  <c r="DM104" s="1"/>
  <c r="DN104" s="1"/>
  <c r="DH87"/>
  <c r="DL87" s="1"/>
  <c r="DM87" s="1"/>
  <c r="DN87" s="1"/>
  <c r="DH111"/>
  <c r="DL111" s="1"/>
  <c r="DM111" s="1"/>
  <c r="DN111" s="1"/>
  <c r="DJ167"/>
  <c r="DL167" s="1"/>
  <c r="DM167" s="1"/>
  <c r="DN167" s="1"/>
  <c r="DJ66"/>
  <c r="DL66" s="1"/>
  <c r="DM66" s="1"/>
  <c r="DN66" s="1"/>
  <c r="DJ81"/>
  <c r="DL81" s="1"/>
  <c r="DM81" s="1"/>
  <c r="DN81" s="1"/>
  <c r="DK130"/>
  <c r="DJ130" s="1"/>
  <c r="DK138"/>
  <c r="DJ138" s="1"/>
  <c r="DJ86"/>
  <c r="DL86" s="1"/>
  <c r="DM86" s="1"/>
  <c r="DN86" s="1"/>
  <c r="DJ114"/>
  <c r="DL114" s="1"/>
  <c r="DM114" s="1"/>
  <c r="DN114" s="1"/>
  <c r="DK134"/>
  <c r="DJ134" s="1"/>
  <c r="DH54"/>
  <c r="DL54" s="1"/>
  <c r="DM54" s="1"/>
  <c r="DN54" s="1"/>
  <c r="DH78"/>
  <c r="DL78" s="1"/>
  <c r="DM78" s="1"/>
  <c r="DN78" s="1"/>
  <c r="DH106"/>
  <c r="DL106" s="1"/>
  <c r="DM106" s="1"/>
  <c r="DN106" s="1"/>
  <c r="DH183"/>
  <c r="DL183" s="1"/>
  <c r="DM183" s="1"/>
  <c r="DN183" s="1"/>
  <c r="DH178"/>
  <c r="DL178" s="1"/>
  <c r="DM178" s="1"/>
  <c r="DN178" s="1"/>
  <c r="DK126"/>
  <c r="DJ126" s="1"/>
  <c r="DJ90"/>
  <c r="DL90" s="1"/>
  <c r="DM90" s="1"/>
  <c r="DN90" s="1"/>
  <c r="DJ129"/>
  <c r="DL129" s="1"/>
  <c r="DM129" s="1"/>
  <c r="DN129" s="1"/>
  <c r="DJ112"/>
  <c r="DL112" s="1"/>
  <c r="DM112" s="1"/>
  <c r="DJ161"/>
  <c r="DL161" s="1"/>
  <c r="DM161" s="1"/>
  <c r="DJ135"/>
  <c r="DJ152"/>
  <c r="DL152" s="1"/>
  <c r="DM152" s="1"/>
  <c r="DJ168"/>
  <c r="DL168" s="1"/>
  <c r="DM168" s="1"/>
  <c r="DN168" s="1"/>
  <c r="DK132"/>
  <c r="DJ132" s="1"/>
  <c r="DK140"/>
  <c r="DJ140" s="1"/>
  <c r="DJ185"/>
  <c r="DL185" s="1"/>
  <c r="DM185" s="1"/>
  <c r="DN185" s="1"/>
  <c r="DL94"/>
  <c r="DM94" s="1"/>
  <c r="DN94" s="1"/>
  <c r="DL170"/>
  <c r="DM170" s="1"/>
  <c r="DN170" s="1"/>
  <c r="DJ174"/>
  <c r="DL174" s="1"/>
  <c r="DM174" s="1"/>
  <c r="DN174" s="1"/>
  <c r="DL190"/>
  <c r="DM190" s="1"/>
  <c r="DN190" s="1"/>
  <c r="D30" i="12"/>
  <c r="DL125" i="11"/>
  <c r="DM125" s="1"/>
  <c r="DN125" s="1"/>
  <c r="DL133"/>
  <c r="DM133" s="1"/>
  <c r="DN133" s="1"/>
  <c r="DL116"/>
  <c r="DM116" s="1"/>
  <c r="DL80"/>
  <c r="DM80" s="1"/>
  <c r="DN80" s="1"/>
  <c r="DL91"/>
  <c r="DM91" s="1"/>
  <c r="DN91" s="1"/>
  <c r="DL155"/>
  <c r="DM155" s="1"/>
  <c r="DN155" s="1"/>
  <c r="DL151"/>
  <c r="DM151" s="1"/>
  <c r="DK171"/>
  <c r="DJ171" s="1"/>
  <c r="DL109"/>
  <c r="DM109" s="1"/>
  <c r="DN109" s="1"/>
  <c r="DL137"/>
  <c r="DM137" s="1"/>
  <c r="DN137" s="1"/>
  <c r="DL135"/>
  <c r="DM135" s="1"/>
  <c r="DN135" s="1"/>
  <c r="DL103"/>
  <c r="DM103" s="1"/>
  <c r="DL89"/>
  <c r="DM89" s="1"/>
  <c r="DN89" s="1"/>
  <c r="DL92"/>
  <c r="DM92" s="1"/>
  <c r="DN92" s="1"/>
  <c r="DL71"/>
  <c r="DM71" s="1"/>
  <c r="DN71" s="1"/>
  <c r="DH134"/>
  <c r="DJ136"/>
  <c r="DH138"/>
  <c r="DH140"/>
  <c r="DJ141"/>
  <c r="DH141"/>
  <c r="DK55"/>
  <c r="DK57"/>
  <c r="DK59"/>
  <c r="DK61"/>
  <c r="DK63"/>
  <c r="DK65"/>
  <c r="DK67"/>
  <c r="DK69"/>
  <c r="DK72"/>
  <c r="DK173"/>
  <c r="DK175"/>
  <c r="DK177"/>
  <c r="DK179"/>
  <c r="DK180"/>
  <c r="DJ120"/>
  <c r="DH120"/>
  <c r="DK74"/>
  <c r="DK122"/>
  <c r="DK124"/>
  <c r="L46" i="10"/>
  <c r="D62"/>
  <c r="O23" i="12" l="1"/>
  <c r="DH132" i="11"/>
  <c r="DJ128"/>
  <c r="DL128" s="1"/>
  <c r="DM128" s="1"/>
  <c r="DH171"/>
  <c r="DL171" s="1"/>
  <c r="DM171" s="1"/>
  <c r="DN171" s="1"/>
  <c r="DH126"/>
  <c r="DL126" s="1"/>
  <c r="DM126" s="1"/>
  <c r="DN126" s="1"/>
  <c r="DH130"/>
  <c r="DL130" s="1"/>
  <c r="DM130" s="1"/>
  <c r="DN130" s="1"/>
  <c r="O14" i="12"/>
  <c r="L318"/>
  <c r="DL140" i="11"/>
  <c r="DM140" s="1"/>
  <c r="DN140" s="1"/>
  <c r="DL136"/>
  <c r="DM136" s="1"/>
  <c r="DN136" s="1"/>
  <c r="DL132"/>
  <c r="DM132" s="1"/>
  <c r="DN132" s="1"/>
  <c r="DL120"/>
  <c r="DM120" s="1"/>
  <c r="DL141"/>
  <c r="DM141" s="1"/>
  <c r="DN141" s="1"/>
  <c r="DL138"/>
  <c r="DM138" s="1"/>
  <c r="DN138" s="1"/>
  <c r="DL134"/>
  <c r="DM134" s="1"/>
  <c r="DN134" s="1"/>
  <c r="DJ124"/>
  <c r="DH124"/>
  <c r="DJ74"/>
  <c r="DH74"/>
  <c r="DJ179"/>
  <c r="DH179"/>
  <c r="DJ175"/>
  <c r="DH175"/>
  <c r="DJ72"/>
  <c r="DH72"/>
  <c r="DJ67"/>
  <c r="DH67"/>
  <c r="DJ63"/>
  <c r="DH63"/>
  <c r="DJ59"/>
  <c r="DH59"/>
  <c r="DJ55"/>
  <c r="DH55"/>
  <c r="DJ122"/>
  <c r="DH122"/>
  <c r="DJ180"/>
  <c r="DH180"/>
  <c r="DJ177"/>
  <c r="DH177"/>
  <c r="DJ173"/>
  <c r="DH173"/>
  <c r="DJ69"/>
  <c r="DH69"/>
  <c r="DJ65"/>
  <c r="DH65"/>
  <c r="DJ61"/>
  <c r="DH61"/>
  <c r="DJ57"/>
  <c r="DH57"/>
  <c r="O46" i="10"/>
  <c r="G30" i="12" l="1"/>
  <c r="DL173" i="11"/>
  <c r="DM173" s="1"/>
  <c r="DL180"/>
  <c r="DM180" s="1"/>
  <c r="DN180" s="1"/>
  <c r="DL179"/>
  <c r="DM179" s="1"/>
  <c r="DN179" s="1"/>
  <c r="DL122"/>
  <c r="DM122" s="1"/>
  <c r="DL124"/>
  <c r="DM124" s="1"/>
  <c r="DL61"/>
  <c r="DM61" s="1"/>
  <c r="DL69"/>
  <c r="DM69" s="1"/>
  <c r="DN69" s="1"/>
  <c r="DL67"/>
  <c r="DM67" s="1"/>
  <c r="DN67" s="1"/>
  <c r="DL177"/>
  <c r="DM177" s="1"/>
  <c r="DN177" s="1"/>
  <c r="DL175"/>
  <c r="DM175" s="1"/>
  <c r="DN175" s="1"/>
  <c r="DL57"/>
  <c r="DM57" s="1"/>
  <c r="DN57" s="1"/>
  <c r="DL65"/>
  <c r="DM65" s="1"/>
  <c r="DL55"/>
  <c r="DM55" s="1"/>
  <c r="DL59"/>
  <c r="DM59" s="1"/>
  <c r="DN59" s="1"/>
  <c r="DL63"/>
  <c r="DM63" s="1"/>
  <c r="DL72"/>
  <c r="DM72" s="1"/>
  <c r="DL74"/>
  <c r="DM74" s="1"/>
  <c r="DN74" s="1"/>
  <c r="O55" i="10"/>
  <c r="CK6" i="6"/>
  <c r="BV6"/>
  <c r="AT6"/>
  <c r="AZ6"/>
  <c r="F7" i="10"/>
  <c r="O31"/>
  <c r="O29"/>
  <c r="N29"/>
  <c r="M29"/>
  <c r="O28"/>
  <c r="N28"/>
  <c r="O27"/>
  <c r="N27"/>
  <c r="O26"/>
  <c r="N26"/>
  <c r="O25"/>
  <c r="N25"/>
  <c r="O24"/>
  <c r="N24"/>
  <c r="O22"/>
  <c r="N22"/>
  <c r="M22"/>
  <c r="O21"/>
  <c r="N21"/>
  <c r="M21"/>
  <c r="L21"/>
  <c r="O20"/>
  <c r="N20"/>
  <c r="M20"/>
  <c r="O19"/>
  <c r="N19"/>
  <c r="M19"/>
  <c r="L19"/>
  <c r="O18"/>
  <c r="N18"/>
  <c r="M18"/>
  <c r="L18"/>
  <c r="O17"/>
  <c r="N17"/>
  <c r="M17"/>
  <c r="O16"/>
  <c r="N16"/>
  <c r="M16"/>
  <c r="L16"/>
  <c r="O15"/>
  <c r="N15"/>
  <c r="M15"/>
  <c r="L15"/>
  <c r="M14"/>
  <c r="CF6" i="6"/>
  <c r="I28" i="10" s="1"/>
  <c r="BZ6" i="6"/>
  <c r="BP6"/>
  <c r="I25" i="10" s="1"/>
  <c r="BL6" i="6"/>
  <c r="BH6"/>
  <c r="AQ6"/>
  <c r="AK6"/>
  <c r="AG6"/>
  <c r="I18" i="10" s="1"/>
  <c r="AC6" i="6"/>
  <c r="I17" i="10" s="1"/>
  <c r="X6" i="6"/>
  <c r="I16" i="10" s="1"/>
  <c r="T6" i="6"/>
  <c r="P6"/>
  <c r="I14" i="10" s="1"/>
  <c r="L6" i="6"/>
  <c r="M6" s="1"/>
  <c r="CM6" l="1"/>
  <c r="K29" i="10" s="1"/>
  <c r="I29"/>
  <c r="CA6" i="6"/>
  <c r="J27" i="10" s="1"/>
  <c r="I27"/>
  <c r="BW6" i="6"/>
  <c r="J26" i="10" s="1"/>
  <c r="I26"/>
  <c r="BM6" i="6"/>
  <c r="J24" i="10" s="1"/>
  <c r="I24"/>
  <c r="BI6" i="6"/>
  <c r="J23" i="10" s="1"/>
  <c r="I23"/>
  <c r="BA6" i="6"/>
  <c r="I22" i="10"/>
  <c r="AU6" i="6"/>
  <c r="J21" i="10" s="1"/>
  <c r="I21"/>
  <c r="AV6" i="6"/>
  <c r="K20" i="10" s="1"/>
  <c r="I20"/>
  <c r="AL6" i="6"/>
  <c r="J19" i="10" s="1"/>
  <c r="I19"/>
  <c r="U6" i="6"/>
  <c r="J15" i="10" s="1"/>
  <c r="I15"/>
  <c r="L30" i="12"/>
  <c r="CL6" i="6"/>
  <c r="G62" i="10"/>
  <c r="CB6" i="6"/>
  <c r="BQ6"/>
  <c r="J25" i="10" s="1"/>
  <c r="BR6" i="6"/>
  <c r="K23" i="10" s="1"/>
  <c r="CO6" i="6"/>
  <c r="AR6"/>
  <c r="J20" i="10" s="1"/>
  <c r="Q6" i="6"/>
  <c r="J14" i="10" s="1"/>
  <c r="AD6" i="6"/>
  <c r="J17" i="10" s="1"/>
  <c r="Y6" i="6"/>
  <c r="J16" i="10" s="1"/>
  <c r="BD6" i="6"/>
  <c r="CQ6" s="1"/>
  <c r="N14" i="10" s="1"/>
  <c r="BB6" i="6"/>
  <c r="K22" i="10" s="1"/>
  <c r="CH6" i="6"/>
  <c r="K28" i="10" s="1"/>
  <c r="CG6" i="6"/>
  <c r="J28" i="10" s="1"/>
  <c r="AM6" i="6"/>
  <c r="K17" i="10" s="1"/>
  <c r="Z6" i="6"/>
  <c r="K14" i="10" s="1"/>
  <c r="AH6" i="6"/>
  <c r="J18" i="10" s="1"/>
  <c r="CN6" i="6" l="1"/>
  <c r="L29" i="10" s="1"/>
  <c r="J29"/>
  <c r="CC6" i="6"/>
  <c r="L26" i="10" s="1"/>
  <c r="K26"/>
  <c r="BC6" i="6"/>
  <c r="L22" i="10" s="1"/>
  <c r="J22"/>
  <c r="D319" i="12"/>
  <c r="I294" s="1"/>
  <c r="D31"/>
  <c r="I6" s="1"/>
  <c r="L62" i="10"/>
  <c r="D63"/>
  <c r="I38" s="1"/>
  <c r="BS6" i="6"/>
  <c r="L23" i="10" s="1"/>
  <c r="AW6" i="6"/>
  <c r="L20" i="10" s="1"/>
  <c r="AN6" i="6"/>
  <c r="L17" i="10" s="1"/>
  <c r="CI6" i="6"/>
  <c r="L28" i="10" s="1"/>
  <c r="AA6" i="6"/>
  <c r="L14" i="10" s="1"/>
  <c r="CS6" i="6"/>
  <c r="N23" i="10" s="1"/>
  <c r="CP6" i="6" l="1"/>
  <c r="BE6"/>
  <c r="CU6"/>
  <c r="CR6" l="1"/>
  <c r="O14" i="10" s="1"/>
  <c r="D30"/>
  <c r="K175" i="12"/>
  <c r="K181" i="10"/>
  <c r="K175"/>
  <c r="K179"/>
  <c r="K178"/>
  <c r="CT6" i="6"/>
  <c r="O23" i="10" s="1"/>
  <c r="K176" l="1"/>
  <c r="K176" i="12"/>
  <c r="K178"/>
  <c r="K179"/>
  <c r="K181"/>
  <c r="CV6" i="6"/>
  <c r="G30" i="10" s="1"/>
  <c r="CW6" i="6" l="1"/>
  <c r="L30" i="10" s="1"/>
  <c r="CX6" i="6" l="1"/>
  <c r="D31" i="10" s="1"/>
  <c r="I6" s="1"/>
  <c r="K80" l="1"/>
  <c r="K79"/>
  <c r="K83" i="12" l="1"/>
  <c r="K82"/>
  <c r="K80"/>
  <c r="K79"/>
  <c r="K85"/>
  <c r="K85" i="10"/>
  <c r="K83"/>
  <c r="K82"/>
  <c r="K48" i="12" l="1"/>
  <c r="K18" l="1"/>
  <c r="K47"/>
  <c r="K50"/>
  <c r="K21"/>
  <c r="K15"/>
  <c r="K16"/>
  <c r="K19"/>
  <c r="K53"/>
  <c r="K51"/>
  <c r="K19" i="10"/>
  <c r="K16"/>
  <c r="K48" l="1"/>
  <c r="K18"/>
  <c r="K51"/>
  <c r="K50"/>
  <c r="K15"/>
  <c r="K53"/>
  <c r="K21"/>
  <c r="K47"/>
  <c r="K147" l="1"/>
  <c r="K146"/>
  <c r="K149"/>
  <c r="K143"/>
  <c r="K114" i="12" l="1"/>
  <c r="K112"/>
  <c r="K117"/>
  <c r="K111"/>
  <c r="K115"/>
  <c r="K146"/>
  <c r="K149"/>
  <c r="K144"/>
  <c r="K147"/>
  <c r="K143"/>
  <c r="K115" i="10"/>
  <c r="K114"/>
  <c r="K111"/>
  <c r="K117"/>
  <c r="K112"/>
  <c r="K144"/>
  <c r="B125" i="1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</calcChain>
</file>

<file path=xl/sharedStrings.xml><?xml version="1.0" encoding="utf-8"?>
<sst xmlns="http://schemas.openxmlformats.org/spreadsheetml/2006/main" count="5189" uniqueCount="812">
  <si>
    <t>الرقم</t>
  </si>
  <si>
    <t>رقم التسجيل</t>
  </si>
  <si>
    <t>تاريخ الإزدياد</t>
  </si>
  <si>
    <t>مكان الإزدياد</t>
  </si>
  <si>
    <t>السداسي الأول</t>
  </si>
  <si>
    <t>السداسي الثاني</t>
  </si>
  <si>
    <t>المعدل السنوي</t>
  </si>
  <si>
    <t>الرصيد السنوي</t>
  </si>
  <si>
    <t>قرار لجنة المداولات</t>
  </si>
  <si>
    <t>نتيجة الوحدة</t>
  </si>
  <si>
    <t>المعدل</t>
  </si>
  <si>
    <t>الرصيد</t>
  </si>
  <si>
    <t>الجمهورية الجزائرية الديمقراطية الشعبية</t>
  </si>
  <si>
    <t>وزارة التعليم العالي والبحث العلمي</t>
  </si>
  <si>
    <t>المؤسسة: جامعة باجي مختار - عنابة</t>
  </si>
  <si>
    <t>الكلية/المعهد: كلية العلوم الإقتصادية وعلوم التسيير</t>
  </si>
  <si>
    <t>تاريخ ومكان الإزدياد: في:</t>
  </si>
  <si>
    <t>بــ:</t>
  </si>
  <si>
    <t>رقم التسجيل:</t>
  </si>
  <si>
    <t>الشهادة المحضر لها: ليسانس(أكاديمي)</t>
  </si>
  <si>
    <t>السداسي</t>
  </si>
  <si>
    <t>الوحدات التعليمية (و.ت)</t>
  </si>
  <si>
    <t>المقاييس المكوّنة للوحدات التعليمية</t>
  </si>
  <si>
    <t>النتائج المتحصل عليها</t>
  </si>
  <si>
    <t>طبيعة الوحدة</t>
  </si>
  <si>
    <t>تسمية الوحدة</t>
  </si>
  <si>
    <t>الأرصدة</t>
  </si>
  <si>
    <t>المعامل</t>
  </si>
  <si>
    <t>تسمية المقياس</t>
  </si>
  <si>
    <t>المقاييس</t>
  </si>
  <si>
    <t>(و.ت)</t>
  </si>
  <si>
    <t>رصيد محصل</t>
  </si>
  <si>
    <t>معدل الوحدة</t>
  </si>
  <si>
    <t>أرصدة محصلة</t>
  </si>
  <si>
    <t>معدل السداسي</t>
  </si>
  <si>
    <t>الأرصدة المحصلة</t>
  </si>
  <si>
    <t>F</t>
  </si>
  <si>
    <t>M</t>
  </si>
  <si>
    <t>D</t>
  </si>
  <si>
    <t>T</t>
  </si>
  <si>
    <t>المعدل السنوي:</t>
  </si>
  <si>
    <t>مجموع الأرصدة خلال السنة:</t>
  </si>
  <si>
    <t>قرار لجنة المداولات:</t>
  </si>
  <si>
    <t>عنابة في:</t>
  </si>
  <si>
    <t>وثيقة مستخرجة من طرف:</t>
  </si>
  <si>
    <t>أستاذ(ة) المادة</t>
  </si>
  <si>
    <t>رئيس(ة) القسم</t>
  </si>
  <si>
    <t>رئيس(ة) لجنة المداولات</t>
  </si>
  <si>
    <t xml:space="preserve">   للسنة الجامعية 2018/2017 أنّ الطالب(ة):</t>
  </si>
  <si>
    <t>السنوي</t>
  </si>
  <si>
    <t>الوحدة الإستكشافية3</t>
  </si>
  <si>
    <t>الوحدة الأفقية3</t>
  </si>
  <si>
    <t>الوحـدة المنهجيـة 3</t>
  </si>
  <si>
    <t>الوحــدة الأساسيـــــة 3</t>
  </si>
  <si>
    <t>محاسبة تحليلية</t>
  </si>
  <si>
    <t>تسيير المؤسسات</t>
  </si>
  <si>
    <t>إقتصاد كلي1</t>
  </si>
  <si>
    <t>التطبيق</t>
  </si>
  <si>
    <t>الإمتحان</t>
  </si>
  <si>
    <t>نتائج السنة الأولى</t>
  </si>
  <si>
    <t>منهجيـة البحث2</t>
  </si>
  <si>
    <t>احصاء 3</t>
  </si>
  <si>
    <t>إعلام آلي2</t>
  </si>
  <si>
    <t>إقتصاد نقدي وأسواق رأس المال</t>
  </si>
  <si>
    <t>لغة حية3</t>
  </si>
  <si>
    <t>نتيجة السداسي الثالث</t>
  </si>
  <si>
    <t>الوحــــدة  الأسـاسيــــة 4</t>
  </si>
  <si>
    <t>إقتصاد المؤسسة</t>
  </si>
  <si>
    <t>إقتصاد كلي2</t>
  </si>
  <si>
    <t>رياضيات مالية</t>
  </si>
  <si>
    <t>الوحـدة المنهجيــة  4</t>
  </si>
  <si>
    <t>الوحدة الإستكشافية 4</t>
  </si>
  <si>
    <t>الوحدة الأفقية 4</t>
  </si>
  <si>
    <t>الفساد وأخلاقيات العمل</t>
  </si>
  <si>
    <t>إعلام آلي3</t>
  </si>
  <si>
    <t>نتيجة السداسي الرابع</t>
  </si>
  <si>
    <t>السداسي الثالث</t>
  </si>
  <si>
    <t>السداسي الرابع</t>
  </si>
  <si>
    <t>إجمالي أرصدة (السنة الأولى+السنة الثانية)</t>
  </si>
  <si>
    <t xml:space="preserve">المعدل </t>
  </si>
  <si>
    <t xml:space="preserve">الرصيد </t>
  </si>
  <si>
    <t>اللقب</t>
  </si>
  <si>
    <t>الإسم</t>
  </si>
  <si>
    <t>منهجية البحث2</t>
  </si>
  <si>
    <t>إحصاء3</t>
  </si>
  <si>
    <t>الوحدة الأستكشافية4</t>
  </si>
  <si>
    <t>الوحدة الأفقية4</t>
  </si>
  <si>
    <t>الوحدة المنهجية4</t>
  </si>
  <si>
    <t>الوحدة الأساسية4</t>
  </si>
  <si>
    <t>الوحدة المنهجية3</t>
  </si>
  <si>
    <t>الوحدة الأساسية3</t>
  </si>
  <si>
    <t>إجمالي أرصدة (السنة الأولى+السنة الثانية):</t>
  </si>
  <si>
    <t xml:space="preserve"> الإسم:</t>
  </si>
  <si>
    <t>اللقب :</t>
  </si>
  <si>
    <t>كشف النقاط - السنة الثانية ل.م.د-</t>
  </si>
  <si>
    <t>محضر مداولات الدورة الأولى للسداسي الرابع (2018/2017) لطلبة السنة الثانية علوم تجارية</t>
  </si>
  <si>
    <t>محضر المداولات السنوي الدورة الأولى(2018/2017) لطلبة السنة الثانية علوم تجارية</t>
  </si>
  <si>
    <t>محضر مداولات الدورة الثانية للسداسي الرابع (2018/2017) لطلبة السنة الثانية علوم تجارية</t>
  </si>
  <si>
    <t>محضر المداولات السنوي الدورة الثانية(2018/2017) لطلبة السنة الثانية علوم تجارية</t>
  </si>
  <si>
    <t>رياضيات المؤسسة</t>
  </si>
  <si>
    <t>القسم: قسم العلوم التجارية</t>
  </si>
  <si>
    <t>يشهد السيد(ة) رئيس(ة) قسم العلوم التجارية  الموقع(ة) أدناه تبعا لمحضر المداولات</t>
  </si>
  <si>
    <t>ميدان: العلوم الإقتصادية وعلوم التسيير والعلوم التجارية.       مسار:        العلوم التجارية             . تخصص:      /           .</t>
  </si>
  <si>
    <t>مالية عامة</t>
  </si>
  <si>
    <t>التسويق</t>
  </si>
  <si>
    <t>الإستدراك</t>
  </si>
  <si>
    <t>الفوج 7</t>
  </si>
  <si>
    <t>الفوج 8</t>
  </si>
  <si>
    <t>الفوج 9</t>
  </si>
  <si>
    <t>الفوج 10</t>
  </si>
  <si>
    <t>عنابة</t>
  </si>
  <si>
    <t xml:space="preserve">ابرير </t>
  </si>
  <si>
    <t xml:space="preserve">أميرة </t>
  </si>
  <si>
    <t>وليد</t>
  </si>
  <si>
    <t xml:space="preserve">بباز </t>
  </si>
  <si>
    <t>يوسف</t>
  </si>
  <si>
    <t xml:space="preserve">بسناسي </t>
  </si>
  <si>
    <t>ريان</t>
  </si>
  <si>
    <t xml:space="preserve">بقار </t>
  </si>
  <si>
    <t xml:space="preserve">خولة </t>
  </si>
  <si>
    <t xml:space="preserve">بلعنان </t>
  </si>
  <si>
    <t>محمد أمين</t>
  </si>
  <si>
    <t xml:space="preserve">بوالودنين  </t>
  </si>
  <si>
    <t>شراف الدين</t>
  </si>
  <si>
    <t xml:space="preserve">بوتشينة </t>
  </si>
  <si>
    <t xml:space="preserve">اسلام </t>
  </si>
  <si>
    <t xml:space="preserve">بوجمعة </t>
  </si>
  <si>
    <t>محمد شريف</t>
  </si>
  <si>
    <t>بوطابية</t>
  </si>
  <si>
    <t>هبة</t>
  </si>
  <si>
    <t xml:space="preserve">حربي </t>
  </si>
  <si>
    <t xml:space="preserve">عراب </t>
  </si>
  <si>
    <t xml:space="preserve">حشلفي </t>
  </si>
  <si>
    <t xml:space="preserve">دربال </t>
  </si>
  <si>
    <t xml:space="preserve">عبد الرحمان </t>
  </si>
  <si>
    <t xml:space="preserve">درويش </t>
  </si>
  <si>
    <t>رابير</t>
  </si>
  <si>
    <t xml:space="preserve"> يسرى</t>
  </si>
  <si>
    <t>رايس</t>
  </si>
  <si>
    <t xml:space="preserve"> شهرزاد</t>
  </si>
  <si>
    <t>رجاتي</t>
  </si>
  <si>
    <t xml:space="preserve"> حكيمة </t>
  </si>
  <si>
    <t xml:space="preserve">رقية </t>
  </si>
  <si>
    <t>رمزي</t>
  </si>
  <si>
    <t xml:space="preserve">زواينية </t>
  </si>
  <si>
    <t xml:space="preserve">شابي </t>
  </si>
  <si>
    <t xml:space="preserve">حمزة </t>
  </si>
  <si>
    <t>طالبي</t>
  </si>
  <si>
    <t xml:space="preserve"> محمد الامين</t>
  </si>
  <si>
    <t>عتروز</t>
  </si>
  <si>
    <t xml:space="preserve"> شيماء</t>
  </si>
  <si>
    <t xml:space="preserve">عثماني </t>
  </si>
  <si>
    <t xml:space="preserve">خديجة </t>
  </si>
  <si>
    <t xml:space="preserve">عمري </t>
  </si>
  <si>
    <t>أمينة شيماء</t>
  </si>
  <si>
    <t>فرادي</t>
  </si>
  <si>
    <t xml:space="preserve"> ياسمين</t>
  </si>
  <si>
    <t xml:space="preserve">فرج </t>
  </si>
  <si>
    <t xml:space="preserve">نور الهدى </t>
  </si>
  <si>
    <t>فركوس</t>
  </si>
  <si>
    <t xml:space="preserve"> ضياء الدين </t>
  </si>
  <si>
    <t>كيران</t>
  </si>
  <si>
    <t xml:space="preserve"> لبنى</t>
  </si>
  <si>
    <t xml:space="preserve">لحلاح </t>
  </si>
  <si>
    <t>يمينة</t>
  </si>
  <si>
    <t>مجقال</t>
  </si>
  <si>
    <t xml:space="preserve"> زكريا</t>
  </si>
  <si>
    <t>محيدب</t>
  </si>
  <si>
    <t xml:space="preserve"> بلال </t>
  </si>
  <si>
    <t xml:space="preserve">مخالفة </t>
  </si>
  <si>
    <t xml:space="preserve">إسحاق </t>
  </si>
  <si>
    <t xml:space="preserve">معلم </t>
  </si>
  <si>
    <t xml:space="preserve">حليم </t>
  </si>
  <si>
    <t>هادف</t>
  </si>
  <si>
    <t xml:space="preserve"> زكريا </t>
  </si>
  <si>
    <t xml:space="preserve">العايب </t>
  </si>
  <si>
    <t>اخلاص</t>
  </si>
  <si>
    <t>أمين</t>
  </si>
  <si>
    <t xml:space="preserve">بلحسن </t>
  </si>
  <si>
    <t>الهام</t>
  </si>
  <si>
    <t xml:space="preserve">بن جاب الله </t>
  </si>
  <si>
    <t xml:space="preserve">محمد لمين </t>
  </si>
  <si>
    <t>بو غديري</t>
  </si>
  <si>
    <t xml:space="preserve"> سلمى </t>
  </si>
  <si>
    <t>بوزراد</t>
  </si>
  <si>
    <t xml:space="preserve"> عبد المؤمن </t>
  </si>
  <si>
    <t xml:space="preserve">هناء </t>
  </si>
  <si>
    <t xml:space="preserve">بوشارب </t>
  </si>
  <si>
    <t xml:space="preserve">عبد الصابر </t>
  </si>
  <si>
    <t xml:space="preserve">بومحداف </t>
  </si>
  <si>
    <t xml:space="preserve">جامعي </t>
  </si>
  <si>
    <t>عبد اللطيف</t>
  </si>
  <si>
    <t xml:space="preserve">جفال </t>
  </si>
  <si>
    <t>حرير</t>
  </si>
  <si>
    <t xml:space="preserve"> تقي الدين </t>
  </si>
  <si>
    <t xml:space="preserve">خطاب </t>
  </si>
  <si>
    <t xml:space="preserve">نبيل </t>
  </si>
  <si>
    <t>خليفي</t>
  </si>
  <si>
    <t xml:space="preserve"> هشام</t>
  </si>
  <si>
    <t>داغري</t>
  </si>
  <si>
    <t xml:space="preserve">رحموني </t>
  </si>
  <si>
    <t xml:space="preserve">هاني </t>
  </si>
  <si>
    <t>زاوي</t>
  </si>
  <si>
    <t xml:space="preserve"> شمس الدين </t>
  </si>
  <si>
    <t xml:space="preserve">زيان </t>
  </si>
  <si>
    <t>الصادق رسيم</t>
  </si>
  <si>
    <t xml:space="preserve">سالمي </t>
  </si>
  <si>
    <t>محمد الشريف</t>
  </si>
  <si>
    <t>سعيدي</t>
  </si>
  <si>
    <t xml:space="preserve"> محمد أمين </t>
  </si>
  <si>
    <t xml:space="preserve">شرشار </t>
  </si>
  <si>
    <t>خالد</t>
  </si>
  <si>
    <t xml:space="preserve">طهراوي </t>
  </si>
  <si>
    <t>محمد</t>
  </si>
  <si>
    <t>عجل</t>
  </si>
  <si>
    <t xml:space="preserve"> نسرين </t>
  </si>
  <si>
    <t xml:space="preserve">عرعور </t>
  </si>
  <si>
    <t xml:space="preserve">صفية </t>
  </si>
  <si>
    <t xml:space="preserve">قسنطيني </t>
  </si>
  <si>
    <t xml:space="preserve">شيماء </t>
  </si>
  <si>
    <t>قمود</t>
  </si>
  <si>
    <t xml:space="preserve"> سهيلة </t>
  </si>
  <si>
    <t xml:space="preserve">لسعد </t>
  </si>
  <si>
    <t>شمس الأصيل</t>
  </si>
  <si>
    <t xml:space="preserve">مديح </t>
  </si>
  <si>
    <t>أنيس</t>
  </si>
  <si>
    <t>مرداسي</t>
  </si>
  <si>
    <t xml:space="preserve"> خولة </t>
  </si>
  <si>
    <t>مرزوق</t>
  </si>
  <si>
    <t xml:space="preserve"> اسيا </t>
  </si>
  <si>
    <t xml:space="preserve">مسعودي </t>
  </si>
  <si>
    <t>سلمى</t>
  </si>
  <si>
    <t xml:space="preserve">نغرة </t>
  </si>
  <si>
    <t>والي</t>
  </si>
  <si>
    <t xml:space="preserve"> حسان </t>
  </si>
  <si>
    <t xml:space="preserve">العباسي </t>
  </si>
  <si>
    <t xml:space="preserve">شوقي </t>
  </si>
  <si>
    <t xml:space="preserve">بلجهم </t>
  </si>
  <si>
    <t>شاهر</t>
  </si>
  <si>
    <t xml:space="preserve">بن شاوش </t>
  </si>
  <si>
    <t xml:space="preserve">محمد </t>
  </si>
  <si>
    <t xml:space="preserve">بن ضيف </t>
  </si>
  <si>
    <t xml:space="preserve">بن محمد </t>
  </si>
  <si>
    <t>نريمان</t>
  </si>
  <si>
    <t xml:space="preserve">بوطالب </t>
  </si>
  <si>
    <t>جمال الدين</t>
  </si>
  <si>
    <t xml:space="preserve">بوكرش </t>
  </si>
  <si>
    <t xml:space="preserve">عماد الدين </t>
  </si>
  <si>
    <t xml:space="preserve">بولفول </t>
  </si>
  <si>
    <t xml:space="preserve">كوثر </t>
  </si>
  <si>
    <t xml:space="preserve">بومزراق </t>
  </si>
  <si>
    <t xml:space="preserve">الضاوية مريم </t>
  </si>
  <si>
    <t xml:space="preserve">بونور </t>
  </si>
  <si>
    <t xml:space="preserve">عبير </t>
  </si>
  <si>
    <t xml:space="preserve">حشايشي </t>
  </si>
  <si>
    <t xml:space="preserve">ماجدة </t>
  </si>
  <si>
    <t xml:space="preserve">حمامي </t>
  </si>
  <si>
    <t>أمير عبد الرؤوف</t>
  </si>
  <si>
    <t xml:space="preserve">حمروشي </t>
  </si>
  <si>
    <t xml:space="preserve">شهيناز </t>
  </si>
  <si>
    <t xml:space="preserve">ديح </t>
  </si>
  <si>
    <t>بو جمعة وسيم</t>
  </si>
  <si>
    <t xml:space="preserve">ديدة </t>
  </si>
  <si>
    <t>محمد زكريا</t>
  </si>
  <si>
    <t xml:space="preserve">رحماني </t>
  </si>
  <si>
    <t>ايمان</t>
  </si>
  <si>
    <t>رفراف</t>
  </si>
  <si>
    <t xml:space="preserve"> ذكرى امينة </t>
  </si>
  <si>
    <t xml:space="preserve">زايخ </t>
  </si>
  <si>
    <t>محى الدين</t>
  </si>
  <si>
    <t>سلاطنية</t>
  </si>
  <si>
    <t xml:space="preserve"> زكريا /بن بلقاسم</t>
  </si>
  <si>
    <t xml:space="preserve">سهيلي </t>
  </si>
  <si>
    <t>عبد الغاني</t>
  </si>
  <si>
    <t xml:space="preserve">صالحي </t>
  </si>
  <si>
    <t>اشرف</t>
  </si>
  <si>
    <t>صنهاجي</t>
  </si>
  <si>
    <t xml:space="preserve"> سلاف</t>
  </si>
  <si>
    <t xml:space="preserve">عتسامنة </t>
  </si>
  <si>
    <t>فاطمة سارة</t>
  </si>
  <si>
    <t>علاوي</t>
  </si>
  <si>
    <t xml:space="preserve"> أسامة</t>
  </si>
  <si>
    <t>قنوة</t>
  </si>
  <si>
    <t xml:space="preserve"> بشير </t>
  </si>
  <si>
    <t xml:space="preserve">قواسمية </t>
  </si>
  <si>
    <t xml:space="preserve">مطاعي </t>
  </si>
  <si>
    <t xml:space="preserve">مروة </t>
  </si>
  <si>
    <t xml:space="preserve">معيزي </t>
  </si>
  <si>
    <t xml:space="preserve">بثينة </t>
  </si>
  <si>
    <t>مفتاح</t>
  </si>
  <si>
    <t xml:space="preserve"> سارة </t>
  </si>
  <si>
    <t xml:space="preserve">يوسفي </t>
  </si>
  <si>
    <t xml:space="preserve">ريم </t>
  </si>
  <si>
    <t>بزاغ</t>
  </si>
  <si>
    <t xml:space="preserve"> نسرين</t>
  </si>
  <si>
    <t xml:space="preserve">بن فيالة </t>
  </si>
  <si>
    <t xml:space="preserve">بن ناصر </t>
  </si>
  <si>
    <t xml:space="preserve">فوزية </t>
  </si>
  <si>
    <t xml:space="preserve"> صديق</t>
  </si>
  <si>
    <t xml:space="preserve">بوشطر </t>
  </si>
  <si>
    <t xml:space="preserve">حمدي </t>
  </si>
  <si>
    <t xml:space="preserve">حنان </t>
  </si>
  <si>
    <t>خضراوي</t>
  </si>
  <si>
    <t xml:space="preserve"> شيماء </t>
  </si>
  <si>
    <t xml:space="preserve">خضري </t>
  </si>
  <si>
    <t xml:space="preserve">عبد الحق </t>
  </si>
  <si>
    <t xml:space="preserve">ايمن </t>
  </si>
  <si>
    <t xml:space="preserve">سماعلي </t>
  </si>
  <si>
    <t>عمران</t>
  </si>
  <si>
    <t>شدادي</t>
  </si>
  <si>
    <t xml:space="preserve">شرفي </t>
  </si>
  <si>
    <t xml:space="preserve">بدر الدين </t>
  </si>
  <si>
    <t xml:space="preserve">شريط </t>
  </si>
  <si>
    <t>كريمة</t>
  </si>
  <si>
    <t xml:space="preserve">ضياف </t>
  </si>
  <si>
    <t>بشري</t>
  </si>
  <si>
    <t>عطوي</t>
  </si>
  <si>
    <t xml:space="preserve"> ياسين </t>
  </si>
  <si>
    <t xml:space="preserve">علمي </t>
  </si>
  <si>
    <t>أحمد عبد الرحمان</t>
  </si>
  <si>
    <t xml:space="preserve">علوي </t>
  </si>
  <si>
    <t>محمد فاروق</t>
  </si>
  <si>
    <t xml:space="preserve">عمان </t>
  </si>
  <si>
    <t xml:space="preserve">محمد فاروق </t>
  </si>
  <si>
    <t>عوني</t>
  </si>
  <si>
    <t xml:space="preserve">غيموز </t>
  </si>
  <si>
    <t xml:space="preserve">قوجيل </t>
  </si>
  <si>
    <t xml:space="preserve">سامي </t>
  </si>
  <si>
    <t xml:space="preserve">كوحيل </t>
  </si>
  <si>
    <t>ياسين</t>
  </si>
  <si>
    <t xml:space="preserve">ليتيم </t>
  </si>
  <si>
    <t xml:space="preserve">ياسر </t>
  </si>
  <si>
    <t>مناصرية</t>
  </si>
  <si>
    <t xml:space="preserve"> ايناس أية </t>
  </si>
  <si>
    <t>شيماء</t>
  </si>
  <si>
    <t xml:space="preserve">ميلودي </t>
  </si>
  <si>
    <t xml:space="preserve">عبد النور </t>
  </si>
  <si>
    <t>16/36031659</t>
  </si>
  <si>
    <t>16/36037198</t>
  </si>
  <si>
    <t>16/36055520</t>
  </si>
  <si>
    <t>14/36028622</t>
  </si>
  <si>
    <t>13/36020849</t>
  </si>
  <si>
    <t>14/36028564</t>
  </si>
  <si>
    <t>15/36058557</t>
  </si>
  <si>
    <t>13/34014001</t>
  </si>
  <si>
    <t>14/36023219</t>
  </si>
  <si>
    <t>16/36057010</t>
  </si>
  <si>
    <t>16/36030990</t>
  </si>
  <si>
    <t>16/36029905</t>
  </si>
  <si>
    <t>16/36027919</t>
  </si>
  <si>
    <t>15/36027028</t>
  </si>
  <si>
    <t>15/36035470</t>
  </si>
  <si>
    <t>13/36020528</t>
  </si>
  <si>
    <t>16/36027188</t>
  </si>
  <si>
    <t>16/36033062</t>
  </si>
  <si>
    <t>13/36036917</t>
  </si>
  <si>
    <t>15/36059259</t>
  </si>
  <si>
    <t>15/36059245</t>
  </si>
  <si>
    <t>16/36024930</t>
  </si>
  <si>
    <t>16/36058584</t>
  </si>
  <si>
    <t>14/36028732</t>
  </si>
  <si>
    <t>16/36032452</t>
  </si>
  <si>
    <t>11/6016584</t>
  </si>
  <si>
    <t>16/36023666</t>
  </si>
  <si>
    <t>16/36029518</t>
  </si>
  <si>
    <t>16/36053945</t>
  </si>
  <si>
    <t>صبري الطيب</t>
  </si>
  <si>
    <t>رحلي</t>
  </si>
  <si>
    <t>16/36023610</t>
  </si>
  <si>
    <t>16/36057108</t>
  </si>
  <si>
    <t>14/36028663</t>
  </si>
  <si>
    <t>15/36028115</t>
  </si>
  <si>
    <t>09/6023585</t>
  </si>
  <si>
    <t>12/6018728</t>
  </si>
  <si>
    <t>16/36056256</t>
  </si>
  <si>
    <t>16/36056207</t>
  </si>
  <si>
    <t>14/36030800</t>
  </si>
  <si>
    <t>16/36029483</t>
  </si>
  <si>
    <t>15/36033062</t>
  </si>
  <si>
    <t>16/36027036</t>
  </si>
  <si>
    <t>15/36034649</t>
  </si>
  <si>
    <t>14/36028543</t>
  </si>
  <si>
    <t>14/36022950</t>
  </si>
  <si>
    <t>13/39063816</t>
  </si>
  <si>
    <t>غرداية</t>
  </si>
  <si>
    <t>عنابة/الحجار</t>
  </si>
  <si>
    <t>13/36020559</t>
  </si>
  <si>
    <t>15/36058583</t>
  </si>
  <si>
    <t xml:space="preserve"> محمد حيدر</t>
  </si>
  <si>
    <t xml:space="preserve">حاج ا براهيم </t>
  </si>
  <si>
    <t>بسكرة</t>
  </si>
  <si>
    <t>15/36036603</t>
  </si>
  <si>
    <t>زهرة سارة</t>
  </si>
  <si>
    <t>جيجل</t>
  </si>
  <si>
    <t>11/6020893</t>
  </si>
  <si>
    <t>أم بواقي</t>
  </si>
  <si>
    <t>الوادي</t>
  </si>
  <si>
    <t>الذرعان/الطارف</t>
  </si>
  <si>
    <t>11/6039703</t>
  </si>
  <si>
    <t>بئر العاتر/تبسة</t>
  </si>
  <si>
    <t>15/36037755</t>
  </si>
  <si>
    <t>15/36036847</t>
  </si>
  <si>
    <t>الحجار/عنابة</t>
  </si>
  <si>
    <t>16/36031684</t>
  </si>
  <si>
    <t>البوني/عنابة</t>
  </si>
  <si>
    <t>15/36026864</t>
  </si>
  <si>
    <t>13/36025144</t>
  </si>
  <si>
    <t>14/36023268</t>
  </si>
  <si>
    <t>بسباس/الطارف</t>
  </si>
  <si>
    <t>15/36060258</t>
  </si>
  <si>
    <t>14/36034023</t>
  </si>
  <si>
    <t>سكيكدة</t>
  </si>
  <si>
    <t xml:space="preserve">لويزة </t>
  </si>
  <si>
    <t>10/6023640</t>
  </si>
  <si>
    <t>عين الباردة /عنابة</t>
  </si>
  <si>
    <t>حاسي مسعود</t>
  </si>
  <si>
    <t>القل</t>
  </si>
  <si>
    <t>13/36020560</t>
  </si>
  <si>
    <t>عين البيضة</t>
  </si>
  <si>
    <t>13/36026381</t>
  </si>
  <si>
    <t>13/36025133</t>
  </si>
  <si>
    <t>خنشلة</t>
  </si>
  <si>
    <t>14/36030831</t>
  </si>
  <si>
    <t>06/6046193</t>
  </si>
  <si>
    <t>14/36023043</t>
  </si>
  <si>
    <t>13/36026358</t>
  </si>
  <si>
    <t>01/644435</t>
  </si>
  <si>
    <t>البسباس/الطارف</t>
  </si>
  <si>
    <t>14/36023082</t>
  </si>
  <si>
    <t>11/6016481</t>
  </si>
  <si>
    <t>14/36028669</t>
  </si>
  <si>
    <t>15/36041258</t>
  </si>
  <si>
    <t>14/36028721</t>
  </si>
  <si>
    <t>14/36023029</t>
  </si>
  <si>
    <t>16/36025189</t>
  </si>
  <si>
    <t>14/36022929</t>
  </si>
  <si>
    <t>15/36037907</t>
  </si>
  <si>
    <t>15/36027388</t>
  </si>
  <si>
    <t>15/36032593</t>
  </si>
  <si>
    <t>16/36036956</t>
  </si>
  <si>
    <t>16/36032474</t>
  </si>
  <si>
    <t>14/36022874</t>
  </si>
  <si>
    <t>الطارف</t>
  </si>
  <si>
    <t>16/36025053</t>
  </si>
  <si>
    <t>15/36026990</t>
  </si>
  <si>
    <t>12/6018757</t>
  </si>
  <si>
    <t>القالة</t>
  </si>
  <si>
    <t>16/36056143</t>
  </si>
  <si>
    <t>14/36051890</t>
  </si>
  <si>
    <t>الذرعان الطارف</t>
  </si>
  <si>
    <t>10/6017469</t>
  </si>
  <si>
    <t>15/36032324</t>
  </si>
  <si>
    <t>14/36024668</t>
  </si>
  <si>
    <t>15/36026930</t>
  </si>
  <si>
    <t>14/36023080</t>
  </si>
  <si>
    <t>14/36023249</t>
  </si>
  <si>
    <t>12/6023325</t>
  </si>
  <si>
    <t>13/36025124</t>
  </si>
  <si>
    <t>16/36027650</t>
  </si>
  <si>
    <t>16/36029567</t>
  </si>
  <si>
    <t>15/36058655</t>
  </si>
  <si>
    <t>15/36032332</t>
  </si>
  <si>
    <t>15/36027126</t>
  </si>
  <si>
    <t>13/36020516</t>
  </si>
  <si>
    <t>12/6018723</t>
  </si>
  <si>
    <t>16/36029542</t>
  </si>
  <si>
    <t>16/36058174</t>
  </si>
  <si>
    <t>بوديب</t>
  </si>
  <si>
    <t>14/36022885</t>
  </si>
  <si>
    <t>15/36040889</t>
  </si>
  <si>
    <t>نايت حمو</t>
  </si>
  <si>
    <t>15/36028488</t>
  </si>
  <si>
    <t>15/36058527</t>
  </si>
  <si>
    <t>15/36035534</t>
  </si>
  <si>
    <t>15/36026957</t>
  </si>
  <si>
    <t>13/36052338</t>
  </si>
  <si>
    <t>سوق اهراس</t>
  </si>
  <si>
    <t>13/36020813</t>
  </si>
  <si>
    <t>14/36026808</t>
  </si>
  <si>
    <t>15/36036633</t>
  </si>
  <si>
    <t>15/36036590</t>
  </si>
  <si>
    <t>13/36025146</t>
  </si>
  <si>
    <t>15/36060211</t>
  </si>
  <si>
    <t>16/36037065</t>
  </si>
  <si>
    <t>تبسة</t>
  </si>
  <si>
    <t>16/36031024</t>
  </si>
  <si>
    <t>16/36056265</t>
  </si>
  <si>
    <t>وفاء</t>
  </si>
  <si>
    <t>15/36030223</t>
  </si>
  <si>
    <t>15/36034858</t>
  </si>
  <si>
    <t>14/36028649</t>
  </si>
  <si>
    <t>13/36020737</t>
  </si>
  <si>
    <t>14/36030808</t>
  </si>
  <si>
    <t>14/36023129</t>
  </si>
  <si>
    <t xml:space="preserve">مهذب </t>
  </si>
  <si>
    <t>16/36024955</t>
  </si>
  <si>
    <t>15/36040170</t>
  </si>
  <si>
    <t>15/34012903</t>
  </si>
  <si>
    <t xml:space="preserve"> صاولي</t>
  </si>
  <si>
    <t xml:space="preserve"> عبدالقادر</t>
  </si>
  <si>
    <t>باي</t>
  </si>
  <si>
    <t xml:space="preserve"> ايناس</t>
  </si>
  <si>
    <t xml:space="preserve"> بزع </t>
  </si>
  <si>
    <t>متخلى</t>
  </si>
  <si>
    <t>متخلية</t>
  </si>
  <si>
    <t>متخلي</t>
  </si>
  <si>
    <t>ناجح(ة)د2بلانقاذ</t>
  </si>
  <si>
    <t>منقطعة</t>
  </si>
  <si>
    <t>منقطع</t>
  </si>
  <si>
    <t xml:space="preserve">متخلي </t>
  </si>
  <si>
    <t>محضر مداولات الدورةالثانية للسداسي الثالث (2018/2017) لطلبةالسنة الثانية علوم تجارية</t>
  </si>
  <si>
    <t>محضر مداولات الدورة الأولى للسداسي الثالث (2018/2017) لطلبةالسنة الثانية علوم تجارية</t>
  </si>
  <si>
    <t>a</t>
  </si>
  <si>
    <t>راسب(ة)</t>
  </si>
  <si>
    <t xml:space="preserve">بوزيتون </t>
  </si>
  <si>
    <t xml:space="preserve">عطلة أكادمية </t>
  </si>
  <si>
    <t xml:space="preserve">متخلى </t>
  </si>
  <si>
    <t>الفوج 11</t>
  </si>
  <si>
    <t>الفوج 12</t>
  </si>
  <si>
    <t>بن دريس هناء</t>
  </si>
  <si>
    <t xml:space="preserve">بن ضيف ريان </t>
  </si>
  <si>
    <t>العياشي</t>
  </si>
  <si>
    <t xml:space="preserve"> فطيمة الزهراء</t>
  </si>
  <si>
    <t xml:space="preserve">أوراغ </t>
  </si>
  <si>
    <t xml:space="preserve">باعة </t>
  </si>
  <si>
    <t>برجي</t>
  </si>
  <si>
    <t>بعلي</t>
  </si>
  <si>
    <t xml:space="preserve"> ريم</t>
  </si>
  <si>
    <t xml:space="preserve">محمد أمين </t>
  </si>
  <si>
    <t xml:space="preserve"> هناء</t>
  </si>
  <si>
    <t xml:space="preserve">ريان </t>
  </si>
  <si>
    <t xml:space="preserve">بورجيبة </t>
  </si>
  <si>
    <t xml:space="preserve">بوشويشة </t>
  </si>
  <si>
    <t xml:space="preserve">محمد رؤوف </t>
  </si>
  <si>
    <t>عماد الدين</t>
  </si>
  <si>
    <t xml:space="preserve">تازير </t>
  </si>
  <si>
    <t xml:space="preserve">محمد الشريف </t>
  </si>
  <si>
    <t>حمامي</t>
  </si>
  <si>
    <t xml:space="preserve"> أمير عبد الروؤف</t>
  </si>
  <si>
    <t xml:space="preserve">خليفي </t>
  </si>
  <si>
    <t xml:space="preserve">هشام </t>
  </si>
  <si>
    <t xml:space="preserve">دزيري </t>
  </si>
  <si>
    <t xml:space="preserve">رشيدة </t>
  </si>
  <si>
    <t>دغماني</t>
  </si>
  <si>
    <t xml:space="preserve"> رضا </t>
  </si>
  <si>
    <t xml:space="preserve">زايدي </t>
  </si>
  <si>
    <t xml:space="preserve">ابراهيم الخليل </t>
  </si>
  <si>
    <t>شريط</t>
  </si>
  <si>
    <t xml:space="preserve"> ريان غزلان </t>
  </si>
  <si>
    <t xml:space="preserve">صابر </t>
  </si>
  <si>
    <t>عبد البارىء</t>
  </si>
  <si>
    <t>طهير</t>
  </si>
  <si>
    <t xml:space="preserve"> محمد لمين </t>
  </si>
  <si>
    <t xml:space="preserve">عبد ليلة </t>
  </si>
  <si>
    <t xml:space="preserve">علاوي </t>
  </si>
  <si>
    <t xml:space="preserve">اسامة </t>
  </si>
  <si>
    <t>علوي</t>
  </si>
  <si>
    <t xml:space="preserve"> محمد فاروق </t>
  </si>
  <si>
    <t xml:space="preserve">عوني </t>
  </si>
  <si>
    <t xml:space="preserve">وفاء </t>
  </si>
  <si>
    <t xml:space="preserve">فليغة </t>
  </si>
  <si>
    <t xml:space="preserve">أمير </t>
  </si>
  <si>
    <t xml:space="preserve">قويدر </t>
  </si>
  <si>
    <t>شهرزاد</t>
  </si>
  <si>
    <t>مديح</t>
  </si>
  <si>
    <t xml:space="preserve"> أنيس </t>
  </si>
  <si>
    <t xml:space="preserve">مروة  </t>
  </si>
  <si>
    <t xml:space="preserve">بلعيد </t>
  </si>
  <si>
    <t xml:space="preserve">سفيان </t>
  </si>
  <si>
    <t xml:space="preserve">بلفار </t>
  </si>
  <si>
    <t xml:space="preserve">الحسن </t>
  </si>
  <si>
    <t xml:space="preserve">بن أحمد </t>
  </si>
  <si>
    <t>بن جاب الله</t>
  </si>
  <si>
    <t xml:space="preserve">بن جدو </t>
  </si>
  <si>
    <t xml:space="preserve">بن حديد </t>
  </si>
  <si>
    <t xml:space="preserve">امنة </t>
  </si>
  <si>
    <t>بوذيب</t>
  </si>
  <si>
    <t>بورقعة</t>
  </si>
  <si>
    <t xml:space="preserve"> يسمينة </t>
  </si>
  <si>
    <t xml:space="preserve">بوزبدة </t>
  </si>
  <si>
    <t xml:space="preserve">صوفيا </t>
  </si>
  <si>
    <t>بوسنطوح</t>
  </si>
  <si>
    <t xml:space="preserve"> صبرين</t>
  </si>
  <si>
    <t>بوشاهد</t>
  </si>
  <si>
    <t xml:space="preserve"> رجاء </t>
  </si>
  <si>
    <t xml:space="preserve">بوعشة </t>
  </si>
  <si>
    <t>محمد لمين</t>
  </si>
  <si>
    <t>تيايبية</t>
  </si>
  <si>
    <t xml:space="preserve"> نداء </t>
  </si>
  <si>
    <t xml:space="preserve">جبار </t>
  </si>
  <si>
    <t>صلاح الدين</t>
  </si>
  <si>
    <t xml:space="preserve">جغادر </t>
  </si>
  <si>
    <t xml:space="preserve">ضحى </t>
  </si>
  <si>
    <t>حاج ابراهيم</t>
  </si>
  <si>
    <t xml:space="preserve"> محمد حيدر </t>
  </si>
  <si>
    <t>خلوط</t>
  </si>
  <si>
    <t xml:space="preserve"> أشرف </t>
  </si>
  <si>
    <t>ذهبي</t>
  </si>
  <si>
    <t xml:space="preserve"> سمية </t>
  </si>
  <si>
    <t>رحماني</t>
  </si>
  <si>
    <t xml:space="preserve"> سفيان </t>
  </si>
  <si>
    <t xml:space="preserve">زاوي </t>
  </si>
  <si>
    <t>شمس الدين</t>
  </si>
  <si>
    <t>زرقاني</t>
  </si>
  <si>
    <t xml:space="preserve"> وفاء</t>
  </si>
  <si>
    <t>زواوي</t>
  </si>
  <si>
    <t xml:space="preserve"> وحيد</t>
  </si>
  <si>
    <t xml:space="preserve"> زكرياء</t>
  </si>
  <si>
    <t>صاري</t>
  </si>
  <si>
    <t xml:space="preserve"> أيمن </t>
  </si>
  <si>
    <t xml:space="preserve">عبيدات </t>
  </si>
  <si>
    <t xml:space="preserve">ربيع </t>
  </si>
  <si>
    <t>عرعور</t>
  </si>
  <si>
    <t xml:space="preserve"> صفية </t>
  </si>
  <si>
    <t xml:space="preserve"> ياسين</t>
  </si>
  <si>
    <t xml:space="preserve">فرقاني </t>
  </si>
  <si>
    <t>حسام</t>
  </si>
  <si>
    <t>مبروك</t>
  </si>
  <si>
    <t xml:space="preserve"> منال </t>
  </si>
  <si>
    <t xml:space="preserve">مناصرية </t>
  </si>
  <si>
    <t xml:space="preserve">ايناس أية </t>
  </si>
  <si>
    <t xml:space="preserve">نايلي </t>
  </si>
  <si>
    <t>رانيا</t>
  </si>
  <si>
    <t>نميلي</t>
  </si>
  <si>
    <t xml:space="preserve"> اعراف</t>
  </si>
  <si>
    <t xml:space="preserve">وارتي </t>
  </si>
  <si>
    <t>ضحى</t>
  </si>
  <si>
    <t xml:space="preserve">يحياوي </t>
  </si>
  <si>
    <t>أيوب</t>
  </si>
  <si>
    <t>اودينة</t>
  </si>
  <si>
    <t xml:space="preserve">اونيس </t>
  </si>
  <si>
    <t xml:space="preserve"> أكرم</t>
  </si>
  <si>
    <t>بن شاوش</t>
  </si>
  <si>
    <t xml:space="preserve"> محمد</t>
  </si>
  <si>
    <t>فوزية</t>
  </si>
  <si>
    <t>بوجمعة</t>
  </si>
  <si>
    <t xml:space="preserve"> عبد الكريم</t>
  </si>
  <si>
    <t xml:space="preserve">بوزراد </t>
  </si>
  <si>
    <t>عبد المؤمن</t>
  </si>
  <si>
    <t xml:space="preserve">بوزكة </t>
  </si>
  <si>
    <t xml:space="preserve">رشا </t>
  </si>
  <si>
    <t xml:space="preserve">بوصبيع الحاج </t>
  </si>
  <si>
    <t xml:space="preserve">عبد الكريم </t>
  </si>
  <si>
    <t>بوطالب</t>
  </si>
  <si>
    <t xml:space="preserve"> جمال الدين</t>
  </si>
  <si>
    <t xml:space="preserve">بوغريرة </t>
  </si>
  <si>
    <t xml:space="preserve">هبة </t>
  </si>
  <si>
    <t xml:space="preserve">جلال </t>
  </si>
  <si>
    <t>حمدي</t>
  </si>
  <si>
    <t xml:space="preserve"> محمد ايهاب </t>
  </si>
  <si>
    <t>رمضاني</t>
  </si>
  <si>
    <t xml:space="preserve"> سدرة المنتهى </t>
  </si>
  <si>
    <t xml:space="preserve">زهيري </t>
  </si>
  <si>
    <t>سحنون</t>
  </si>
  <si>
    <t xml:space="preserve"> ريان </t>
  </si>
  <si>
    <t>سهيلي</t>
  </si>
  <si>
    <t xml:space="preserve"> سلسبيل</t>
  </si>
  <si>
    <t>أشرف</t>
  </si>
  <si>
    <t>عثماني</t>
  </si>
  <si>
    <t xml:space="preserve"> نهاد </t>
  </si>
  <si>
    <t xml:space="preserve">أحمد عبد الرحمن </t>
  </si>
  <si>
    <t xml:space="preserve">غواوة </t>
  </si>
  <si>
    <t xml:space="preserve">فراح </t>
  </si>
  <si>
    <t xml:space="preserve">سامية </t>
  </si>
  <si>
    <t xml:space="preserve">قرعيشي </t>
  </si>
  <si>
    <t xml:space="preserve">عايدة </t>
  </si>
  <si>
    <t>كموش</t>
  </si>
  <si>
    <t xml:space="preserve"> يوسف </t>
  </si>
  <si>
    <t xml:space="preserve"> يمينة </t>
  </si>
  <si>
    <t xml:space="preserve">لوصيف </t>
  </si>
  <si>
    <t xml:space="preserve">رانية </t>
  </si>
  <si>
    <t xml:space="preserve">مبراك </t>
  </si>
  <si>
    <t xml:space="preserve">أسامة </t>
  </si>
  <si>
    <t xml:space="preserve">مساعدي </t>
  </si>
  <si>
    <t xml:space="preserve">ياسمين </t>
  </si>
  <si>
    <t xml:space="preserve">نايت حمو </t>
  </si>
  <si>
    <t xml:space="preserve">هادف </t>
  </si>
  <si>
    <t>زكريا</t>
  </si>
  <si>
    <t xml:space="preserve"> حسان</t>
  </si>
  <si>
    <t xml:space="preserve">باي </t>
  </si>
  <si>
    <t xml:space="preserve">ايناس </t>
  </si>
  <si>
    <t>العباسي</t>
  </si>
  <si>
    <t xml:space="preserve"> شوقي </t>
  </si>
  <si>
    <t>ايدري</t>
  </si>
  <si>
    <t xml:space="preserve"> محمد اشرف وسيم </t>
  </si>
  <si>
    <t>بن عميور</t>
  </si>
  <si>
    <t xml:space="preserve"> شريهان</t>
  </si>
  <si>
    <t xml:space="preserve">بن لطرش </t>
  </si>
  <si>
    <t>عدنان</t>
  </si>
  <si>
    <t>بوتشينة</t>
  </si>
  <si>
    <t xml:space="preserve"> اسلام </t>
  </si>
  <si>
    <t xml:space="preserve">بوتمجت </t>
  </si>
  <si>
    <t xml:space="preserve">برهان الدين </t>
  </si>
  <si>
    <t xml:space="preserve">بوجلال </t>
  </si>
  <si>
    <t xml:space="preserve">مريم </t>
  </si>
  <si>
    <t xml:space="preserve">بوزيد </t>
  </si>
  <si>
    <t>صفاء</t>
  </si>
  <si>
    <t xml:space="preserve">بوساحة </t>
  </si>
  <si>
    <t xml:space="preserve">فادية </t>
  </si>
  <si>
    <t xml:space="preserve">ايمان </t>
  </si>
  <si>
    <t xml:space="preserve">جوزة </t>
  </si>
  <si>
    <t xml:space="preserve">عبد الاله </t>
  </si>
  <si>
    <t>حاجي</t>
  </si>
  <si>
    <t>خطاب</t>
  </si>
  <si>
    <t xml:space="preserve"> نبيل</t>
  </si>
  <si>
    <t>رحلي صبري</t>
  </si>
  <si>
    <t xml:space="preserve"> الطيب </t>
  </si>
  <si>
    <t>رحيمي</t>
  </si>
  <si>
    <t xml:space="preserve">صادق رسيم </t>
  </si>
  <si>
    <t>سلامة</t>
  </si>
  <si>
    <t xml:space="preserve">محمد خليل </t>
  </si>
  <si>
    <t>شويط</t>
  </si>
  <si>
    <t xml:space="preserve"> بدر الدين</t>
  </si>
  <si>
    <t xml:space="preserve"> سلاف </t>
  </si>
  <si>
    <t xml:space="preserve">علايمية </t>
  </si>
  <si>
    <t xml:space="preserve">محمد أيمن </t>
  </si>
  <si>
    <t xml:space="preserve">عوايجية </t>
  </si>
  <si>
    <t xml:space="preserve">أمال </t>
  </si>
  <si>
    <t xml:space="preserve">فاضلي </t>
  </si>
  <si>
    <t>قلال</t>
  </si>
  <si>
    <t xml:space="preserve"> ندى </t>
  </si>
  <si>
    <t>قواسمية</t>
  </si>
  <si>
    <t xml:space="preserve"> جابر </t>
  </si>
  <si>
    <t>لعور</t>
  </si>
  <si>
    <t xml:space="preserve"> مريم </t>
  </si>
  <si>
    <t>مسعودي</t>
  </si>
  <si>
    <t xml:space="preserve">مشطر </t>
  </si>
  <si>
    <t>رزان ياسمين</t>
  </si>
  <si>
    <t>معيزي</t>
  </si>
  <si>
    <t xml:space="preserve"> بثينة </t>
  </si>
  <si>
    <t>منصر</t>
  </si>
  <si>
    <t xml:space="preserve"> محمد اليمين</t>
  </si>
  <si>
    <t>مريجات</t>
  </si>
  <si>
    <t xml:space="preserve">عطاب </t>
  </si>
  <si>
    <t>أحلام</t>
  </si>
  <si>
    <t>مرابطي</t>
  </si>
  <si>
    <t xml:space="preserve"> محمد اسلام</t>
  </si>
  <si>
    <t>17/36030892</t>
  </si>
  <si>
    <t>16/36023582</t>
  </si>
  <si>
    <t>17/36023694</t>
  </si>
  <si>
    <t>16/36023592</t>
  </si>
  <si>
    <t>17/36025519</t>
  </si>
  <si>
    <t>17/36036725</t>
  </si>
  <si>
    <t xml:space="preserve">سكندر </t>
  </si>
  <si>
    <t>17/36031254</t>
  </si>
  <si>
    <t xml:space="preserve">تبسة </t>
  </si>
  <si>
    <t xml:space="preserve">عنابة </t>
  </si>
  <si>
    <t>16/36025160</t>
  </si>
  <si>
    <t>14/31029280</t>
  </si>
  <si>
    <t>16/36010521</t>
  </si>
  <si>
    <t>17/36023746</t>
  </si>
  <si>
    <t>17/36023731</t>
  </si>
  <si>
    <t>14/36023077</t>
  </si>
  <si>
    <t>16/36029757</t>
  </si>
  <si>
    <t>17/36036311</t>
  </si>
  <si>
    <t>15/36026822</t>
  </si>
  <si>
    <t>17/36036349</t>
  </si>
  <si>
    <t>17/36028289</t>
  </si>
  <si>
    <t>17/36031265</t>
  </si>
  <si>
    <t>16/36033294</t>
  </si>
  <si>
    <t>17/36028336</t>
  </si>
  <si>
    <t>16/36027986</t>
  </si>
  <si>
    <t>15/36058464</t>
  </si>
  <si>
    <t>17/36025768</t>
  </si>
  <si>
    <t>17/36027620</t>
  </si>
  <si>
    <t>17/36026568</t>
  </si>
  <si>
    <t>16/36031752</t>
  </si>
  <si>
    <t>17/36027198</t>
  </si>
  <si>
    <t>15/36028715</t>
  </si>
  <si>
    <t>17/36029484</t>
  </si>
  <si>
    <t>13/36026917</t>
  </si>
  <si>
    <t>15/36028054</t>
  </si>
  <si>
    <t>حاسي مسعود/ورقلة</t>
  </si>
  <si>
    <t>الدرعان/عنابة</t>
  </si>
  <si>
    <t>البسباس</t>
  </si>
  <si>
    <t>الحجار</t>
  </si>
  <si>
    <t>16/36057120</t>
  </si>
  <si>
    <t>الذرعان</t>
  </si>
  <si>
    <t>15/36026962</t>
  </si>
  <si>
    <t>15/36028669</t>
  </si>
  <si>
    <t>شطايبي/عنابة</t>
  </si>
  <si>
    <t xml:space="preserve">الحجار/عنابة </t>
  </si>
  <si>
    <t>16/36024996</t>
  </si>
  <si>
    <t>14/36030136</t>
  </si>
  <si>
    <t>عين الباردة/عنابة</t>
  </si>
  <si>
    <t>15/36034596</t>
  </si>
  <si>
    <t>13/36020801</t>
  </si>
  <si>
    <t>القالة/الطارف</t>
  </si>
  <si>
    <t>16/36024997</t>
  </si>
  <si>
    <t>11/6022625</t>
  </si>
  <si>
    <t>16/360031669</t>
  </si>
  <si>
    <t>16/36023591</t>
  </si>
  <si>
    <t>القل/سكيكدة</t>
  </si>
  <si>
    <t>17/36036550</t>
  </si>
  <si>
    <t>16/36025622</t>
  </si>
  <si>
    <t>17/36025436</t>
  </si>
  <si>
    <t>14/36023460</t>
  </si>
  <si>
    <t>17/36025350</t>
  </si>
  <si>
    <t>17/36029457</t>
  </si>
  <si>
    <t>17/36027277</t>
  </si>
  <si>
    <t>23/00/1999</t>
  </si>
  <si>
    <t>13/36020908</t>
  </si>
  <si>
    <t xml:space="preserve">شدادي </t>
  </si>
  <si>
    <t>مفقود</t>
  </si>
  <si>
    <t>ريمة</t>
  </si>
  <si>
    <t>الفوج12</t>
  </si>
  <si>
    <t>سمر هاجر</t>
  </si>
  <si>
    <t>كارك</t>
  </si>
  <si>
    <t xml:space="preserve">عادل محمد أنيس </t>
  </si>
  <si>
    <t xml:space="preserve">خوالدية </t>
  </si>
  <si>
    <t xml:space="preserve"> خدوجةأسماء </t>
  </si>
  <si>
    <t>محضر مداولات الدورة الأولى للسداسي الثالث (2019/2018) لطلبةالسنة الثانية علوم تجارية</t>
  </si>
</sst>
</file>

<file path=xl/styles.xml><?xml version="1.0" encoding="utf-8"?>
<styleSheet xmlns="http://schemas.openxmlformats.org/spreadsheetml/2006/main">
  <numFmts count="5">
    <numFmt numFmtId="164" formatCode="0.00;[Red]0.00"/>
    <numFmt numFmtId="165" formatCode="0;[Red]0"/>
    <numFmt numFmtId="166" formatCode="0.000"/>
    <numFmt numFmtId="167" formatCode="#,##0;[Red]#,##0"/>
    <numFmt numFmtId="168" formatCode="[$-1010000]yyyy/mm/dd;@"/>
  </numFmts>
  <fonts count="61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78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Monotype Koufi"/>
      <charset val="178"/>
    </font>
    <font>
      <b/>
      <sz val="11"/>
      <name val="Monotype Koufi"/>
      <charset val="178"/>
    </font>
    <font>
      <b/>
      <sz val="14"/>
      <name val="Monotype Koufi"/>
      <charset val="178"/>
    </font>
    <font>
      <b/>
      <sz val="18"/>
      <name val="Monotype Koufi"/>
      <charset val="178"/>
    </font>
    <font>
      <sz val="22"/>
      <name val="Monotype Koufi"/>
      <charset val="17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ecoType Naskh Special"/>
      <charset val="178"/>
    </font>
    <font>
      <b/>
      <sz val="20"/>
      <color theme="1"/>
      <name val="ae_Granada"/>
      <family val="1"/>
    </font>
    <font>
      <sz val="11"/>
      <color theme="1"/>
      <name val="ae_AlMateen"/>
      <family val="1"/>
    </font>
    <font>
      <b/>
      <sz val="12"/>
      <color theme="1"/>
      <name val="DecoType Naskh"/>
      <charset val="178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ae_AlMateen"/>
      <family val="1"/>
    </font>
    <font>
      <b/>
      <sz val="18"/>
      <color theme="1"/>
      <name val="Diwani Letter"/>
      <charset val="178"/>
    </font>
    <font>
      <sz val="26"/>
      <name val="Monotype Koufi"/>
      <charset val="178"/>
    </font>
    <font>
      <b/>
      <sz val="18"/>
      <name val="ae_AlMothnna"/>
      <family val="2"/>
    </font>
    <font>
      <b/>
      <sz val="20"/>
      <name val="Times New Roman"/>
      <family val="1"/>
    </font>
    <font>
      <b/>
      <sz val="16"/>
      <name val="ae_AlMateen"/>
      <family val="1"/>
    </font>
    <font>
      <b/>
      <sz val="12"/>
      <name val="ae_AlMohanad"/>
      <family val="1"/>
    </font>
    <font>
      <b/>
      <sz val="14"/>
      <name val="Times New Roman"/>
      <family val="1"/>
    </font>
    <font>
      <b/>
      <sz val="16"/>
      <name val="Monotype Koufi"/>
      <charset val="178"/>
    </font>
    <font>
      <b/>
      <sz val="26"/>
      <name val="Monotype Koufi"/>
      <charset val="178"/>
    </font>
    <font>
      <b/>
      <sz val="18"/>
      <color rgb="FFFF0000"/>
      <name val="Monotype Koufi"/>
      <charset val="178"/>
    </font>
    <font>
      <b/>
      <sz val="14"/>
      <color rgb="FFFF0000"/>
      <name val="Monotype Koufi"/>
      <charset val="178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ae_AlMateen"/>
      <family val="1"/>
    </font>
    <font>
      <b/>
      <sz val="16"/>
      <color theme="1"/>
      <name val="Monotype Koufi"/>
      <charset val="178"/>
    </font>
    <font>
      <sz val="20"/>
      <color theme="1"/>
      <name val="Monotype Koufi"/>
      <charset val="178"/>
    </font>
    <font>
      <sz val="12"/>
      <color theme="1"/>
      <name val="Monotype Koufi"/>
      <charset val="178"/>
    </font>
    <font>
      <b/>
      <sz val="16"/>
      <color indexed="8"/>
      <name val="Andalus"/>
      <charset val="178"/>
    </font>
    <font>
      <b/>
      <sz val="12"/>
      <color theme="1"/>
      <name val="Andalus"/>
      <charset val="178"/>
    </font>
    <font>
      <sz val="16"/>
      <color indexed="8"/>
      <name val="Andalus"/>
      <charset val="178"/>
    </font>
    <font>
      <sz val="12"/>
      <color theme="1"/>
      <name val="Andalus"/>
      <charset val="178"/>
    </font>
    <font>
      <sz val="14"/>
      <color theme="1"/>
      <name val="Monotype Koufi"/>
      <charset val="178"/>
    </font>
    <font>
      <sz val="16"/>
      <color theme="1"/>
      <name val="Andalus"/>
      <charset val="178"/>
    </font>
    <font>
      <b/>
      <sz val="16"/>
      <color theme="1"/>
      <name val="Andalus"/>
      <charset val="178"/>
    </font>
    <font>
      <b/>
      <sz val="10"/>
      <color theme="1"/>
      <name val="Arial"/>
      <family val="2"/>
    </font>
    <font>
      <sz val="11"/>
      <color theme="1"/>
      <name val="Monotype Koufi"/>
      <charset val="178"/>
    </font>
    <font>
      <b/>
      <sz val="11"/>
      <color theme="1"/>
      <name val="Monotype Koufi"/>
      <charset val="178"/>
    </font>
    <font>
      <b/>
      <sz val="16"/>
      <color theme="1"/>
      <name val="Times New Roman"/>
      <family val="1"/>
    </font>
    <font>
      <b/>
      <sz val="20"/>
      <name val="Monotype Koufi"/>
      <charset val="178"/>
    </font>
    <font>
      <b/>
      <sz val="11"/>
      <color rgb="FFFF0000"/>
      <name val="Monotype Koufi"/>
      <charset val="178"/>
    </font>
    <font>
      <b/>
      <sz val="14"/>
      <color rgb="FFFF0000"/>
      <name val="Times New Roman"/>
      <family val="1"/>
    </font>
    <font>
      <sz val="18"/>
      <name val="Monotype Koufi"/>
      <charset val="178"/>
    </font>
    <font>
      <b/>
      <sz val="26"/>
      <name val="ae_AlMateen"/>
      <family val="1"/>
    </font>
    <font>
      <b/>
      <sz val="18"/>
      <name val="Monotype Koufi"/>
    </font>
    <font>
      <b/>
      <sz val="20"/>
      <color rgb="FFFF0000"/>
      <name val="Times New Roman"/>
      <family val="1"/>
    </font>
    <font>
      <b/>
      <sz val="26"/>
      <color theme="1"/>
      <name val="Arial"/>
      <family val="2"/>
    </font>
    <font>
      <b/>
      <sz val="26"/>
      <color indexed="8"/>
      <name val="Simplified Arabic"/>
      <charset val="178"/>
    </font>
    <font>
      <b/>
      <sz val="26"/>
      <color theme="1"/>
      <name val="Calibri"/>
      <family val="2"/>
      <scheme val="minor"/>
    </font>
    <font>
      <b/>
      <sz val="26"/>
      <color indexed="8"/>
      <name val="Traditional Arabic"/>
      <charset val="178"/>
    </font>
    <font>
      <b/>
      <sz val="26"/>
      <name val="Arial"/>
      <family val="2"/>
    </font>
  </fonts>
  <fills count="19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theme="0" tint="-0.25098422193060094"/>
        </stop>
      </gradientFill>
    </fill>
    <fill>
      <gradientFill>
        <stop position="0">
          <color theme="0" tint="-0.25098422193060094"/>
        </stop>
        <stop position="1">
          <color theme="0"/>
        </stop>
      </gradientFill>
    </fill>
    <fill>
      <patternFill patternType="gray0625">
        <fgColor theme="0" tint="-0.24994659260841701"/>
        <bgColor theme="0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1" tint="0.34998626667073579"/>
      </bottom>
      <diagonal/>
    </border>
    <border>
      <left style="medium">
        <color auto="1"/>
      </left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 style="dotted">
        <color theme="1" tint="0.34998626667073579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thin">
        <color theme="0" tint="-0.34998626667073579"/>
      </bottom>
      <diagonal/>
    </border>
    <border>
      <left/>
      <right/>
      <top style="thick">
        <color theme="0" tint="-0.499984740745262"/>
      </top>
      <bottom style="thin">
        <color theme="0" tint="-0.34998626667073579"/>
      </bottom>
      <diagonal/>
    </border>
    <border>
      <left style="medium">
        <color auto="1"/>
      </left>
      <right style="dotted">
        <color theme="1" tint="0.499984740745262"/>
      </right>
      <top style="dotted">
        <color theme="1" tint="0.34998626667073579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theme="0" tint="-4.9989318521683403E-2"/>
      </left>
      <right/>
      <top/>
      <bottom style="thick">
        <color theme="0" tint="-0.499984740745262"/>
      </bottom>
      <diagonal/>
    </border>
    <border>
      <left/>
      <right style="thick">
        <color theme="0" tint="-4.9989318521683403E-2"/>
      </right>
      <top/>
      <bottom style="thick">
        <color theme="0" tint="-0.499984740745262"/>
      </bottom>
      <diagonal/>
    </border>
    <border>
      <left style="thin">
        <color theme="1" tint="0.34998626667073579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/>
      <right style="thick">
        <color indexed="64"/>
      </right>
      <top/>
      <bottom style="dotted">
        <color theme="1" tint="0.34998626667073579"/>
      </bottom>
      <diagonal/>
    </border>
    <border>
      <left style="dotted">
        <color theme="1" tint="0.499984740745262"/>
      </left>
      <right style="thick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indexed="64"/>
      </bottom>
      <diagonal/>
    </border>
    <border>
      <left style="thick">
        <color theme="0" tint="-4.9989318521683403E-2"/>
      </left>
      <right style="medium">
        <color indexed="64"/>
      </right>
      <top style="medium">
        <color indexed="64"/>
      </top>
      <bottom style="thick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ck">
        <color theme="0" tint="-0.499984740745262"/>
      </bottom>
      <diagonal/>
    </border>
    <border>
      <left style="medium">
        <color auto="1"/>
      </left>
      <right/>
      <top style="medium">
        <color indexed="64"/>
      </top>
      <bottom style="thick">
        <color theme="0" tint="-0.499984740745262"/>
      </bottom>
      <diagonal/>
    </border>
    <border>
      <left style="medium">
        <color indexed="64"/>
      </left>
      <right style="thick">
        <color theme="0" tint="-4.9989318521683403E-2"/>
      </right>
      <top style="medium">
        <color indexed="64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thick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ck">
        <color theme="0" tint="-0.499984740745262"/>
      </bottom>
      <diagonal/>
    </border>
    <border>
      <left style="thick">
        <color indexed="64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auto="1"/>
      </right>
      <top/>
      <bottom style="thick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theme="0" tint="-0.499984740745262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4">
    <xf numFmtId="0" fontId="0" fillId="0" borderId="0" xfId="0"/>
    <xf numFmtId="0" fontId="2" fillId="2" borderId="27" xfId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/>
    <xf numFmtId="0" fontId="11" fillId="0" borderId="0" xfId="0" applyFont="1"/>
    <xf numFmtId="0" fontId="13" fillId="0" borderId="0" xfId="0" applyFont="1" applyFill="1" applyBorder="1" applyAlignment="1"/>
    <xf numFmtId="0" fontId="0" fillId="0" borderId="0" xfId="0" applyFill="1"/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18" fillId="0" borderId="37" xfId="0" applyNumberFormat="1" applyFont="1" applyFill="1" applyBorder="1" applyAlignment="1">
      <alignment horizontal="center" vertical="center"/>
    </xf>
    <xf numFmtId="165" fontId="18" fillId="0" borderId="58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5" fontId="18" fillId="0" borderId="69" xfId="0" applyNumberFormat="1" applyFont="1" applyFill="1" applyBorder="1" applyAlignment="1">
      <alignment horizontal="center" vertical="center"/>
    </xf>
    <xf numFmtId="164" fontId="18" fillId="0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Fill="1" applyBorder="1" applyAlignment="1">
      <alignment horizontal="center" vertical="center"/>
    </xf>
    <xf numFmtId="164" fontId="18" fillId="0" borderId="91" xfId="0" applyNumberFormat="1" applyFont="1" applyFill="1" applyBorder="1" applyAlignment="1">
      <alignment horizontal="center" vertical="center"/>
    </xf>
    <xf numFmtId="165" fontId="18" fillId="0" borderId="92" xfId="0" applyNumberFormat="1" applyFont="1" applyFill="1" applyBorder="1" applyAlignment="1">
      <alignment horizontal="center" vertical="center"/>
    </xf>
    <xf numFmtId="164" fontId="18" fillId="0" borderId="81" xfId="0" applyNumberFormat="1" applyFont="1" applyFill="1" applyBorder="1" applyAlignment="1">
      <alignment horizontal="center" vertical="center"/>
    </xf>
    <xf numFmtId="165" fontId="18" fillId="0" borderId="105" xfId="0" applyNumberFormat="1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65" fontId="18" fillId="0" borderId="111" xfId="0" applyNumberFormat="1" applyFont="1" applyFill="1" applyBorder="1" applyAlignment="1">
      <alignment horizontal="center" vertical="center"/>
    </xf>
    <xf numFmtId="164" fontId="18" fillId="0" borderId="112" xfId="0" applyNumberFormat="1" applyFont="1" applyFill="1" applyBorder="1" applyAlignment="1">
      <alignment horizontal="center" vertical="center"/>
    </xf>
    <xf numFmtId="165" fontId="18" fillId="0" borderId="112" xfId="0" applyNumberFormat="1" applyFont="1" applyFill="1" applyBorder="1" applyAlignment="1">
      <alignment horizontal="center" vertical="center"/>
    </xf>
    <xf numFmtId="164" fontId="16" fillId="0" borderId="108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Alignment="1">
      <alignment horizontal="right" vertical="center"/>
    </xf>
    <xf numFmtId="0" fontId="20" fillId="0" borderId="125" xfId="0" applyFont="1" applyBorder="1" applyAlignment="1">
      <alignment vertical="top"/>
    </xf>
    <xf numFmtId="0" fontId="21" fillId="0" borderId="125" xfId="0" applyFont="1" applyBorder="1" applyAlignment="1">
      <alignment vertical="center"/>
    </xf>
    <xf numFmtId="164" fontId="24" fillId="0" borderId="35" xfId="0" applyNumberFormat="1" applyFont="1" applyFill="1" applyBorder="1" applyAlignment="1" applyProtection="1">
      <alignment horizontal="center" vertical="center" readingOrder="2"/>
    </xf>
    <xf numFmtId="165" fontId="24" fillId="0" borderId="133" xfId="0" applyNumberFormat="1" applyFont="1" applyFill="1" applyBorder="1" applyAlignment="1" applyProtection="1">
      <alignment horizontal="center" vertical="center" readingOrder="2"/>
    </xf>
    <xf numFmtId="164" fontId="24" fillId="0" borderId="28" xfId="0" applyNumberFormat="1" applyFont="1" applyFill="1" applyBorder="1" applyAlignment="1" applyProtection="1">
      <alignment horizontal="center" vertical="center" readingOrder="2"/>
    </xf>
    <xf numFmtId="165" fontId="24" fillId="0" borderId="129" xfId="0" applyNumberFormat="1" applyFont="1" applyFill="1" applyBorder="1" applyAlignment="1" applyProtection="1">
      <alignment horizontal="center" vertical="center" readingOrder="2"/>
    </xf>
    <xf numFmtId="165" fontId="24" fillId="0" borderId="22" xfId="1" applyNumberFormat="1" applyFont="1" applyFill="1" applyBorder="1" applyAlignment="1" applyProtection="1">
      <alignment horizontal="center" vertical="center"/>
    </xf>
    <xf numFmtId="164" fontId="16" fillId="0" borderId="112" xfId="0" applyNumberFormat="1" applyFont="1" applyFill="1" applyBorder="1" applyAlignment="1">
      <alignment horizontal="center" vertical="center"/>
    </xf>
    <xf numFmtId="0" fontId="9" fillId="0" borderId="0" xfId="0" applyFont="1" applyProtection="1"/>
    <xf numFmtId="0" fontId="9" fillId="0" borderId="0" xfId="0" applyFont="1" applyBorder="1" applyProtection="1"/>
    <xf numFmtId="167" fontId="27" fillId="0" borderId="37" xfId="0" applyNumberFormat="1" applyFont="1" applyFill="1" applyBorder="1" applyAlignment="1" applyProtection="1">
      <alignment horizontal="center" vertical="center" readingOrder="2"/>
    </xf>
    <xf numFmtId="164" fontId="27" fillId="0" borderId="135" xfId="0" applyNumberFormat="1" applyFont="1" applyFill="1" applyBorder="1" applyAlignment="1" applyProtection="1">
      <alignment horizontal="center" vertical="center" readingOrder="2"/>
    </xf>
    <xf numFmtId="165" fontId="27" fillId="0" borderId="135" xfId="0" applyNumberFormat="1" applyFont="1" applyFill="1" applyBorder="1" applyAlignment="1" applyProtection="1">
      <alignment horizontal="center" vertical="center" readingOrder="2"/>
    </xf>
    <xf numFmtId="164" fontId="27" fillId="0" borderId="136" xfId="0" applyNumberFormat="1" applyFont="1" applyFill="1" applyBorder="1" applyAlignment="1" applyProtection="1">
      <alignment horizontal="center" vertical="center" readingOrder="2"/>
    </xf>
    <xf numFmtId="0" fontId="23" fillId="0" borderId="160" xfId="1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4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25" fillId="0" borderId="132" xfId="0" applyNumberFormat="1" applyFont="1" applyFill="1" applyBorder="1" applyAlignment="1" applyProtection="1">
      <alignment horizontal="center" vertical="center"/>
      <protection locked="0"/>
    </xf>
    <xf numFmtId="164" fontId="24" fillId="0" borderId="164" xfId="1" applyNumberFormat="1" applyFont="1" applyFill="1" applyBorder="1" applyAlignment="1" applyProtection="1">
      <alignment horizontal="center" vertical="center"/>
    </xf>
    <xf numFmtId="164" fontId="27" fillId="0" borderId="24" xfId="0" applyNumberFormat="1" applyFont="1" applyFill="1" applyBorder="1" applyAlignment="1" applyProtection="1">
      <alignment horizontal="center" vertical="center" readingOrder="2"/>
    </xf>
    <xf numFmtId="164" fontId="27" fillId="0" borderId="173" xfId="0" applyNumberFormat="1" applyFont="1" applyFill="1" applyBorder="1" applyAlignment="1" applyProtection="1">
      <alignment horizontal="center" vertical="center" readingOrder="2"/>
    </xf>
    <xf numFmtId="165" fontId="27" fillId="0" borderId="173" xfId="0" applyNumberFormat="1" applyFont="1" applyFill="1" applyBorder="1" applyAlignment="1" applyProtection="1">
      <alignment horizontal="center" vertical="center" readingOrder="2"/>
    </xf>
    <xf numFmtId="167" fontId="27" fillId="0" borderId="178" xfId="0" applyNumberFormat="1" applyFont="1" applyFill="1" applyBorder="1" applyAlignment="1" applyProtection="1">
      <alignment horizontal="center" vertical="center" readingOrder="2"/>
    </xf>
    <xf numFmtId="165" fontId="24" fillId="0" borderId="21" xfId="1" applyNumberFormat="1" applyFont="1" applyFill="1" applyBorder="1" applyAlignment="1" applyProtection="1">
      <alignment horizontal="center" vertical="center"/>
    </xf>
    <xf numFmtId="165" fontId="24" fillId="0" borderId="4" xfId="1" applyNumberFormat="1" applyFont="1" applyFill="1" applyBorder="1" applyAlignment="1" applyProtection="1">
      <alignment horizontal="center" vertical="center"/>
    </xf>
    <xf numFmtId="164" fontId="16" fillId="0" borderId="101" xfId="0" applyNumberFormat="1" applyFont="1" applyFill="1" applyBorder="1" applyAlignment="1">
      <alignment horizontal="center" vertical="center"/>
    </xf>
    <xf numFmtId="164" fontId="3" fillId="0" borderId="135" xfId="0" applyNumberFormat="1" applyFont="1" applyFill="1" applyBorder="1" applyAlignment="1" applyProtection="1">
      <alignment horizontal="center" vertical="center" readingOrder="2"/>
    </xf>
    <xf numFmtId="2" fontId="27" fillId="0" borderId="173" xfId="0" applyNumberFormat="1" applyFont="1" applyFill="1" applyBorder="1" applyAlignment="1" applyProtection="1">
      <alignment horizontal="center" vertical="center" readingOrder="2"/>
    </xf>
    <xf numFmtId="164" fontId="32" fillId="0" borderId="137" xfId="0" applyNumberFormat="1" applyFont="1" applyFill="1" applyBorder="1" applyAlignment="1" applyProtection="1">
      <alignment horizontal="center" vertical="center" readingOrder="2"/>
    </xf>
    <xf numFmtId="165" fontId="32" fillId="0" borderId="137" xfId="0" applyNumberFormat="1" applyFont="1" applyFill="1" applyBorder="1" applyAlignment="1" applyProtection="1">
      <alignment horizontal="center" vertical="center" readingOrder="2"/>
    </xf>
    <xf numFmtId="164" fontId="32" fillId="0" borderId="32" xfId="0" applyNumberFormat="1" applyFont="1" applyFill="1" applyBorder="1" applyAlignment="1" applyProtection="1">
      <alignment horizontal="center" vertical="center" readingOrder="2"/>
    </xf>
    <xf numFmtId="165" fontId="32" fillId="0" borderId="32" xfId="0" applyNumberFormat="1" applyFont="1" applyFill="1" applyBorder="1" applyAlignment="1" applyProtection="1">
      <alignment horizontal="center" vertical="center" readingOrder="2"/>
    </xf>
    <xf numFmtId="164" fontId="33" fillId="0" borderId="21" xfId="1" applyNumberFormat="1" applyFont="1" applyFill="1" applyBorder="1" applyAlignment="1" applyProtection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0" fontId="37" fillId="0" borderId="0" xfId="0" applyFont="1" applyAlignment="1"/>
    <xf numFmtId="0" fontId="40" fillId="0" borderId="0" xfId="0" applyFont="1" applyFill="1" applyAlignment="1" applyProtection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right" vertical="center"/>
    </xf>
    <xf numFmtId="0" fontId="41" fillId="0" borderId="7" xfId="0" applyFont="1" applyFill="1" applyBorder="1" applyAlignment="1">
      <alignment horizontal="right" vertical="center"/>
    </xf>
    <xf numFmtId="0" fontId="41" fillId="0" borderId="77" xfId="0" applyFont="1" applyFill="1" applyBorder="1" applyAlignment="1">
      <alignment horizontal="right" vertical="center"/>
    </xf>
    <xf numFmtId="0" fontId="41" fillId="0" borderId="88" xfId="0" applyFont="1" applyFill="1" applyBorder="1" applyAlignment="1">
      <alignment horizontal="right" vertical="center"/>
    </xf>
    <xf numFmtId="0" fontId="41" fillId="0" borderId="46" xfId="0" applyFont="1" applyFill="1" applyBorder="1" applyAlignment="1">
      <alignment horizontal="right" vertical="center"/>
    </xf>
    <xf numFmtId="0" fontId="41" fillId="0" borderId="98" xfId="0" applyFont="1" applyFill="1" applyBorder="1" applyAlignment="1">
      <alignment horizontal="right" vertical="center"/>
    </xf>
    <xf numFmtId="0" fontId="41" fillId="0" borderId="88" xfId="0" applyFont="1" applyFill="1" applyBorder="1" applyAlignment="1">
      <alignment horizontal="right" vertical="center" wrapText="1"/>
    </xf>
    <xf numFmtId="0" fontId="41" fillId="0" borderId="50" xfId="0" applyFont="1" applyFill="1" applyBorder="1" applyAlignment="1">
      <alignment horizontal="right" vertical="center"/>
    </xf>
    <xf numFmtId="0" fontId="41" fillId="0" borderId="108" xfId="0" applyFont="1" applyFill="1" applyBorder="1" applyAlignment="1">
      <alignment horizontal="center" vertical="center" wrapText="1"/>
    </xf>
    <xf numFmtId="0" fontId="45" fillId="0" borderId="107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37" fillId="0" borderId="196" xfId="0" applyFont="1" applyFill="1" applyBorder="1" applyAlignment="1">
      <alignment vertical="center"/>
    </xf>
    <xf numFmtId="0" fontId="37" fillId="0" borderId="125" xfId="0" applyFont="1" applyFill="1" applyBorder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center"/>
    </xf>
    <xf numFmtId="0" fontId="39" fillId="0" borderId="125" xfId="0" applyFont="1" applyBorder="1" applyAlignment="1">
      <alignment vertical="top"/>
    </xf>
    <xf numFmtId="0" fontId="17" fillId="0" borderId="198" xfId="0" applyFont="1" applyFill="1" applyBorder="1" applyAlignment="1">
      <alignment horizontal="center" vertical="center"/>
    </xf>
    <xf numFmtId="0" fontId="17" fillId="0" borderId="121" xfId="0" applyFont="1" applyFill="1" applyBorder="1" applyAlignment="1">
      <alignment horizontal="center" vertical="center"/>
    </xf>
    <xf numFmtId="0" fontId="17" fillId="0" borderId="199" xfId="0" applyFont="1" applyFill="1" applyBorder="1" applyAlignment="1">
      <alignment horizontal="center" vertical="center"/>
    </xf>
    <xf numFmtId="0" fontId="17" fillId="0" borderId="200" xfId="0" applyFont="1" applyFill="1" applyBorder="1" applyAlignment="1">
      <alignment horizontal="center" vertical="center"/>
    </xf>
    <xf numFmtId="0" fontId="17" fillId="0" borderId="201" xfId="0" applyFont="1" applyFill="1" applyBorder="1" applyAlignment="1">
      <alignment horizontal="center" vertical="center"/>
    </xf>
    <xf numFmtId="0" fontId="17" fillId="0" borderId="202" xfId="0" applyFont="1" applyFill="1" applyBorder="1" applyAlignment="1">
      <alignment horizontal="center" vertical="center"/>
    </xf>
    <xf numFmtId="165" fontId="48" fillId="0" borderId="41" xfId="0" applyNumberFormat="1" applyFont="1" applyFill="1" applyBorder="1" applyAlignment="1">
      <alignment horizontal="center" vertical="center"/>
    </xf>
    <xf numFmtId="164" fontId="48" fillId="0" borderId="4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vertical="center"/>
    </xf>
    <xf numFmtId="164" fontId="16" fillId="0" borderId="101" xfId="0" applyNumberFormat="1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right" vertical="center"/>
    </xf>
    <xf numFmtId="164" fontId="16" fillId="0" borderId="101" xfId="0" applyNumberFormat="1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vertical="center"/>
    </xf>
    <xf numFmtId="164" fontId="18" fillId="0" borderId="105" xfId="0" applyNumberFormat="1" applyFont="1" applyFill="1" applyBorder="1" applyAlignment="1">
      <alignment horizontal="center" vertical="center"/>
    </xf>
    <xf numFmtId="0" fontId="41" fillId="0" borderId="210" xfId="0" applyFont="1" applyFill="1" applyBorder="1" applyAlignment="1">
      <alignment horizontal="right" vertical="center" wrapText="1"/>
    </xf>
    <xf numFmtId="0" fontId="34" fillId="0" borderId="141" xfId="0" applyFont="1" applyFill="1" applyBorder="1" applyAlignment="1" applyProtection="1">
      <alignment horizontal="right" vertical="center"/>
      <protection locked="0"/>
    </xf>
    <xf numFmtId="168" fontId="3" fillId="0" borderId="143" xfId="0" applyNumberFormat="1" applyFont="1" applyFill="1" applyBorder="1" applyAlignment="1" applyProtection="1">
      <alignment horizontal="center" vertical="center"/>
      <protection locked="0"/>
    </xf>
    <xf numFmtId="164" fontId="24" fillId="0" borderId="165" xfId="0" applyNumberFormat="1" applyFont="1" applyFill="1" applyBorder="1" applyAlignment="1" applyProtection="1">
      <alignment horizontal="center" vertical="center" readingOrder="2"/>
      <protection locked="0"/>
    </xf>
    <xf numFmtId="165" fontId="24" fillId="0" borderId="134" xfId="0" applyNumberFormat="1" applyFont="1" applyFill="1" applyBorder="1" applyAlignment="1" applyProtection="1">
      <alignment horizontal="center" vertical="center" readingOrder="2"/>
      <protection locked="0"/>
    </xf>
    <xf numFmtId="164" fontId="24" fillId="0" borderId="134" xfId="0" applyNumberFormat="1" applyFont="1" applyFill="1" applyBorder="1" applyAlignment="1" applyProtection="1">
      <alignment horizontal="center" vertical="center" readingOrder="2"/>
      <protection locked="0"/>
    </xf>
    <xf numFmtId="165" fontId="24" fillId="0" borderId="166" xfId="0" applyNumberFormat="1" applyFont="1" applyFill="1" applyBorder="1" applyAlignment="1" applyProtection="1">
      <alignment horizontal="center" vertical="center" readingOrder="2"/>
      <protection locked="0"/>
    </xf>
    <xf numFmtId="168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25" fillId="0" borderId="131" xfId="0" applyNumberFormat="1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27" fillId="0" borderId="46" xfId="1" applyNumberFormat="1" applyFont="1" applyFill="1" applyBorder="1" applyAlignment="1" applyProtection="1">
      <alignment horizontal="center" vertical="center"/>
      <protection locked="0"/>
    </xf>
    <xf numFmtId="164" fontId="27" fillId="0" borderId="2" xfId="1" applyNumberFormat="1" applyFont="1" applyFill="1" applyBorder="1" applyAlignment="1" applyProtection="1">
      <alignment horizontal="center" vertical="center"/>
      <protection locked="0"/>
    </xf>
    <xf numFmtId="164" fontId="51" fillId="3" borderId="135" xfId="1" applyNumberFormat="1" applyFont="1" applyFill="1" applyBorder="1" applyAlignment="1" applyProtection="1">
      <alignment horizontal="center" vertical="center"/>
      <protection locked="0"/>
    </xf>
    <xf numFmtId="0" fontId="8" fillId="11" borderId="0" xfId="1" applyFont="1" applyFill="1" applyBorder="1" applyAlignment="1" applyProtection="1">
      <alignment vertical="center"/>
      <protection locked="0"/>
    </xf>
    <xf numFmtId="0" fontId="4" fillId="11" borderId="0" xfId="1" applyFont="1" applyFill="1" applyBorder="1" applyAlignment="1" applyProtection="1">
      <alignment vertical="center"/>
      <protection locked="0"/>
    </xf>
    <xf numFmtId="0" fontId="6" fillId="11" borderId="0" xfId="1" applyFont="1" applyFill="1" applyBorder="1" applyAlignment="1" applyProtection="1">
      <alignment vertical="center"/>
      <protection locked="0"/>
    </xf>
    <xf numFmtId="0" fontId="7" fillId="5" borderId="6" xfId="1" applyFont="1" applyFill="1" applyBorder="1" applyAlignment="1" applyProtection="1">
      <alignment horizontal="center" vertical="center" wrapText="1" readingOrder="2"/>
      <protection locked="0"/>
    </xf>
    <xf numFmtId="0" fontId="6" fillId="9" borderId="64" xfId="1" applyFont="1" applyFill="1" applyBorder="1" applyAlignment="1" applyProtection="1">
      <alignment vertical="center"/>
      <protection locked="0"/>
    </xf>
    <xf numFmtId="0" fontId="6" fillId="9" borderId="0" xfId="1" applyFont="1" applyFill="1" applyBorder="1" applyAlignment="1" applyProtection="1">
      <alignment vertical="center"/>
      <protection locked="0"/>
    </xf>
    <xf numFmtId="0" fontId="7" fillId="9" borderId="18" xfId="1" applyFont="1" applyFill="1" applyBorder="1" applyAlignment="1" applyProtection="1">
      <alignment vertical="center" wrapText="1"/>
      <protection locked="0"/>
    </xf>
    <xf numFmtId="0" fontId="7" fillId="9" borderId="8" xfId="1" applyFont="1" applyFill="1" applyBorder="1" applyAlignment="1" applyProtection="1">
      <alignment vertical="center" wrapText="1"/>
      <protection locked="0"/>
    </xf>
    <xf numFmtId="0" fontId="7" fillId="9" borderId="66" xfId="1" applyFont="1" applyFill="1" applyBorder="1" applyAlignment="1" applyProtection="1">
      <alignment vertical="center" wrapText="1"/>
      <protection locked="0"/>
    </xf>
    <xf numFmtId="0" fontId="7" fillId="9" borderId="148" xfId="1" applyFon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 applyProtection="1">
      <alignment vertical="center"/>
      <protection locked="0"/>
    </xf>
    <xf numFmtId="0" fontId="6" fillId="11" borderId="5" xfId="1" applyFont="1" applyFill="1" applyBorder="1" applyAlignment="1" applyProtection="1">
      <alignment vertical="center"/>
      <protection locked="0"/>
    </xf>
    <xf numFmtId="0" fontId="6" fillId="11" borderId="130" xfId="1" applyFont="1" applyFill="1" applyBorder="1" applyAlignment="1" applyProtection="1">
      <alignment vertical="center"/>
      <protection locked="0"/>
    </xf>
    <xf numFmtId="0" fontId="30" fillId="10" borderId="31" xfId="1" applyFont="1" applyFill="1" applyBorder="1" applyAlignment="1" applyProtection="1">
      <alignment horizontal="center" vertical="center" wrapText="1"/>
      <protection locked="0"/>
    </xf>
    <xf numFmtId="0" fontId="30" fillId="10" borderId="34" xfId="1" applyFont="1" applyFill="1" applyBorder="1" applyAlignment="1" applyProtection="1">
      <alignment horizontal="center" vertical="center" wrapText="1"/>
      <protection locked="0"/>
    </xf>
    <xf numFmtId="0" fontId="7" fillId="9" borderId="163" xfId="1" applyFont="1" applyFill="1" applyBorder="1" applyAlignment="1" applyProtection="1">
      <alignment vertical="center"/>
      <protection locked="0"/>
    </xf>
    <xf numFmtId="0" fontId="4" fillId="7" borderId="144" xfId="1" applyFont="1" applyFill="1" applyBorder="1" applyAlignment="1" applyProtection="1">
      <alignment horizontal="center" vertical="center"/>
      <protection locked="0"/>
    </xf>
    <xf numFmtId="0" fontId="7" fillId="5" borderId="145" xfId="1" applyFont="1" applyFill="1" applyBorder="1" applyAlignment="1" applyProtection="1">
      <alignment horizontal="center" vertical="center"/>
      <protection locked="0"/>
    </xf>
    <xf numFmtId="0" fontId="6" fillId="6" borderId="146" xfId="1" applyFont="1" applyFill="1" applyBorder="1" applyAlignment="1" applyProtection="1">
      <alignment horizontal="center" vertical="center"/>
      <protection locked="0"/>
    </xf>
    <xf numFmtId="0" fontId="6" fillId="5" borderId="147" xfId="1" applyFont="1" applyFill="1" applyBorder="1" applyAlignment="1" applyProtection="1">
      <alignment horizontal="center" vertical="center"/>
      <protection locked="0"/>
    </xf>
    <xf numFmtId="0" fontId="6" fillId="6" borderId="152" xfId="1" applyFont="1" applyFill="1" applyBorder="1" applyAlignment="1" applyProtection="1">
      <alignment horizontal="center" vertical="center"/>
      <protection locked="0"/>
    </xf>
    <xf numFmtId="0" fontId="31" fillId="10" borderId="140" xfId="1" applyFont="1" applyFill="1" applyBorder="1" applyAlignment="1" applyProtection="1">
      <alignment horizontal="center" vertical="center"/>
      <protection locked="0"/>
    </xf>
    <xf numFmtId="0" fontId="31" fillId="10" borderId="28" xfId="1" applyFont="1" applyFill="1" applyBorder="1" applyAlignment="1" applyProtection="1">
      <alignment horizontal="center" vertical="center"/>
      <protection locked="0"/>
    </xf>
    <xf numFmtId="0" fontId="31" fillId="10" borderId="6" xfId="1" applyFont="1" applyFill="1" applyBorder="1" applyAlignment="1" applyProtection="1">
      <alignment horizontal="center" vertical="center"/>
      <protection locked="0"/>
    </xf>
    <xf numFmtId="0" fontId="30" fillId="10" borderId="32" xfId="1" applyFont="1" applyFill="1" applyBorder="1" applyAlignment="1" applyProtection="1">
      <alignment horizontal="center" vertical="center" wrapText="1"/>
      <protection locked="0"/>
    </xf>
    <xf numFmtId="0" fontId="30" fillId="10" borderId="5" xfId="1" applyFont="1" applyFill="1" applyBorder="1" applyAlignment="1" applyProtection="1">
      <alignment horizontal="center" vertical="center" wrapText="1"/>
      <protection locked="0"/>
    </xf>
    <xf numFmtId="3" fontId="5" fillId="6" borderId="172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70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71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5" borderId="172" xfId="1" applyNumberFormat="1" applyFont="1" applyFill="1" applyBorder="1" applyAlignment="1" applyProtection="1">
      <alignment horizontal="center" vertical="center" wrapText="1" readingOrder="2"/>
      <protection locked="0"/>
    </xf>
    <xf numFmtId="165" fontId="5" fillId="6" borderId="171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74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2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3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3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4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79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80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26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5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81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6" xfId="1" applyNumberFormat="1" applyFont="1" applyFill="1" applyBorder="1" applyAlignment="1" applyProtection="1">
      <alignment horizontal="center" vertical="center" wrapText="1" readingOrder="2"/>
      <protection locked="0"/>
    </xf>
    <xf numFmtId="2" fontId="5" fillId="5" borderId="17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28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84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5" borderId="174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5" borderId="187" xfId="1" applyNumberFormat="1" applyFont="1" applyFill="1" applyBorder="1" applyAlignment="1" applyProtection="1">
      <alignment horizontal="center" vertical="center" wrapText="1" readingOrder="2"/>
      <protection locked="0"/>
    </xf>
    <xf numFmtId="165" fontId="5" fillId="6" borderId="181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87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68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5" borderId="172" xfId="1" applyNumberFormat="1" applyFont="1" applyFill="1" applyBorder="1" applyAlignment="1" applyProtection="1">
      <alignment horizontal="center" vertical="center" wrapText="1" readingOrder="2"/>
      <protection locked="0"/>
    </xf>
    <xf numFmtId="2" fontId="5" fillId="5" borderId="28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6" borderId="163" xfId="1" applyNumberFormat="1" applyFont="1" applyFill="1" applyBorder="1" applyAlignment="1" applyProtection="1">
      <alignment horizontal="center" vertical="center" wrapText="1" readingOrder="2"/>
      <protection locked="0"/>
    </xf>
    <xf numFmtId="0" fontId="6" fillId="9" borderId="140" xfId="1" applyFont="1" applyFill="1" applyBorder="1" applyAlignment="1" applyProtection="1">
      <alignment horizontal="center" vertical="center"/>
      <protection locked="0"/>
    </xf>
    <xf numFmtId="0" fontId="6" fillId="9" borderId="28" xfId="1" applyFont="1" applyFill="1" applyBorder="1" applyAlignment="1" applyProtection="1">
      <alignment horizontal="center" vertical="center"/>
      <protection locked="0"/>
    </xf>
    <xf numFmtId="0" fontId="6" fillId="9" borderId="6" xfId="1" applyFont="1" applyFill="1" applyBorder="1" applyAlignment="1" applyProtection="1">
      <alignment horizontal="center" vertical="center"/>
      <protection locked="0"/>
    </xf>
    <xf numFmtId="0" fontId="7" fillId="9" borderId="3" xfId="1" applyFont="1" applyFill="1" applyBorder="1" applyAlignment="1" applyProtection="1">
      <alignment horizontal="center" vertical="center"/>
      <protection locked="0"/>
    </xf>
    <xf numFmtId="0" fontId="7" fillId="9" borderId="159" xfId="1" applyFont="1" applyFill="1" applyBorder="1" applyAlignment="1" applyProtection="1">
      <alignment vertical="center"/>
      <protection locked="0"/>
    </xf>
    <xf numFmtId="4" fontId="50" fillId="12" borderId="211" xfId="1" applyNumberFormat="1" applyFont="1" applyFill="1" applyBorder="1" applyAlignment="1" applyProtection="1">
      <alignment horizontal="center" vertical="center" wrapText="1" readingOrder="2"/>
      <protection locked="0"/>
    </xf>
    <xf numFmtId="0" fontId="52" fillId="0" borderId="0" xfId="0" applyFont="1" applyProtection="1">
      <protection locked="0"/>
    </xf>
    <xf numFmtId="164" fontId="7" fillId="0" borderId="43" xfId="0" applyNumberFormat="1" applyFont="1" applyFill="1" applyBorder="1" applyAlignment="1" applyProtection="1">
      <alignment horizontal="center" vertical="center" readingOrder="2"/>
      <protection locked="0"/>
    </xf>
    <xf numFmtId="165" fontId="7" fillId="0" borderId="0" xfId="0" applyNumberFormat="1" applyFont="1" applyFill="1" applyBorder="1" applyAlignment="1" applyProtection="1">
      <alignment horizontal="center" vertical="center" readingOrder="2"/>
      <protection locked="0"/>
    </xf>
    <xf numFmtId="164" fontId="7" fillId="0" borderId="0" xfId="0" applyNumberFormat="1" applyFont="1" applyFill="1" applyBorder="1" applyAlignment="1" applyProtection="1">
      <alignment horizontal="center" vertical="center" readingOrder="2"/>
      <protection locked="0"/>
    </xf>
    <xf numFmtId="0" fontId="52" fillId="0" borderId="158" xfId="0" applyFont="1" applyBorder="1" applyAlignment="1" applyProtection="1">
      <alignment horizontal="center" vertical="center"/>
      <protection locked="0"/>
    </xf>
    <xf numFmtId="0" fontId="52" fillId="0" borderId="43" xfId="0" applyFont="1" applyBorder="1" applyProtection="1">
      <protection locked="0"/>
    </xf>
    <xf numFmtId="0" fontId="52" fillId="0" borderId="0" xfId="0" applyFont="1" applyBorder="1" applyProtection="1">
      <protection locked="0"/>
    </xf>
    <xf numFmtId="0" fontId="52" fillId="0" borderId="42" xfId="0" applyFont="1" applyBorder="1" applyProtection="1">
      <protection locked="0"/>
    </xf>
    <xf numFmtId="0" fontId="52" fillId="0" borderId="153" xfId="0" applyFont="1" applyBorder="1" applyProtection="1">
      <protection locked="0"/>
    </xf>
    <xf numFmtId="0" fontId="52" fillId="0" borderId="154" xfId="0" applyFont="1" applyBorder="1" applyProtection="1">
      <protection locked="0"/>
    </xf>
    <xf numFmtId="0" fontId="52" fillId="0" borderId="155" xfId="0" applyFont="1" applyBorder="1" applyProtection="1">
      <protection locked="0"/>
    </xf>
    <xf numFmtId="0" fontId="52" fillId="0" borderId="150" xfId="0" applyFont="1" applyBorder="1" applyProtection="1">
      <protection locked="0"/>
    </xf>
    <xf numFmtId="0" fontId="52" fillId="0" borderId="212" xfId="0" applyFont="1" applyBorder="1" applyAlignment="1" applyProtection="1">
      <protection locked="0"/>
    </xf>
    <xf numFmtId="0" fontId="52" fillId="0" borderId="213" xfId="0" applyFont="1" applyBorder="1" applyAlignment="1" applyProtection="1">
      <protection locked="0"/>
    </xf>
    <xf numFmtId="0" fontId="52" fillId="0" borderId="214" xfId="0" applyFont="1" applyBorder="1" applyAlignment="1" applyProtection="1">
      <protection locked="0"/>
    </xf>
    <xf numFmtId="0" fontId="52" fillId="0" borderId="120" xfId="0" applyFont="1" applyBorder="1" applyAlignment="1" applyProtection="1">
      <alignment vertical="center"/>
      <protection locked="0"/>
    </xf>
    <xf numFmtId="0" fontId="52" fillId="0" borderId="121" xfId="0" applyFont="1" applyBorder="1" applyAlignment="1" applyProtection="1">
      <alignment vertical="center"/>
      <protection locked="0"/>
    </xf>
    <xf numFmtId="0" fontId="52" fillId="0" borderId="51" xfId="0" applyFont="1" applyBorder="1" applyAlignment="1" applyProtection="1">
      <protection locked="0"/>
    </xf>
    <xf numFmtId="0" fontId="52" fillId="0" borderId="5" xfId="0" applyFont="1" applyBorder="1" applyAlignment="1" applyProtection="1">
      <protection locked="0"/>
    </xf>
    <xf numFmtId="0" fontId="52" fillId="0" borderId="215" xfId="0" applyFont="1" applyBorder="1" applyAlignment="1" applyProtection="1">
      <alignment vertical="center"/>
      <protection locked="0"/>
    </xf>
    <xf numFmtId="0" fontId="52" fillId="0" borderId="216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27" fillId="0" borderId="7" xfId="1" applyNumberFormat="1" applyFont="1" applyFill="1" applyBorder="1" applyAlignment="1" applyProtection="1">
      <alignment horizontal="center" vertical="center"/>
      <protection locked="0"/>
    </xf>
    <xf numFmtId="164" fontId="27" fillId="0" borderId="1" xfId="1" applyNumberFormat="1" applyFont="1" applyFill="1" applyBorder="1" applyAlignment="1" applyProtection="1">
      <alignment horizontal="center" vertical="center"/>
      <protection locked="0"/>
    </xf>
    <xf numFmtId="164" fontId="27" fillId="16" borderId="7" xfId="1" applyNumberFormat="1" applyFont="1" applyFill="1" applyBorder="1" applyAlignment="1" applyProtection="1">
      <alignment horizontal="center" vertical="center"/>
      <protection locked="0"/>
    </xf>
    <xf numFmtId="164" fontId="27" fillId="16" borderId="1" xfId="1" applyNumberFormat="1" applyFont="1" applyFill="1" applyBorder="1" applyAlignment="1" applyProtection="1">
      <alignment horizontal="center" vertical="center"/>
      <protection locked="0"/>
    </xf>
    <xf numFmtId="164" fontId="51" fillId="16" borderId="7" xfId="1" applyNumberFormat="1" applyFont="1" applyFill="1" applyBorder="1" applyAlignment="1" applyProtection="1">
      <alignment horizontal="center" vertical="center"/>
      <protection locked="0"/>
    </xf>
    <xf numFmtId="164" fontId="51" fillId="16" borderId="1" xfId="1" applyNumberFormat="1" applyFont="1" applyFill="1" applyBorder="1" applyAlignment="1" applyProtection="1">
      <alignment horizontal="center" vertical="center"/>
      <protection locked="0"/>
    </xf>
    <xf numFmtId="164" fontId="24" fillId="0" borderId="24" xfId="0" applyNumberFormat="1" applyFont="1" applyFill="1" applyBorder="1" applyAlignment="1" applyProtection="1">
      <alignment horizontal="center" vertical="center" readingOrder="2"/>
    </xf>
    <xf numFmtId="167" fontId="24" fillId="0" borderId="178" xfId="0" applyNumberFormat="1" applyFont="1" applyFill="1" applyBorder="1" applyAlignment="1" applyProtection="1">
      <alignment horizontal="center" vertical="center" readingOrder="2"/>
    </xf>
    <xf numFmtId="164" fontId="24" fillId="0" borderId="46" xfId="1" applyNumberFormat="1" applyFont="1" applyFill="1" applyBorder="1" applyAlignment="1" applyProtection="1">
      <alignment horizontal="center" vertical="center"/>
      <protection locked="0"/>
    </xf>
    <xf numFmtId="164" fontId="24" fillId="0" borderId="2" xfId="1" applyNumberFormat="1" applyFont="1" applyFill="1" applyBorder="1" applyAlignment="1" applyProtection="1">
      <alignment horizontal="center" vertical="center"/>
      <protection locked="0"/>
    </xf>
    <xf numFmtId="164" fontId="24" fillId="0" borderId="173" xfId="0" applyNumberFormat="1" applyFont="1" applyFill="1" applyBorder="1" applyAlignment="1" applyProtection="1">
      <alignment horizontal="center" vertical="center" readingOrder="2"/>
    </xf>
    <xf numFmtId="165" fontId="24" fillId="0" borderId="173" xfId="0" applyNumberFormat="1" applyFont="1" applyFill="1" applyBorder="1" applyAlignment="1" applyProtection="1">
      <alignment horizontal="center" vertical="center" readingOrder="2"/>
    </xf>
    <xf numFmtId="164" fontId="24" fillId="0" borderId="136" xfId="0" applyNumberFormat="1" applyFont="1" applyFill="1" applyBorder="1" applyAlignment="1" applyProtection="1">
      <alignment horizontal="center" vertical="center" readingOrder="2"/>
    </xf>
    <xf numFmtId="167" fontId="24" fillId="0" borderId="37" xfId="0" applyNumberFormat="1" applyFont="1" applyFill="1" applyBorder="1" applyAlignment="1" applyProtection="1">
      <alignment horizontal="center" vertical="center" readingOrder="2"/>
    </xf>
    <xf numFmtId="164" fontId="24" fillId="0" borderId="135" xfId="0" applyNumberFormat="1" applyFont="1" applyFill="1" applyBorder="1" applyAlignment="1" applyProtection="1">
      <alignment horizontal="center" vertical="center" readingOrder="2"/>
    </xf>
    <xf numFmtId="165" fontId="24" fillId="0" borderId="135" xfId="0" applyNumberFormat="1" applyFont="1" applyFill="1" applyBorder="1" applyAlignment="1" applyProtection="1">
      <alignment horizontal="center" vertical="center" readingOrder="2"/>
    </xf>
    <xf numFmtId="167" fontId="24" fillId="0" borderId="162" xfId="0" applyNumberFormat="1" applyFont="1" applyFill="1" applyBorder="1" applyAlignment="1" applyProtection="1">
      <alignment horizontal="center" vertical="center" readingOrder="2"/>
    </xf>
    <xf numFmtId="164" fontId="24" fillId="0" borderId="137" xfId="0" applyNumberFormat="1" applyFont="1" applyFill="1" applyBorder="1" applyAlignment="1" applyProtection="1">
      <alignment horizontal="center" vertical="center" readingOrder="2"/>
    </xf>
    <xf numFmtId="165" fontId="24" fillId="0" borderId="137" xfId="0" applyNumberFormat="1" applyFont="1" applyFill="1" applyBorder="1" applyAlignment="1" applyProtection="1">
      <alignment horizontal="center" vertical="center" readingOrder="2"/>
    </xf>
    <xf numFmtId="164" fontId="24" fillId="0" borderId="7" xfId="1" applyNumberFormat="1" applyFont="1" applyFill="1" applyBorder="1" applyAlignment="1" applyProtection="1">
      <alignment horizontal="center" vertical="center"/>
      <protection locked="0"/>
    </xf>
    <xf numFmtId="164" fontId="24" fillId="0" borderId="1" xfId="1" applyNumberFormat="1" applyFont="1" applyFill="1" applyBorder="1" applyAlignment="1" applyProtection="1">
      <alignment horizontal="center" vertical="center"/>
      <protection locked="0"/>
    </xf>
    <xf numFmtId="164" fontId="24" fillId="15" borderId="7" xfId="1" applyNumberFormat="1" applyFont="1" applyFill="1" applyBorder="1" applyAlignment="1" applyProtection="1">
      <alignment horizontal="center" vertical="center"/>
      <protection locked="0"/>
    </xf>
    <xf numFmtId="164" fontId="24" fillId="15" borderId="1" xfId="1" applyNumberFormat="1" applyFont="1" applyFill="1" applyBorder="1" applyAlignment="1" applyProtection="1">
      <alignment horizontal="center" vertical="center"/>
      <protection locked="0"/>
    </xf>
    <xf numFmtId="164" fontId="24" fillId="14" borderId="7" xfId="1" applyNumberFormat="1" applyFont="1" applyFill="1" applyBorder="1" applyAlignment="1" applyProtection="1">
      <alignment horizontal="center" vertical="center"/>
      <protection locked="0"/>
    </xf>
    <xf numFmtId="164" fontId="24" fillId="14" borderId="1" xfId="1" applyNumberFormat="1" applyFont="1" applyFill="1" applyBorder="1" applyAlignment="1" applyProtection="1">
      <alignment horizontal="center" vertical="center"/>
      <protection locked="0"/>
    </xf>
    <xf numFmtId="164" fontId="24" fillId="16" borderId="7" xfId="1" applyNumberFormat="1" applyFont="1" applyFill="1" applyBorder="1" applyAlignment="1" applyProtection="1">
      <alignment horizontal="center" vertical="center"/>
      <protection locked="0"/>
    </xf>
    <xf numFmtId="164" fontId="24" fillId="16" borderId="1" xfId="1" applyNumberFormat="1" applyFont="1" applyFill="1" applyBorder="1" applyAlignment="1" applyProtection="1">
      <alignment horizontal="center" vertical="center"/>
      <protection locked="0"/>
    </xf>
    <xf numFmtId="0" fontId="53" fillId="0" borderId="141" xfId="0" applyFont="1" applyFill="1" applyBorder="1" applyAlignment="1" applyProtection="1">
      <alignment horizontal="right" vertical="center"/>
      <protection locked="0"/>
    </xf>
    <xf numFmtId="164" fontId="27" fillId="13" borderId="7" xfId="1" applyNumberFormat="1" applyFont="1" applyFill="1" applyBorder="1" applyAlignment="1" applyProtection="1">
      <alignment horizontal="center" vertical="center"/>
      <protection locked="0"/>
    </xf>
    <xf numFmtId="164" fontId="27" fillId="13" borderId="1" xfId="1" applyNumberFormat="1" applyFont="1" applyFill="1" applyBorder="1" applyAlignment="1" applyProtection="1">
      <alignment horizontal="center" vertical="center"/>
      <protection locked="0"/>
    </xf>
    <xf numFmtId="164" fontId="24" fillId="13" borderId="7" xfId="1" applyNumberFormat="1" applyFont="1" applyFill="1" applyBorder="1" applyAlignment="1" applyProtection="1">
      <alignment horizontal="center" vertical="center"/>
      <protection locked="0"/>
    </xf>
    <xf numFmtId="164" fontId="24" fillId="13" borderId="1" xfId="1" applyNumberFormat="1" applyFont="1" applyFill="1" applyBorder="1" applyAlignment="1" applyProtection="1">
      <alignment horizontal="center" vertical="center"/>
      <protection locked="0"/>
    </xf>
    <xf numFmtId="164" fontId="32" fillId="18" borderId="32" xfId="0" applyNumberFormat="1" applyFont="1" applyFill="1" applyBorder="1" applyAlignment="1" applyProtection="1">
      <alignment horizontal="center" vertical="center" readingOrder="2"/>
    </xf>
    <xf numFmtId="165" fontId="32" fillId="18" borderId="32" xfId="0" applyNumberFormat="1" applyFont="1" applyFill="1" applyBorder="1" applyAlignment="1" applyProtection="1">
      <alignment horizontal="center" vertical="center" readingOrder="2"/>
    </xf>
    <xf numFmtId="164" fontId="24" fillId="18" borderId="35" xfId="0" applyNumberFormat="1" applyFont="1" applyFill="1" applyBorder="1" applyAlignment="1" applyProtection="1">
      <alignment horizontal="center" vertical="center" readingOrder="2"/>
    </xf>
    <xf numFmtId="165" fontId="24" fillId="18" borderId="133" xfId="0" applyNumberFormat="1" applyFont="1" applyFill="1" applyBorder="1" applyAlignment="1" applyProtection="1">
      <alignment horizontal="center" vertical="center" readingOrder="2"/>
    </xf>
    <xf numFmtId="164" fontId="24" fillId="18" borderId="28" xfId="0" applyNumberFormat="1" applyFont="1" applyFill="1" applyBorder="1" applyAlignment="1" applyProtection="1">
      <alignment horizontal="center" vertical="center" readingOrder="2"/>
    </xf>
    <xf numFmtId="165" fontId="24" fillId="18" borderId="129" xfId="0" applyNumberFormat="1" applyFont="1" applyFill="1" applyBorder="1" applyAlignment="1" applyProtection="1">
      <alignment horizontal="center" vertical="center" readingOrder="2"/>
    </xf>
    <xf numFmtId="164" fontId="33" fillId="18" borderId="21" xfId="1" applyNumberFormat="1" applyFont="1" applyFill="1" applyBorder="1" applyAlignment="1" applyProtection="1">
      <alignment horizontal="center" vertical="center"/>
    </xf>
    <xf numFmtId="165" fontId="24" fillId="18" borderId="22" xfId="1" applyNumberFormat="1" applyFont="1" applyFill="1" applyBorder="1" applyAlignment="1" applyProtection="1">
      <alignment horizontal="center" vertical="center"/>
    </xf>
    <xf numFmtId="164" fontId="32" fillId="0" borderId="46" xfId="1" applyNumberFormat="1" applyFont="1" applyFill="1" applyBorder="1" applyAlignment="1" applyProtection="1">
      <alignment horizontal="center" vertical="center"/>
      <protection locked="0"/>
    </xf>
    <xf numFmtId="164" fontId="32" fillId="0" borderId="2" xfId="1" applyNumberFormat="1" applyFont="1" applyFill="1" applyBorder="1" applyAlignment="1" applyProtection="1">
      <alignment horizontal="center" vertical="center"/>
      <protection locked="0"/>
    </xf>
    <xf numFmtId="164" fontId="32" fillId="0" borderId="24" xfId="0" applyNumberFormat="1" applyFont="1" applyFill="1" applyBorder="1" applyAlignment="1" applyProtection="1">
      <alignment horizontal="center" vertical="center" readingOrder="2"/>
    </xf>
    <xf numFmtId="167" fontId="32" fillId="0" borderId="178" xfId="0" applyNumberFormat="1" applyFont="1" applyFill="1" applyBorder="1" applyAlignment="1" applyProtection="1">
      <alignment horizontal="center" vertical="center" readingOrder="2"/>
    </xf>
    <xf numFmtId="2" fontId="32" fillId="0" borderId="173" xfId="0" applyNumberFormat="1" applyFont="1" applyFill="1" applyBorder="1" applyAlignment="1" applyProtection="1">
      <alignment horizontal="center" vertical="center" readingOrder="2"/>
    </xf>
    <xf numFmtId="165" fontId="32" fillId="0" borderId="173" xfId="0" applyNumberFormat="1" applyFont="1" applyFill="1" applyBorder="1" applyAlignment="1" applyProtection="1">
      <alignment horizontal="center" vertical="center" readingOrder="2"/>
    </xf>
    <xf numFmtId="164" fontId="32" fillId="0" borderId="173" xfId="0" applyNumberFormat="1" applyFont="1" applyFill="1" applyBorder="1" applyAlignment="1" applyProtection="1">
      <alignment horizontal="center" vertical="center" readingOrder="2"/>
    </xf>
    <xf numFmtId="165" fontId="32" fillId="0" borderId="185" xfId="0" applyNumberFormat="1" applyFont="1" applyFill="1" applyBorder="1" applyAlignment="1" applyProtection="1">
      <alignment horizontal="center" vertical="center"/>
    </xf>
    <xf numFmtId="167" fontId="32" fillId="0" borderId="49" xfId="0" applyNumberFormat="1" applyFont="1" applyFill="1" applyBorder="1" applyAlignment="1" applyProtection="1">
      <alignment horizontal="center" vertical="center" readingOrder="2"/>
    </xf>
    <xf numFmtId="164" fontId="32" fillId="0" borderId="7" xfId="1" applyNumberFormat="1" applyFont="1" applyFill="1" applyBorder="1" applyAlignment="1" applyProtection="1">
      <alignment horizontal="center" vertical="center"/>
      <protection locked="0"/>
    </xf>
    <xf numFmtId="164" fontId="32" fillId="0" borderId="1" xfId="1" applyNumberFormat="1" applyFont="1" applyFill="1" applyBorder="1" applyAlignment="1" applyProtection="1">
      <alignment horizontal="center" vertical="center"/>
      <protection locked="0"/>
    </xf>
    <xf numFmtId="164" fontId="32" fillId="18" borderId="7" xfId="1" applyNumberFormat="1" applyFont="1" applyFill="1" applyBorder="1" applyAlignment="1" applyProtection="1">
      <alignment horizontal="center" vertical="center"/>
      <protection locked="0"/>
    </xf>
    <xf numFmtId="164" fontId="32" fillId="18" borderId="1" xfId="1" applyNumberFormat="1" applyFont="1" applyFill="1" applyBorder="1" applyAlignment="1" applyProtection="1">
      <alignment horizontal="center" vertical="center"/>
      <protection locked="0"/>
    </xf>
    <xf numFmtId="168" fontId="3" fillId="0" borderId="217" xfId="0" applyNumberFormat="1" applyFont="1" applyFill="1" applyBorder="1" applyAlignment="1" applyProtection="1">
      <alignment horizontal="center" vertical="center"/>
      <protection locked="0"/>
    </xf>
    <xf numFmtId="14" fontId="48" fillId="13" borderId="218" xfId="0" applyNumberFormat="1" applyFont="1" applyFill="1" applyBorder="1" applyAlignment="1" applyProtection="1">
      <alignment horizontal="center" vertical="center"/>
      <protection locked="0"/>
    </xf>
    <xf numFmtId="164" fontId="32" fillId="13" borderId="7" xfId="1" applyNumberFormat="1" applyFont="1" applyFill="1" applyBorder="1" applyAlignment="1" applyProtection="1">
      <alignment horizontal="center" vertical="center"/>
      <protection locked="0"/>
    </xf>
    <xf numFmtId="164" fontId="32" fillId="13" borderId="1" xfId="1" applyNumberFormat="1" applyFont="1" applyFill="1" applyBorder="1" applyAlignment="1" applyProtection="1">
      <alignment horizontal="center" vertical="center"/>
      <protection locked="0"/>
    </xf>
    <xf numFmtId="164" fontId="27" fillId="18" borderId="7" xfId="1" applyNumberFormat="1" applyFont="1" applyFill="1" applyBorder="1" applyAlignment="1" applyProtection="1">
      <alignment horizontal="center" vertical="center"/>
      <protection locked="0"/>
    </xf>
    <xf numFmtId="164" fontId="27" fillId="18" borderId="1" xfId="1" applyNumberFormat="1" applyFont="1" applyFill="1" applyBorder="1" applyAlignment="1" applyProtection="1">
      <alignment horizontal="center" vertical="center"/>
      <protection locked="0"/>
    </xf>
    <xf numFmtId="164" fontId="51" fillId="18" borderId="135" xfId="1" applyNumberFormat="1" applyFont="1" applyFill="1" applyBorder="1" applyAlignment="1" applyProtection="1">
      <alignment horizontal="center" vertical="center"/>
      <protection locked="0"/>
    </xf>
    <xf numFmtId="164" fontId="24" fillId="18" borderId="7" xfId="1" applyNumberFormat="1" applyFont="1" applyFill="1" applyBorder="1" applyAlignment="1" applyProtection="1">
      <alignment horizontal="center" vertical="center"/>
      <protection locked="0"/>
    </xf>
    <xf numFmtId="164" fontId="24" fillId="18" borderId="1" xfId="1" applyNumberFormat="1" applyFont="1" applyFill="1" applyBorder="1" applyAlignment="1" applyProtection="1">
      <alignment horizontal="center" vertical="center"/>
      <protection locked="0"/>
    </xf>
    <xf numFmtId="164" fontId="51" fillId="13" borderId="135" xfId="1" applyNumberFormat="1" applyFont="1" applyFill="1" applyBorder="1" applyAlignment="1" applyProtection="1">
      <alignment horizontal="center" vertical="center"/>
      <protection locked="0"/>
    </xf>
    <xf numFmtId="164" fontId="55" fillId="3" borderId="135" xfId="1" applyNumberFormat="1" applyFont="1" applyFill="1" applyBorder="1" applyAlignment="1" applyProtection="1">
      <alignment horizontal="center" vertical="center"/>
      <protection locked="0"/>
    </xf>
    <xf numFmtId="164" fontId="24" fillId="18" borderId="24" xfId="0" applyNumberFormat="1" applyFont="1" applyFill="1" applyBorder="1" applyAlignment="1" applyProtection="1">
      <alignment horizontal="center" vertical="center" readingOrder="2"/>
    </xf>
    <xf numFmtId="167" fontId="24" fillId="18" borderId="178" xfId="0" applyNumberFormat="1" applyFont="1" applyFill="1" applyBorder="1" applyAlignment="1" applyProtection="1">
      <alignment horizontal="center" vertical="center" readingOrder="2"/>
    </xf>
    <xf numFmtId="164" fontId="55" fillId="18" borderId="135" xfId="1" applyNumberFormat="1" applyFont="1" applyFill="1" applyBorder="1" applyAlignment="1" applyProtection="1">
      <alignment horizontal="center" vertical="center"/>
      <protection locked="0"/>
    </xf>
    <xf numFmtId="164" fontId="24" fillId="18" borderId="173" xfId="0" applyNumberFormat="1" applyFont="1" applyFill="1" applyBorder="1" applyAlignment="1" applyProtection="1">
      <alignment horizontal="center" vertical="center" readingOrder="2"/>
    </xf>
    <xf numFmtId="165" fontId="24" fillId="18" borderId="173" xfId="0" applyNumberFormat="1" applyFont="1" applyFill="1" applyBorder="1" applyAlignment="1" applyProtection="1">
      <alignment horizontal="center" vertical="center" readingOrder="2"/>
    </xf>
    <xf numFmtId="164" fontId="24" fillId="18" borderId="136" xfId="0" applyNumberFormat="1" applyFont="1" applyFill="1" applyBorder="1" applyAlignment="1" applyProtection="1">
      <alignment horizontal="center" vertical="center" readingOrder="2"/>
    </xf>
    <xf numFmtId="167" fontId="24" fillId="18" borderId="37" xfId="0" applyNumberFormat="1" applyFont="1" applyFill="1" applyBorder="1" applyAlignment="1" applyProtection="1">
      <alignment horizontal="center" vertical="center" readingOrder="2"/>
    </xf>
    <xf numFmtId="164" fontId="24" fillId="18" borderId="135" xfId="0" applyNumberFormat="1" applyFont="1" applyFill="1" applyBorder="1" applyAlignment="1" applyProtection="1">
      <alignment horizontal="center" vertical="center" readingOrder="2"/>
    </xf>
    <xf numFmtId="165" fontId="24" fillId="18" borderId="135" xfId="0" applyNumberFormat="1" applyFont="1" applyFill="1" applyBorder="1" applyAlignment="1" applyProtection="1">
      <alignment horizontal="center" vertical="center" readingOrder="2"/>
    </xf>
    <xf numFmtId="164" fontId="24" fillId="18" borderId="137" xfId="0" applyNumberFormat="1" applyFont="1" applyFill="1" applyBorder="1" applyAlignment="1" applyProtection="1">
      <alignment horizontal="center" vertical="center" readingOrder="2"/>
    </xf>
    <xf numFmtId="165" fontId="24" fillId="18" borderId="137" xfId="0" applyNumberFormat="1" applyFont="1" applyFill="1" applyBorder="1" applyAlignment="1" applyProtection="1">
      <alignment horizontal="center" vertical="center" readingOrder="2"/>
    </xf>
    <xf numFmtId="2" fontId="24" fillId="0" borderId="173" xfId="0" applyNumberFormat="1" applyFont="1" applyFill="1" applyBorder="1" applyAlignment="1" applyProtection="1">
      <alignment horizontal="center" vertical="center" readingOrder="2"/>
    </xf>
    <xf numFmtId="164" fontId="24" fillId="18" borderId="46" xfId="1" applyNumberFormat="1" applyFont="1" applyFill="1" applyBorder="1" applyAlignment="1" applyProtection="1">
      <alignment horizontal="center" vertical="center"/>
      <protection locked="0"/>
    </xf>
    <xf numFmtId="164" fontId="24" fillId="18" borderId="2" xfId="1" applyNumberFormat="1" applyFont="1" applyFill="1" applyBorder="1" applyAlignment="1" applyProtection="1">
      <alignment horizontal="center" vertical="center"/>
      <protection locked="0"/>
    </xf>
    <xf numFmtId="164" fontId="24" fillId="17" borderId="7" xfId="1" applyNumberFormat="1" applyFont="1" applyFill="1" applyBorder="1" applyAlignment="1" applyProtection="1">
      <alignment horizontal="center" vertical="center"/>
      <protection locked="0"/>
    </xf>
    <xf numFmtId="164" fontId="24" fillId="17" borderId="1" xfId="1" applyNumberFormat="1" applyFont="1" applyFill="1" applyBorder="1" applyAlignment="1" applyProtection="1">
      <alignment horizontal="center" vertical="center"/>
      <protection locked="0"/>
    </xf>
    <xf numFmtId="2" fontId="24" fillId="18" borderId="173" xfId="0" applyNumberFormat="1" applyFont="1" applyFill="1" applyBorder="1" applyAlignment="1" applyProtection="1">
      <alignment horizontal="center" vertical="center" readingOrder="2"/>
    </xf>
    <xf numFmtId="164" fontId="24" fillId="13" borderId="46" xfId="1" applyNumberFormat="1" applyFont="1" applyFill="1" applyBorder="1" applyAlignment="1" applyProtection="1">
      <alignment horizontal="center" vertical="center"/>
      <protection locked="0"/>
    </xf>
    <xf numFmtId="164" fontId="24" fillId="13" borderId="2" xfId="1" applyNumberFormat="1" applyFont="1" applyFill="1" applyBorder="1" applyAlignment="1" applyProtection="1">
      <alignment horizontal="center" vertical="center"/>
      <protection locked="0"/>
    </xf>
    <xf numFmtId="164" fontId="55" fillId="13" borderId="135" xfId="1" applyNumberFormat="1" applyFont="1" applyFill="1" applyBorder="1" applyAlignment="1" applyProtection="1">
      <alignment horizontal="center" vertical="center"/>
      <protection locked="0"/>
    </xf>
    <xf numFmtId="167" fontId="24" fillId="13" borderId="178" xfId="0" applyNumberFormat="1" applyFont="1" applyFill="1" applyBorder="1" applyAlignment="1" applyProtection="1">
      <alignment horizontal="center" vertical="center" readingOrder="2"/>
    </xf>
    <xf numFmtId="164" fontId="24" fillId="13" borderId="24" xfId="0" applyNumberFormat="1" applyFont="1" applyFill="1" applyBorder="1" applyAlignment="1" applyProtection="1">
      <alignment horizontal="center" vertical="center" readingOrder="2"/>
    </xf>
    <xf numFmtId="2" fontId="24" fillId="13" borderId="173" xfId="0" applyNumberFormat="1" applyFont="1" applyFill="1" applyBorder="1" applyAlignment="1" applyProtection="1">
      <alignment horizontal="center" vertical="center" readingOrder="2"/>
    </xf>
    <xf numFmtId="165" fontId="24" fillId="13" borderId="173" xfId="0" applyNumberFormat="1" applyFont="1" applyFill="1" applyBorder="1" applyAlignment="1" applyProtection="1">
      <alignment horizontal="center" vertical="center" readingOrder="2"/>
    </xf>
    <xf numFmtId="164" fontId="24" fillId="13" borderId="173" xfId="0" applyNumberFormat="1" applyFont="1" applyFill="1" applyBorder="1" applyAlignment="1" applyProtection="1">
      <alignment horizontal="center" vertical="center" readingOrder="2"/>
    </xf>
    <xf numFmtId="164" fontId="24" fillId="13" borderId="136" xfId="0" applyNumberFormat="1" applyFont="1" applyFill="1" applyBorder="1" applyAlignment="1" applyProtection="1">
      <alignment horizontal="center" vertical="center" readingOrder="2"/>
    </xf>
    <xf numFmtId="167" fontId="24" fillId="13" borderId="37" xfId="0" applyNumberFormat="1" applyFont="1" applyFill="1" applyBorder="1" applyAlignment="1" applyProtection="1">
      <alignment horizontal="center" vertical="center" readingOrder="2"/>
    </xf>
    <xf numFmtId="164" fontId="32" fillId="13" borderId="32" xfId="0" applyNumberFormat="1" applyFont="1" applyFill="1" applyBorder="1" applyAlignment="1" applyProtection="1">
      <alignment horizontal="center" vertical="center" readingOrder="2"/>
    </xf>
    <xf numFmtId="165" fontId="32" fillId="13" borderId="32" xfId="0" applyNumberFormat="1" applyFont="1" applyFill="1" applyBorder="1" applyAlignment="1" applyProtection="1">
      <alignment horizontal="center" vertical="center" readingOrder="2"/>
    </xf>
    <xf numFmtId="164" fontId="24" fillId="13" borderId="35" xfId="0" applyNumberFormat="1" applyFont="1" applyFill="1" applyBorder="1" applyAlignment="1" applyProtection="1">
      <alignment horizontal="center" vertical="center" readingOrder="2"/>
    </xf>
    <xf numFmtId="165" fontId="24" fillId="13" borderId="133" xfId="0" applyNumberFormat="1" applyFont="1" applyFill="1" applyBorder="1" applyAlignment="1" applyProtection="1">
      <alignment horizontal="center" vertical="center" readingOrder="2"/>
    </xf>
    <xf numFmtId="164" fontId="24" fillId="13" borderId="28" xfId="0" applyNumberFormat="1" applyFont="1" applyFill="1" applyBorder="1" applyAlignment="1" applyProtection="1">
      <alignment horizontal="center" vertical="center" readingOrder="2"/>
    </xf>
    <xf numFmtId="165" fontId="24" fillId="13" borderId="129" xfId="0" applyNumberFormat="1" applyFont="1" applyFill="1" applyBorder="1" applyAlignment="1" applyProtection="1">
      <alignment horizontal="center" vertical="center" readingOrder="2"/>
    </xf>
    <xf numFmtId="164" fontId="33" fillId="13" borderId="21" xfId="1" applyNumberFormat="1" applyFont="1" applyFill="1" applyBorder="1" applyAlignment="1" applyProtection="1">
      <alignment horizontal="center" vertical="center"/>
    </xf>
    <xf numFmtId="165" fontId="24" fillId="13" borderId="22" xfId="1" applyNumberFormat="1" applyFont="1" applyFill="1" applyBorder="1" applyAlignment="1" applyProtection="1">
      <alignment horizontal="center" vertical="center"/>
    </xf>
    <xf numFmtId="165" fontId="24" fillId="13" borderId="4" xfId="1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56" fillId="13" borderId="1" xfId="0" applyFont="1" applyFill="1" applyBorder="1" applyAlignment="1" applyProtection="1">
      <alignment horizontal="justify" wrapText="1" readingOrder="2"/>
      <protection locked="0"/>
    </xf>
    <xf numFmtId="0" fontId="56" fillId="0" borderId="1" xfId="0" applyFont="1" applyBorder="1" applyAlignment="1" applyProtection="1">
      <alignment horizontal="justify" wrapText="1" readingOrder="2"/>
      <protection locked="0"/>
    </xf>
    <xf numFmtId="0" fontId="57" fillId="13" borderId="1" xfId="0" applyFont="1" applyFill="1" applyBorder="1" applyAlignment="1" applyProtection="1">
      <alignment horizontal="right" vertical="center"/>
      <protection locked="0"/>
    </xf>
    <xf numFmtId="0" fontId="58" fillId="0" borderId="1" xfId="0" applyFont="1" applyBorder="1" applyProtection="1">
      <protection locked="0"/>
    </xf>
    <xf numFmtId="0" fontId="57" fillId="13" borderId="32" xfId="0" applyFont="1" applyFill="1" applyBorder="1" applyAlignment="1" applyProtection="1">
      <alignment horizontal="right" vertical="center"/>
      <protection locked="0"/>
    </xf>
    <xf numFmtId="0" fontId="56" fillId="13" borderId="32" xfId="0" applyFont="1" applyFill="1" applyBorder="1" applyAlignment="1" applyProtection="1">
      <alignment horizontal="justify" wrapText="1" readingOrder="2"/>
      <protection locked="0"/>
    </xf>
    <xf numFmtId="0" fontId="56" fillId="0" borderId="32" xfId="0" applyFont="1" applyBorder="1" applyAlignment="1" applyProtection="1">
      <alignment horizontal="justify" wrapText="1" readingOrder="2"/>
      <protection locked="0"/>
    </xf>
    <xf numFmtId="0" fontId="59" fillId="0" borderId="32" xfId="0" applyFont="1" applyFill="1" applyBorder="1" applyAlignment="1" applyProtection="1">
      <alignment horizontal="right"/>
      <protection locked="0"/>
    </xf>
    <xf numFmtId="0" fontId="57" fillId="0" borderId="32" xfId="0" applyFont="1" applyFill="1" applyBorder="1" applyAlignment="1" applyProtection="1">
      <alignment horizontal="right" vertical="center"/>
      <protection locked="0"/>
    </xf>
    <xf numFmtId="0" fontId="56" fillId="0" borderId="28" xfId="0" applyFont="1" applyBorder="1" applyAlignment="1" applyProtection="1">
      <alignment horizontal="justify" wrapText="1" readingOrder="2"/>
      <protection locked="0"/>
    </xf>
    <xf numFmtId="0" fontId="56" fillId="13" borderId="28" xfId="0" applyFont="1" applyFill="1" applyBorder="1" applyAlignment="1" applyProtection="1">
      <alignment horizontal="justify" wrapText="1" readingOrder="2"/>
      <protection locked="0"/>
    </xf>
    <xf numFmtId="0" fontId="57" fillId="13" borderId="28" xfId="0" applyFont="1" applyFill="1" applyBorder="1" applyAlignment="1" applyProtection="1">
      <alignment horizontal="right" vertical="center"/>
      <protection locked="0"/>
    </xf>
    <xf numFmtId="0" fontId="57" fillId="0" borderId="1" xfId="0" applyFont="1" applyFill="1" applyBorder="1" applyAlignment="1" applyProtection="1">
      <alignment horizontal="right" vertical="center"/>
      <protection locked="0"/>
    </xf>
    <xf numFmtId="0" fontId="60" fillId="13" borderId="1" xfId="0" applyFont="1" applyFill="1" applyBorder="1" applyAlignment="1" applyProtection="1">
      <alignment horizontal="justify" wrapText="1" readingOrder="2"/>
      <protection locked="0"/>
    </xf>
    <xf numFmtId="0" fontId="59" fillId="13" borderId="1" xfId="0" applyFont="1" applyFill="1" applyBorder="1" applyAlignment="1" applyProtection="1">
      <alignment horizontal="right"/>
      <protection locked="0"/>
    </xf>
    <xf numFmtId="0" fontId="53" fillId="0" borderId="220" xfId="0" applyFont="1" applyFill="1" applyBorder="1" applyAlignment="1" applyProtection="1">
      <alignment horizontal="right" vertical="center"/>
      <protection locked="0"/>
    </xf>
    <xf numFmtId="0" fontId="2" fillId="2" borderId="221" xfId="1" applyFont="1" applyFill="1" applyBorder="1" applyAlignment="1" applyProtection="1">
      <alignment horizontal="center" vertical="center"/>
    </xf>
    <xf numFmtId="164" fontId="3" fillId="0" borderId="222" xfId="0" applyNumberFormat="1" applyFont="1" applyFill="1" applyBorder="1" applyAlignment="1" applyProtection="1">
      <alignment horizontal="center" vertical="center"/>
      <protection locked="0"/>
    </xf>
    <xf numFmtId="0" fontId="56" fillId="0" borderId="219" xfId="0" applyFont="1" applyBorder="1" applyAlignment="1" applyProtection="1">
      <alignment horizontal="justify" wrapText="1" readingOrder="2"/>
      <protection locked="0"/>
    </xf>
    <xf numFmtId="0" fontId="53" fillId="0" borderId="223" xfId="0" applyFont="1" applyFill="1" applyBorder="1" applyAlignment="1" applyProtection="1">
      <alignment horizontal="right" vertical="center"/>
      <protection locked="0"/>
    </xf>
    <xf numFmtId="167" fontId="24" fillId="0" borderId="197" xfId="0" applyNumberFormat="1" applyFont="1" applyFill="1" applyBorder="1" applyAlignment="1" applyProtection="1">
      <alignment horizontal="center" vertical="center" readingOrder="2"/>
    </xf>
    <xf numFmtId="0" fontId="52" fillId="0" borderId="43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7" fillId="0" borderId="203" xfId="0" applyFont="1" applyBorder="1" applyAlignment="1" applyProtection="1">
      <alignment horizontal="center" vertical="top"/>
      <protection locked="0"/>
    </xf>
    <xf numFmtId="0" fontId="7" fillId="0" borderId="204" xfId="0" applyFont="1" applyBorder="1" applyAlignment="1" applyProtection="1">
      <alignment horizontal="center" vertical="top"/>
      <protection locked="0"/>
    </xf>
    <xf numFmtId="0" fontId="7" fillId="0" borderId="205" xfId="0" applyFont="1" applyBorder="1" applyAlignment="1" applyProtection="1">
      <alignment horizontal="center" vertical="top"/>
      <protection locked="0"/>
    </xf>
    <xf numFmtId="0" fontId="7" fillId="0" borderId="156" xfId="0" applyFont="1" applyBorder="1" applyAlignment="1" applyProtection="1">
      <alignment horizontal="center" vertical="top"/>
      <protection locked="0"/>
    </xf>
    <xf numFmtId="0" fontId="7" fillId="0" borderId="157" xfId="0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 applyProtection="1">
      <alignment horizontal="center" vertical="top"/>
      <protection locked="0"/>
    </xf>
    <xf numFmtId="0" fontId="52" fillId="0" borderId="206" xfId="0" applyFont="1" applyBorder="1" applyAlignment="1" applyProtection="1">
      <alignment horizontal="center"/>
      <protection locked="0"/>
    </xf>
    <xf numFmtId="0" fontId="52" fillId="0" borderId="207" xfId="0" applyFont="1" applyBorder="1" applyAlignment="1" applyProtection="1">
      <alignment horizontal="center"/>
      <protection locked="0"/>
    </xf>
    <xf numFmtId="0" fontId="52" fillId="0" borderId="208" xfId="0" applyFont="1" applyBorder="1" applyAlignment="1" applyProtection="1">
      <alignment horizontal="center"/>
      <protection locked="0"/>
    </xf>
    <xf numFmtId="0" fontId="30" fillId="10" borderId="140" xfId="1" applyFont="1" applyFill="1" applyBorder="1" applyAlignment="1" applyProtection="1">
      <alignment horizontal="center" vertical="center"/>
      <protection locked="0"/>
    </xf>
    <xf numFmtId="0" fontId="30" fillId="10" borderId="6" xfId="1" applyFont="1" applyFill="1" applyBorder="1" applyAlignment="1" applyProtection="1">
      <alignment horizontal="center" vertical="center"/>
      <protection locked="0"/>
    </xf>
    <xf numFmtId="0" fontId="30" fillId="10" borderId="3" xfId="1" applyFont="1" applyFill="1" applyBorder="1" applyAlignment="1" applyProtection="1">
      <alignment horizontal="center" vertical="center"/>
      <protection locked="0"/>
    </xf>
    <xf numFmtId="0" fontId="28" fillId="5" borderId="176" xfId="1" applyFont="1" applyFill="1" applyBorder="1" applyAlignment="1" applyProtection="1">
      <alignment horizontal="center" vertical="center" wrapText="1" readingOrder="2"/>
      <protection locked="0"/>
    </xf>
    <xf numFmtId="0" fontId="28" fillId="5" borderId="167" xfId="1" applyFont="1" applyFill="1" applyBorder="1" applyAlignment="1" applyProtection="1">
      <alignment horizontal="center" vertical="center" wrapText="1" readingOrder="2"/>
      <protection locked="0"/>
    </xf>
    <xf numFmtId="0" fontId="28" fillId="5" borderId="175" xfId="1" applyFont="1" applyFill="1" applyBorder="1" applyAlignment="1" applyProtection="1">
      <alignment horizontal="center" vertical="center" wrapText="1" readingOrder="2"/>
      <protection locked="0"/>
    </xf>
    <xf numFmtId="0" fontId="28" fillId="6" borderId="176" xfId="1" applyFont="1" applyFill="1" applyBorder="1" applyAlignment="1" applyProtection="1">
      <alignment horizontal="center" vertical="center" wrapText="1" readingOrder="2"/>
      <protection locked="0"/>
    </xf>
    <xf numFmtId="0" fontId="28" fillId="6" borderId="167" xfId="1" applyFont="1" applyFill="1" applyBorder="1" applyAlignment="1" applyProtection="1">
      <alignment horizontal="center" vertical="center" wrapText="1" readingOrder="2"/>
      <protection locked="0"/>
    </xf>
    <xf numFmtId="0" fontId="28" fillId="6" borderId="175" xfId="1" applyFont="1" applyFill="1" applyBorder="1" applyAlignment="1" applyProtection="1">
      <alignment horizontal="center" vertical="center" wrapText="1" readingOrder="2"/>
      <protection locked="0"/>
    </xf>
    <xf numFmtId="0" fontId="7" fillId="6" borderId="6" xfId="1" applyFont="1" applyFill="1" applyBorder="1" applyAlignment="1" applyProtection="1">
      <alignment horizontal="center" vertical="center" wrapText="1" readingOrder="2"/>
      <protection locked="0"/>
    </xf>
    <xf numFmtId="0" fontId="7" fillId="6" borderId="3" xfId="1" applyFont="1" applyFill="1" applyBorder="1" applyAlignment="1" applyProtection="1">
      <alignment horizontal="center" vertical="center" wrapText="1" readingOrder="2"/>
      <protection locked="0"/>
    </xf>
    <xf numFmtId="0" fontId="7" fillId="5" borderId="140" xfId="1" applyFont="1" applyFill="1" applyBorder="1" applyAlignment="1" applyProtection="1">
      <alignment horizontal="center" vertical="center" wrapText="1" readingOrder="2"/>
      <protection locked="0"/>
    </xf>
    <xf numFmtId="0" fontId="7" fillId="5" borderId="6" xfId="1" applyFont="1" applyFill="1" applyBorder="1" applyAlignment="1" applyProtection="1">
      <alignment horizontal="center" vertical="center" wrapText="1" readingOrder="2"/>
      <protection locked="0"/>
    </xf>
    <xf numFmtId="0" fontId="7" fillId="5" borderId="3" xfId="1" applyFont="1" applyFill="1" applyBorder="1" applyAlignment="1" applyProtection="1">
      <alignment horizontal="center" vertical="center" wrapText="1" readingOrder="2"/>
      <protection locked="0"/>
    </xf>
    <xf numFmtId="0" fontId="31" fillId="10" borderId="140" xfId="1" applyFont="1" applyFill="1" applyBorder="1" applyAlignment="1" applyProtection="1">
      <alignment horizontal="center" vertical="center"/>
      <protection locked="0"/>
    </xf>
    <xf numFmtId="0" fontId="31" fillId="10" borderId="3" xfId="1" applyFont="1" applyFill="1" applyBorder="1" applyAlignment="1" applyProtection="1">
      <alignment horizontal="center" vertical="center"/>
      <protection locked="0"/>
    </xf>
    <xf numFmtId="4" fontId="28" fillId="6" borderId="26" xfId="1" applyNumberFormat="1" applyFont="1" applyFill="1" applyBorder="1" applyAlignment="1" applyProtection="1">
      <alignment horizontal="center" vertical="center" wrapText="1" readingOrder="2"/>
      <protection locked="0"/>
    </xf>
    <xf numFmtId="4" fontId="28" fillId="6" borderId="25" xfId="1" applyNumberFormat="1" applyFont="1" applyFill="1" applyBorder="1" applyAlignment="1" applyProtection="1">
      <alignment horizontal="center" vertical="center" wrapText="1" readingOrder="2"/>
      <protection locked="0"/>
    </xf>
    <xf numFmtId="0" fontId="54" fillId="0" borderId="151" xfId="0" applyFont="1" applyBorder="1" applyAlignment="1" applyProtection="1">
      <alignment horizontal="center" vertical="center"/>
      <protection locked="0"/>
    </xf>
    <xf numFmtId="0" fontId="54" fillId="0" borderId="157" xfId="0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0" fontId="28" fillId="5" borderId="177" xfId="1" applyFont="1" applyFill="1" applyBorder="1" applyAlignment="1" applyProtection="1">
      <alignment horizontal="center" vertical="center" wrapText="1" readingOrder="2"/>
      <protection locked="0"/>
    </xf>
    <xf numFmtId="0" fontId="28" fillId="5" borderId="169" xfId="1" applyFont="1" applyFill="1" applyBorder="1" applyAlignment="1" applyProtection="1">
      <alignment horizontal="center" vertical="center" wrapText="1" readingOrder="2"/>
      <protection locked="0"/>
    </xf>
    <xf numFmtId="4" fontId="28" fillId="6" borderId="177" xfId="1" applyNumberFormat="1" applyFont="1" applyFill="1" applyBorder="1" applyAlignment="1" applyProtection="1">
      <alignment horizontal="center" vertical="center" wrapText="1" readingOrder="2"/>
      <protection locked="0"/>
    </xf>
    <xf numFmtId="4" fontId="28" fillId="6" borderId="169" xfId="1" applyNumberFormat="1" applyFont="1" applyFill="1" applyBorder="1" applyAlignment="1" applyProtection="1">
      <alignment horizontal="center" vertical="center" wrapText="1" readingOrder="2"/>
      <protection locked="0"/>
    </xf>
    <xf numFmtId="0" fontId="28" fillId="6" borderId="186" xfId="1" applyFont="1" applyFill="1" applyBorder="1" applyAlignment="1" applyProtection="1">
      <alignment horizontal="center" vertical="center" wrapText="1" readingOrder="2"/>
      <protection locked="0"/>
    </xf>
    <xf numFmtId="0" fontId="28" fillId="6" borderId="183" xfId="1" applyFont="1" applyFill="1" applyBorder="1" applyAlignment="1" applyProtection="1">
      <alignment horizontal="center" vertical="center" wrapText="1" readingOrder="2"/>
      <protection locked="0"/>
    </xf>
    <xf numFmtId="164" fontId="7" fillId="5" borderId="34" xfId="1" applyNumberFormat="1" applyFont="1" applyFill="1" applyBorder="1" applyAlignment="1" applyProtection="1">
      <alignment horizontal="center" vertical="center" wrapText="1" readingOrder="2"/>
      <protection locked="0"/>
    </xf>
    <xf numFmtId="165" fontId="7" fillId="5" borderId="34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5" borderId="11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5" borderId="127" xfId="1" applyNumberFormat="1" applyFont="1" applyFill="1" applyBorder="1" applyAlignment="1" applyProtection="1">
      <alignment horizontal="center" vertical="center" wrapText="1" readingOrder="2"/>
      <protection locked="0"/>
    </xf>
    <xf numFmtId="0" fontId="52" fillId="0" borderId="156" xfId="0" applyFont="1" applyBorder="1" applyAlignment="1" applyProtection="1">
      <alignment horizontal="center" vertical="center"/>
      <protection locked="0"/>
    </xf>
    <xf numFmtId="0" fontId="52" fillId="0" borderId="157" xfId="0" applyFont="1" applyBorder="1" applyAlignment="1" applyProtection="1">
      <alignment horizontal="center" vertical="center"/>
      <protection locked="0"/>
    </xf>
    <xf numFmtId="164" fontId="7" fillId="5" borderId="140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5" borderId="6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5" borderId="3" xfId="1" applyNumberFormat="1" applyFont="1" applyFill="1" applyBorder="1" applyAlignment="1" applyProtection="1">
      <alignment horizontal="center" vertical="center" wrapText="1" readingOrder="2"/>
      <protection locked="0"/>
    </xf>
    <xf numFmtId="0" fontId="28" fillId="5" borderId="182" xfId="1" applyFont="1" applyFill="1" applyBorder="1" applyAlignment="1" applyProtection="1">
      <alignment horizontal="center" vertical="center" wrapText="1" readingOrder="2"/>
      <protection locked="0"/>
    </xf>
    <xf numFmtId="0" fontId="28" fillId="5" borderId="183" xfId="1" applyFont="1" applyFill="1" applyBorder="1" applyAlignment="1" applyProtection="1">
      <alignment horizontal="center" vertical="center" wrapText="1" readingOrder="2"/>
      <protection locked="0"/>
    </xf>
    <xf numFmtId="0" fontId="7" fillId="9" borderId="53" xfId="1" applyFont="1" applyFill="1" applyBorder="1" applyAlignment="1" applyProtection="1">
      <alignment horizontal="center" vertical="center" wrapText="1"/>
      <protection locked="0"/>
    </xf>
    <xf numFmtId="0" fontId="7" fillId="9" borderId="138" xfId="1" applyFont="1" applyFill="1" applyBorder="1" applyAlignment="1" applyProtection="1">
      <alignment horizontal="center" vertical="center" wrapText="1"/>
      <protection locked="0"/>
    </xf>
    <xf numFmtId="4" fontId="28" fillId="5" borderId="177" xfId="1" applyNumberFormat="1" applyFont="1" applyFill="1" applyBorder="1" applyAlignment="1" applyProtection="1">
      <alignment horizontal="center" vertical="center" wrapText="1" readingOrder="2"/>
      <protection locked="0"/>
    </xf>
    <xf numFmtId="4" fontId="28" fillId="5" borderId="169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6" borderId="4" xfId="1" applyNumberFormat="1" applyFont="1" applyFill="1" applyBorder="1" applyAlignment="1" applyProtection="1">
      <alignment horizontal="center" vertical="center" wrapText="1" readingOrder="2"/>
      <protection locked="0"/>
    </xf>
    <xf numFmtId="165" fontId="7" fillId="6" borderId="34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6" borderId="106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6" borderId="5" xfId="1" applyNumberFormat="1" applyFont="1" applyFill="1" applyBorder="1" applyAlignment="1" applyProtection="1">
      <alignment horizontal="center" vertical="center" wrapText="1" readingOrder="2"/>
      <protection locked="0"/>
    </xf>
    <xf numFmtId="0" fontId="28" fillId="6" borderId="177" xfId="1" applyFont="1" applyFill="1" applyBorder="1" applyAlignment="1" applyProtection="1">
      <alignment horizontal="center" vertical="center" wrapText="1" readingOrder="2"/>
      <protection locked="0"/>
    </xf>
    <xf numFmtId="0" fontId="28" fillId="6" borderId="169" xfId="1" applyFont="1" applyFill="1" applyBorder="1" applyAlignment="1" applyProtection="1">
      <alignment horizontal="center" vertical="center" wrapText="1" readingOrder="2"/>
      <protection locked="0"/>
    </xf>
    <xf numFmtId="0" fontId="7" fillId="9" borderId="188" xfId="1" applyFont="1" applyFill="1" applyBorder="1" applyAlignment="1" applyProtection="1">
      <alignment horizontal="center" vertical="center" wrapText="1"/>
      <protection locked="0"/>
    </xf>
    <xf numFmtId="0" fontId="7" fillId="9" borderId="149" xfId="1" applyFont="1" applyFill="1" applyBorder="1" applyAlignment="1" applyProtection="1">
      <alignment horizontal="center" vertical="center" wrapText="1"/>
      <protection locked="0"/>
    </xf>
    <xf numFmtId="0" fontId="28" fillId="9" borderId="188" xfId="1" applyFont="1" applyFill="1" applyBorder="1" applyAlignment="1" applyProtection="1">
      <alignment horizontal="center" vertical="center" wrapText="1"/>
      <protection locked="0"/>
    </xf>
    <xf numFmtId="0" fontId="28" fillId="9" borderId="149" xfId="1" applyFont="1" applyFill="1" applyBorder="1" applyAlignment="1" applyProtection="1">
      <alignment horizontal="center" vertical="center" wrapText="1"/>
      <protection locked="0"/>
    </xf>
    <xf numFmtId="0" fontId="22" fillId="8" borderId="140" xfId="1" applyFont="1" applyFill="1" applyBorder="1" applyAlignment="1" applyProtection="1">
      <alignment horizontal="center" vertical="center"/>
      <protection locked="0"/>
    </xf>
    <xf numFmtId="0" fontId="22" fillId="8" borderId="6" xfId="1" applyFont="1" applyFill="1" applyBorder="1" applyAlignment="1" applyProtection="1">
      <alignment horizontal="center" vertical="center"/>
      <protection locked="0"/>
    </xf>
    <xf numFmtId="0" fontId="22" fillId="8" borderId="3" xfId="1" applyFont="1" applyFill="1" applyBorder="1" applyAlignment="1" applyProtection="1">
      <alignment horizontal="center" vertical="center"/>
      <protection locked="0"/>
    </xf>
    <xf numFmtId="0" fontId="7" fillId="6" borderId="140" xfId="1" applyFont="1" applyFill="1" applyBorder="1" applyAlignment="1" applyProtection="1">
      <alignment horizontal="center" vertical="center" wrapText="1" readingOrder="2"/>
      <protection locked="0"/>
    </xf>
    <xf numFmtId="0" fontId="22" fillId="9" borderId="4" xfId="1" applyFont="1" applyFill="1" applyBorder="1" applyAlignment="1" applyProtection="1">
      <alignment horizontal="center" vertical="center"/>
      <protection locked="0"/>
    </xf>
    <xf numFmtId="0" fontId="22" fillId="9" borderId="34" xfId="1" applyFont="1" applyFill="1" applyBorder="1" applyAlignment="1" applyProtection="1">
      <alignment horizontal="center" vertical="center"/>
      <protection locked="0"/>
    </xf>
    <xf numFmtId="0" fontId="22" fillId="9" borderId="139" xfId="1" applyFont="1" applyFill="1" applyBorder="1" applyAlignment="1" applyProtection="1">
      <alignment horizontal="center" vertical="center"/>
      <protection locked="0"/>
    </xf>
    <xf numFmtId="0" fontId="22" fillId="3" borderId="0" xfId="1" applyFont="1" applyFill="1" applyBorder="1" applyAlignment="1" applyProtection="1">
      <alignment horizontal="center" vertical="center"/>
      <protection locked="0"/>
    </xf>
    <xf numFmtId="0" fontId="22" fillId="3" borderId="159" xfId="1" applyFont="1" applyFill="1" applyBorder="1" applyAlignment="1" applyProtection="1">
      <alignment horizontal="center" vertical="center"/>
      <protection locked="0"/>
    </xf>
    <xf numFmtId="0" fontId="49" fillId="11" borderId="140" xfId="0" applyFont="1" applyFill="1" applyBorder="1" applyAlignment="1" applyProtection="1">
      <alignment horizontal="center" vertical="center"/>
      <protection locked="0"/>
    </xf>
    <xf numFmtId="0" fontId="49" fillId="11" borderId="6" xfId="0" applyFont="1" applyFill="1" applyBorder="1" applyAlignment="1" applyProtection="1">
      <alignment horizontal="center" vertical="center"/>
      <protection locked="0"/>
    </xf>
    <xf numFmtId="0" fontId="49" fillId="11" borderId="3" xfId="0" applyFont="1" applyFill="1" applyBorder="1" applyAlignment="1" applyProtection="1">
      <alignment horizontal="center" vertical="center"/>
      <protection locked="0"/>
    </xf>
    <xf numFmtId="0" fontId="52" fillId="0" borderId="151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29" fillId="3" borderId="140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8" borderId="140" xfId="0" applyFont="1" applyFill="1" applyBorder="1" applyAlignment="1" applyProtection="1">
      <alignment horizontal="center" vertical="center"/>
      <protection locked="0"/>
    </xf>
    <xf numFmtId="0" fontId="29" fillId="8" borderId="6" xfId="0" applyFont="1" applyFill="1" applyBorder="1" applyAlignment="1" applyProtection="1">
      <alignment horizontal="center" vertical="center"/>
      <protection locked="0"/>
    </xf>
    <xf numFmtId="0" fontId="29" fillId="8" borderId="3" xfId="0" applyFont="1" applyFill="1" applyBorder="1" applyAlignment="1" applyProtection="1">
      <alignment horizontal="center" vertical="center"/>
      <protection locked="0"/>
    </xf>
    <xf numFmtId="0" fontId="29" fillId="9" borderId="140" xfId="0" applyFont="1" applyFill="1" applyBorder="1" applyAlignment="1" applyProtection="1">
      <alignment horizontal="center" vertical="center"/>
      <protection locked="0"/>
    </xf>
    <xf numFmtId="0" fontId="29" fillId="9" borderId="6" xfId="0" applyFont="1" applyFill="1" applyBorder="1" applyAlignment="1" applyProtection="1">
      <alignment horizontal="center" vertical="center"/>
      <protection locked="0"/>
    </xf>
    <xf numFmtId="0" fontId="29" fillId="9" borderId="3" xfId="0" applyFont="1" applyFill="1" applyBorder="1" applyAlignment="1" applyProtection="1">
      <alignment horizontal="center" vertical="center"/>
      <protection locked="0"/>
    </xf>
    <xf numFmtId="0" fontId="6" fillId="9" borderId="140" xfId="1" applyFont="1" applyFill="1" applyBorder="1" applyAlignment="1" applyProtection="1">
      <alignment horizontal="center" vertical="center"/>
      <protection locked="0"/>
    </xf>
    <xf numFmtId="0" fontId="6" fillId="9" borderId="3" xfId="1" applyFont="1" applyFill="1" applyBorder="1" applyAlignment="1" applyProtection="1">
      <alignment horizontal="center" vertical="center"/>
      <protection locked="0"/>
    </xf>
    <xf numFmtId="0" fontId="54" fillId="0" borderId="120" xfId="0" applyFont="1" applyBorder="1" applyAlignment="1" applyProtection="1">
      <alignment horizontal="center" vertical="top"/>
      <protection locked="0"/>
    </xf>
    <xf numFmtId="0" fontId="54" fillId="0" borderId="121" xfId="0" applyFont="1" applyBorder="1" applyAlignment="1" applyProtection="1">
      <alignment horizontal="center" vertical="top"/>
      <protection locked="0"/>
    </xf>
    <xf numFmtId="0" fontId="54" fillId="0" borderId="161" xfId="0" applyFont="1" applyBorder="1" applyAlignment="1" applyProtection="1">
      <alignment horizontal="center" vertical="top"/>
      <protection locked="0"/>
    </xf>
    <xf numFmtId="0" fontId="54" fillId="0" borderId="120" xfId="0" applyFont="1" applyBorder="1" applyAlignment="1" applyProtection="1">
      <alignment horizontal="center" vertical="center"/>
      <protection locked="0"/>
    </xf>
    <xf numFmtId="0" fontId="54" fillId="0" borderId="121" xfId="0" applyFont="1" applyBorder="1" applyAlignment="1" applyProtection="1">
      <alignment horizontal="center" vertical="center"/>
      <protection locked="0"/>
    </xf>
    <xf numFmtId="0" fontId="54" fillId="0" borderId="161" xfId="0" applyFont="1" applyBorder="1" applyAlignment="1" applyProtection="1">
      <alignment horizontal="center" vertical="center"/>
      <protection locked="0"/>
    </xf>
    <xf numFmtId="164" fontId="7" fillId="6" borderId="140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6" borderId="6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6" borderId="3" xfId="1" applyNumberFormat="1" applyFont="1" applyFill="1" applyBorder="1" applyAlignment="1" applyProtection="1">
      <alignment horizontal="center" vertical="center" wrapText="1" readingOrder="2"/>
      <protection locked="0"/>
    </xf>
    <xf numFmtId="0" fontId="52" fillId="0" borderId="212" xfId="0" applyFont="1" applyBorder="1" applyAlignment="1" applyProtection="1">
      <alignment horizontal="center"/>
      <protection locked="0"/>
    </xf>
    <xf numFmtId="0" fontId="52" fillId="0" borderId="213" xfId="0" applyFont="1" applyBorder="1" applyAlignment="1" applyProtection="1">
      <alignment horizontal="center"/>
      <protection locked="0"/>
    </xf>
    <xf numFmtId="0" fontId="52" fillId="0" borderId="214" xfId="0" applyFont="1" applyBorder="1" applyAlignment="1" applyProtection="1">
      <alignment horizontal="center"/>
      <protection locked="0"/>
    </xf>
    <xf numFmtId="0" fontId="35" fillId="0" borderId="5" xfId="0" applyFont="1" applyBorder="1" applyAlignment="1">
      <alignment horizontal="left" vertical="center"/>
    </xf>
    <xf numFmtId="0" fontId="37" fillId="0" borderId="0" xfId="0" applyFont="1" applyAlignment="1">
      <alignment horizontal="right"/>
    </xf>
    <xf numFmtId="0" fontId="36" fillId="4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164" fontId="16" fillId="0" borderId="59" xfId="0" applyNumberFormat="1" applyFont="1" applyFill="1" applyBorder="1" applyAlignment="1">
      <alignment horizontal="center" vertical="center"/>
    </xf>
    <xf numFmtId="164" fontId="16" fillId="0" borderId="70" xfId="0" applyNumberFormat="1" applyFont="1" applyFill="1" applyBorder="1" applyAlignment="1">
      <alignment horizontal="center" vertical="center"/>
    </xf>
    <xf numFmtId="164" fontId="16" fillId="0" borderId="78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6" fillId="0" borderId="4" xfId="0" applyFont="1" applyFill="1" applyBorder="1" applyAlignment="1">
      <alignment horizontal="center" vertical="center" textRotation="135"/>
    </xf>
    <xf numFmtId="0" fontId="46" fillId="0" borderId="40" xfId="0" applyFont="1" applyFill="1" applyBorder="1" applyAlignment="1">
      <alignment horizontal="center" vertical="center" textRotation="135"/>
    </xf>
    <xf numFmtId="0" fontId="46" fillId="0" borderId="48" xfId="0" applyFont="1" applyFill="1" applyBorder="1" applyAlignment="1">
      <alignment horizontal="center" vertical="center" textRotation="135"/>
    </xf>
    <xf numFmtId="0" fontId="42" fillId="0" borderId="38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168" fontId="44" fillId="0" borderId="0" xfId="0" applyNumberFormat="1" applyFont="1" applyFill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165" fontId="19" fillId="0" borderId="63" xfId="0" applyNumberFormat="1" applyFont="1" applyFill="1" applyBorder="1" applyAlignment="1">
      <alignment horizontal="center" vertical="center"/>
    </xf>
    <xf numFmtId="1" fontId="16" fillId="0" borderId="94" xfId="0" applyNumberFormat="1" applyFont="1" applyFill="1" applyBorder="1" applyAlignment="1">
      <alignment horizontal="center" vertical="center"/>
    </xf>
    <xf numFmtId="1" fontId="16" fillId="0" borderId="95" xfId="0" applyNumberFormat="1" applyFont="1" applyFill="1" applyBorder="1" applyAlignment="1">
      <alignment horizontal="center" vertical="center"/>
    </xf>
    <xf numFmtId="1" fontId="16" fillId="0" borderId="82" xfId="0" applyNumberFormat="1" applyFont="1" applyFill="1" applyBorder="1" applyAlignment="1">
      <alignment horizontal="center" vertical="center"/>
    </xf>
    <xf numFmtId="1" fontId="16" fillId="0" borderId="83" xfId="0" applyNumberFormat="1" applyFont="1" applyFill="1" applyBorder="1" applyAlignment="1">
      <alignment horizontal="center" vertical="center"/>
    </xf>
    <xf numFmtId="1" fontId="16" fillId="0" borderId="109" xfId="0" applyNumberFormat="1" applyFont="1" applyFill="1" applyBorder="1" applyAlignment="1">
      <alignment horizontal="center" vertical="center"/>
    </xf>
    <xf numFmtId="1" fontId="16" fillId="0" borderId="113" xfId="0" applyNumberFormat="1" applyFont="1" applyFill="1" applyBorder="1" applyAlignment="1">
      <alignment horizontal="center" vertical="center"/>
    </xf>
    <xf numFmtId="1" fontId="16" fillId="0" borderId="60" xfId="0" applyNumberFormat="1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1" fontId="16" fillId="0" borderId="71" xfId="0" applyNumberFormat="1" applyFont="1" applyFill="1" applyBorder="1" applyAlignment="1">
      <alignment horizontal="center" vertical="center"/>
    </xf>
    <xf numFmtId="1" fontId="16" fillId="0" borderId="72" xfId="0" applyNumberFormat="1" applyFont="1" applyFill="1" applyBorder="1" applyAlignment="1">
      <alignment horizontal="center" vertical="center"/>
    </xf>
    <xf numFmtId="164" fontId="19" fillId="0" borderId="62" xfId="0" applyNumberFormat="1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97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164" fontId="16" fillId="0" borderId="93" xfId="0" applyNumberFormat="1" applyFont="1" applyFill="1" applyBorder="1" applyAlignment="1">
      <alignment horizontal="center" vertical="center"/>
    </xf>
    <xf numFmtId="164" fontId="16" fillId="0" borderId="96" xfId="0" applyNumberFormat="1" applyFont="1" applyFill="1" applyBorder="1" applyAlignment="1">
      <alignment horizontal="center" vertical="center"/>
    </xf>
    <xf numFmtId="164" fontId="16" fillId="0" borderId="101" xfId="0" applyNumberFormat="1" applyFont="1" applyFill="1" applyBorder="1" applyAlignment="1">
      <alignment horizontal="center" vertical="center"/>
    </xf>
    <xf numFmtId="1" fontId="16" fillId="0" borderId="194" xfId="0" applyNumberFormat="1" applyFont="1" applyFill="1" applyBorder="1" applyAlignment="1">
      <alignment horizontal="center" vertical="center"/>
    </xf>
    <xf numFmtId="1" fontId="16" fillId="0" borderId="195" xfId="0" applyNumberFormat="1" applyFont="1" applyFill="1" applyBorder="1" applyAlignment="1">
      <alignment horizontal="center" vertical="center"/>
    </xf>
    <xf numFmtId="1" fontId="16" fillId="0" borderId="118" xfId="0" applyNumberFormat="1" applyFont="1" applyFill="1" applyBorder="1" applyAlignment="1">
      <alignment horizontal="center" vertical="center"/>
    </xf>
    <xf numFmtId="1" fontId="16" fillId="0" borderId="119" xfId="0" applyNumberFormat="1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textRotation="90"/>
    </xf>
    <xf numFmtId="0" fontId="42" fillId="0" borderId="30" xfId="0" applyFont="1" applyFill="1" applyBorder="1" applyAlignment="1">
      <alignment horizontal="center" vertical="center" textRotation="90"/>
    </xf>
    <xf numFmtId="0" fontId="42" fillId="0" borderId="32" xfId="0" applyFont="1" applyFill="1" applyBorder="1" applyAlignment="1">
      <alignment horizontal="center" vertical="center" textRotation="90"/>
    </xf>
    <xf numFmtId="164" fontId="16" fillId="0" borderId="115" xfId="0" applyNumberFormat="1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41" fillId="0" borderId="115" xfId="0" applyFont="1" applyFill="1" applyBorder="1" applyAlignment="1">
      <alignment horizontal="center" vertical="center" wrapText="1"/>
    </xf>
    <xf numFmtId="0" fontId="41" fillId="0" borderId="96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5" fillId="0" borderId="114" xfId="0" applyFont="1" applyFill="1" applyBorder="1" applyAlignment="1">
      <alignment horizontal="center" vertical="center"/>
    </xf>
    <xf numFmtId="0" fontId="45" fillId="0" borderId="117" xfId="0" applyFont="1" applyFill="1" applyBorder="1" applyAlignment="1">
      <alignment horizontal="center" vertical="center"/>
    </xf>
    <xf numFmtId="0" fontId="45" fillId="0" borderId="104" xfId="0" applyFont="1" applyFill="1" applyBorder="1" applyAlignment="1">
      <alignment horizontal="center" vertical="center"/>
    </xf>
    <xf numFmtId="0" fontId="16" fillId="0" borderId="190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0" borderId="189" xfId="0" applyFont="1" applyFill="1" applyBorder="1" applyAlignment="1">
      <alignment horizontal="center" vertical="center"/>
    </xf>
    <xf numFmtId="0" fontId="45" fillId="0" borderId="102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center" vertical="center"/>
    </xf>
    <xf numFmtId="0" fontId="21" fillId="0" borderId="125" xfId="0" applyFont="1" applyBorder="1" applyAlignment="1">
      <alignment horizontal="right" vertical="center"/>
    </xf>
    <xf numFmtId="0" fontId="44" fillId="0" borderId="0" xfId="0" applyFont="1" applyAlignment="1">
      <alignment horizontal="center" vertical="top"/>
    </xf>
    <xf numFmtId="0" fontId="37" fillId="0" borderId="156" xfId="0" applyFont="1" applyFill="1" applyBorder="1" applyAlignment="1">
      <alignment horizontal="center" vertical="center"/>
    </xf>
    <xf numFmtId="0" fontId="37" fillId="0" borderId="15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97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65" fontId="16" fillId="0" borderId="44" xfId="0" applyNumberFormat="1" applyFont="1" applyFill="1" applyBorder="1" applyAlignment="1">
      <alignment horizontal="center" vertical="center"/>
    </xf>
    <xf numFmtId="165" fontId="16" fillId="0" borderId="46" xfId="0" applyNumberFormat="1" applyFont="1" applyFill="1" applyBorder="1" applyAlignment="1">
      <alignment horizontal="center" vertical="center"/>
    </xf>
    <xf numFmtId="0" fontId="42" fillId="0" borderId="192" xfId="0" applyFont="1" applyFill="1" applyBorder="1" applyAlignment="1">
      <alignment horizontal="center" vertical="center"/>
    </xf>
    <xf numFmtId="0" fontId="42" fillId="0" borderId="19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7" fillId="0" borderId="122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textRotation="90"/>
    </xf>
    <xf numFmtId="0" fontId="42" fillId="0" borderId="64" xfId="0" applyFont="1" applyFill="1" applyBorder="1" applyAlignment="1">
      <alignment horizontal="center" vertical="center" textRotation="90"/>
    </xf>
    <xf numFmtId="0" fontId="42" fillId="0" borderId="106" xfId="0" applyFont="1" applyFill="1" applyBorder="1" applyAlignment="1">
      <alignment horizontal="center" vertical="center" textRotation="90"/>
    </xf>
    <xf numFmtId="0" fontId="45" fillId="0" borderId="53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 wrapText="1"/>
    </xf>
    <xf numFmtId="0" fontId="28" fillId="9" borderId="31" xfId="1" applyFont="1" applyFill="1" applyBorder="1" applyAlignment="1" applyProtection="1">
      <alignment horizontal="center" vertical="center" wrapText="1"/>
      <protection locked="0"/>
    </xf>
    <xf numFmtId="0" fontId="28" fillId="9" borderId="30" xfId="1" applyFont="1" applyFill="1" applyBorder="1" applyAlignment="1" applyProtection="1">
      <alignment horizontal="center" vertical="center" wrapText="1"/>
      <protection locked="0"/>
    </xf>
    <xf numFmtId="0" fontId="28" fillId="9" borderId="32" xfId="1" applyFont="1" applyFill="1" applyBorder="1" applyAlignment="1" applyProtection="1">
      <alignment horizontal="center" vertical="center" wrapText="1"/>
      <protection locked="0"/>
    </xf>
    <xf numFmtId="0" fontId="7" fillId="9" borderId="31" xfId="1" applyFont="1" applyFill="1" applyBorder="1" applyAlignment="1" applyProtection="1">
      <alignment horizontal="center" vertical="center" wrapText="1"/>
      <protection locked="0"/>
    </xf>
    <xf numFmtId="0" fontId="7" fillId="9" borderId="30" xfId="1" applyFont="1" applyFill="1" applyBorder="1" applyAlignment="1" applyProtection="1">
      <alignment horizontal="center" vertical="center" wrapText="1"/>
      <protection locked="0"/>
    </xf>
    <xf numFmtId="0" fontId="7" fillId="9" borderId="32" xfId="1" applyFont="1" applyFill="1" applyBorder="1" applyAlignment="1" applyProtection="1">
      <alignment horizontal="center" vertical="center" wrapText="1"/>
      <protection locked="0"/>
    </xf>
    <xf numFmtId="0" fontId="6" fillId="9" borderId="4" xfId="1" applyFont="1" applyFill="1" applyBorder="1" applyAlignment="1" applyProtection="1">
      <alignment horizontal="center" vertical="center"/>
      <protection locked="0"/>
    </xf>
    <xf numFmtId="0" fontId="6" fillId="9" borderId="139" xfId="1" applyFont="1" applyFill="1" applyBorder="1" applyAlignment="1" applyProtection="1">
      <alignment horizontal="center" vertical="center"/>
      <protection locked="0"/>
    </xf>
    <xf numFmtId="0" fontId="6" fillId="9" borderId="106" xfId="1" applyFont="1" applyFill="1" applyBorder="1" applyAlignment="1" applyProtection="1">
      <alignment horizontal="center" vertical="center"/>
      <protection locked="0"/>
    </xf>
    <xf numFmtId="0" fontId="6" fillId="9" borderId="163" xfId="1" applyFont="1" applyFill="1" applyBorder="1" applyAlignment="1" applyProtection="1">
      <alignment horizontal="center" vertical="center"/>
      <protection locked="0"/>
    </xf>
    <xf numFmtId="0" fontId="52" fillId="0" borderId="120" xfId="0" applyFont="1" applyBorder="1" applyAlignment="1" applyProtection="1">
      <alignment horizontal="center" vertical="center"/>
      <protection locked="0"/>
    </xf>
    <xf numFmtId="0" fontId="52" fillId="0" borderId="121" xfId="0" applyFont="1" applyBorder="1" applyAlignment="1" applyProtection="1">
      <alignment horizontal="center" vertical="center"/>
      <protection locked="0"/>
    </xf>
    <xf numFmtId="0" fontId="52" fillId="0" borderId="161" xfId="0" applyFont="1" applyBorder="1" applyAlignment="1" applyProtection="1">
      <alignment horizontal="center" vertical="center"/>
      <protection locked="0"/>
    </xf>
    <xf numFmtId="0" fontId="29" fillId="8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863949</xdr:colOff>
      <xdr:row>1</xdr:row>
      <xdr:rowOff>71489</xdr:rowOff>
    </xdr:from>
    <xdr:to>
      <xdr:col>14</xdr:col>
      <xdr:colOff>816323</xdr:colOff>
      <xdr:row>3</xdr:row>
      <xdr:rowOff>170856</xdr:rowOff>
    </xdr:to>
    <xdr:pic>
      <xdr:nvPicPr>
        <xdr:cNvPr id="2" name="Image 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433439"/>
          <a:ext cx="942974" cy="724842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</xdr:row>
      <xdr:rowOff>144938</xdr:rowOff>
    </xdr:from>
    <xdr:to>
      <xdr:col>8</xdr:col>
      <xdr:colOff>49256</xdr:colOff>
      <xdr:row>2</xdr:row>
      <xdr:rowOff>269771</xdr:rowOff>
    </xdr:to>
    <xdr:pic>
      <xdr:nvPicPr>
        <xdr:cNvPr id="3" name="Image 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081744" y="506888"/>
          <a:ext cx="1127570" cy="43598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33</xdr:row>
      <xdr:rowOff>71489</xdr:rowOff>
    </xdr:from>
    <xdr:to>
      <xdr:col>14</xdr:col>
      <xdr:colOff>816323</xdr:colOff>
      <xdr:row>35</xdr:row>
      <xdr:rowOff>170856</xdr:rowOff>
    </xdr:to>
    <xdr:pic>
      <xdr:nvPicPr>
        <xdr:cNvPr id="4" name="Image 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3635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33</xdr:row>
      <xdr:rowOff>144938</xdr:rowOff>
    </xdr:from>
    <xdr:to>
      <xdr:col>8</xdr:col>
      <xdr:colOff>49256</xdr:colOff>
      <xdr:row>34</xdr:row>
      <xdr:rowOff>269771</xdr:rowOff>
    </xdr:to>
    <xdr:pic>
      <xdr:nvPicPr>
        <xdr:cNvPr id="5" name="Image 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4370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65</xdr:row>
      <xdr:rowOff>71489</xdr:rowOff>
    </xdr:from>
    <xdr:to>
      <xdr:col>14</xdr:col>
      <xdr:colOff>816323</xdr:colOff>
      <xdr:row>67</xdr:row>
      <xdr:rowOff>170856</xdr:rowOff>
    </xdr:to>
    <xdr:pic>
      <xdr:nvPicPr>
        <xdr:cNvPr id="6" name="Image 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95456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65</xdr:row>
      <xdr:rowOff>144938</xdr:rowOff>
    </xdr:from>
    <xdr:to>
      <xdr:col>8</xdr:col>
      <xdr:colOff>49256</xdr:colOff>
      <xdr:row>66</xdr:row>
      <xdr:rowOff>269771</xdr:rowOff>
    </xdr:to>
    <xdr:pic>
      <xdr:nvPicPr>
        <xdr:cNvPr id="7" name="Image 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96191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97</xdr:row>
      <xdr:rowOff>71489</xdr:rowOff>
    </xdr:from>
    <xdr:to>
      <xdr:col>14</xdr:col>
      <xdr:colOff>816323</xdr:colOff>
      <xdr:row>99</xdr:row>
      <xdr:rowOff>170856</xdr:rowOff>
    </xdr:to>
    <xdr:pic>
      <xdr:nvPicPr>
        <xdr:cNvPr id="8" name="Image 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87277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97</xdr:row>
      <xdr:rowOff>144938</xdr:rowOff>
    </xdr:from>
    <xdr:to>
      <xdr:col>8</xdr:col>
      <xdr:colOff>49256</xdr:colOff>
      <xdr:row>98</xdr:row>
      <xdr:rowOff>269771</xdr:rowOff>
    </xdr:to>
    <xdr:pic>
      <xdr:nvPicPr>
        <xdr:cNvPr id="9" name="Image 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88012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129</xdr:row>
      <xdr:rowOff>71489</xdr:rowOff>
    </xdr:from>
    <xdr:to>
      <xdr:col>14</xdr:col>
      <xdr:colOff>816323</xdr:colOff>
      <xdr:row>131</xdr:row>
      <xdr:rowOff>170856</xdr:rowOff>
    </xdr:to>
    <xdr:pic>
      <xdr:nvPicPr>
        <xdr:cNvPr id="10" name="Image 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279098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129</xdr:row>
      <xdr:rowOff>144938</xdr:rowOff>
    </xdr:from>
    <xdr:to>
      <xdr:col>8</xdr:col>
      <xdr:colOff>49256</xdr:colOff>
      <xdr:row>130</xdr:row>
      <xdr:rowOff>269771</xdr:rowOff>
    </xdr:to>
    <xdr:pic>
      <xdr:nvPicPr>
        <xdr:cNvPr id="11" name="Image 1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279833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161</xdr:row>
      <xdr:rowOff>71489</xdr:rowOff>
    </xdr:from>
    <xdr:to>
      <xdr:col>14</xdr:col>
      <xdr:colOff>816323</xdr:colOff>
      <xdr:row>163</xdr:row>
      <xdr:rowOff>170856</xdr:rowOff>
    </xdr:to>
    <xdr:pic>
      <xdr:nvPicPr>
        <xdr:cNvPr id="12" name="Image 1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370919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161</xdr:row>
      <xdr:rowOff>144938</xdr:rowOff>
    </xdr:from>
    <xdr:to>
      <xdr:col>8</xdr:col>
      <xdr:colOff>49256</xdr:colOff>
      <xdr:row>162</xdr:row>
      <xdr:rowOff>269771</xdr:rowOff>
    </xdr:to>
    <xdr:pic>
      <xdr:nvPicPr>
        <xdr:cNvPr id="13" name="Image 1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371654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193</xdr:row>
      <xdr:rowOff>71489</xdr:rowOff>
    </xdr:from>
    <xdr:to>
      <xdr:col>14</xdr:col>
      <xdr:colOff>816323</xdr:colOff>
      <xdr:row>195</xdr:row>
      <xdr:rowOff>170856</xdr:rowOff>
    </xdr:to>
    <xdr:pic>
      <xdr:nvPicPr>
        <xdr:cNvPr id="14" name="Image 1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462740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193</xdr:row>
      <xdr:rowOff>144938</xdr:rowOff>
    </xdr:from>
    <xdr:to>
      <xdr:col>8</xdr:col>
      <xdr:colOff>49256</xdr:colOff>
      <xdr:row>194</xdr:row>
      <xdr:rowOff>269771</xdr:rowOff>
    </xdr:to>
    <xdr:pic>
      <xdr:nvPicPr>
        <xdr:cNvPr id="15" name="Image 1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463475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225</xdr:row>
      <xdr:rowOff>71489</xdr:rowOff>
    </xdr:from>
    <xdr:to>
      <xdr:col>14</xdr:col>
      <xdr:colOff>816323</xdr:colOff>
      <xdr:row>227</xdr:row>
      <xdr:rowOff>170856</xdr:rowOff>
    </xdr:to>
    <xdr:pic>
      <xdr:nvPicPr>
        <xdr:cNvPr id="16" name="Image 1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554561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225</xdr:row>
      <xdr:rowOff>144938</xdr:rowOff>
    </xdr:from>
    <xdr:to>
      <xdr:col>8</xdr:col>
      <xdr:colOff>49256</xdr:colOff>
      <xdr:row>226</xdr:row>
      <xdr:rowOff>269771</xdr:rowOff>
    </xdr:to>
    <xdr:pic>
      <xdr:nvPicPr>
        <xdr:cNvPr id="17" name="Image 1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555296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257</xdr:row>
      <xdr:rowOff>71489</xdr:rowOff>
    </xdr:from>
    <xdr:to>
      <xdr:col>14</xdr:col>
      <xdr:colOff>816323</xdr:colOff>
      <xdr:row>259</xdr:row>
      <xdr:rowOff>170856</xdr:rowOff>
    </xdr:to>
    <xdr:pic>
      <xdr:nvPicPr>
        <xdr:cNvPr id="18" name="Image 1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646382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257</xdr:row>
      <xdr:rowOff>144938</xdr:rowOff>
    </xdr:from>
    <xdr:to>
      <xdr:col>8</xdr:col>
      <xdr:colOff>49256</xdr:colOff>
      <xdr:row>258</xdr:row>
      <xdr:rowOff>269771</xdr:rowOff>
    </xdr:to>
    <xdr:pic>
      <xdr:nvPicPr>
        <xdr:cNvPr id="19" name="Image 1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647117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289</xdr:row>
      <xdr:rowOff>71489</xdr:rowOff>
    </xdr:from>
    <xdr:to>
      <xdr:col>14</xdr:col>
      <xdr:colOff>816323</xdr:colOff>
      <xdr:row>291</xdr:row>
      <xdr:rowOff>170856</xdr:rowOff>
    </xdr:to>
    <xdr:pic>
      <xdr:nvPicPr>
        <xdr:cNvPr id="20" name="Image 1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738203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289</xdr:row>
      <xdr:rowOff>144938</xdr:rowOff>
    </xdr:from>
    <xdr:to>
      <xdr:col>8</xdr:col>
      <xdr:colOff>49256</xdr:colOff>
      <xdr:row>290</xdr:row>
      <xdr:rowOff>269771</xdr:rowOff>
    </xdr:to>
    <xdr:pic>
      <xdr:nvPicPr>
        <xdr:cNvPr id="21" name="Image 2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738938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321</xdr:row>
      <xdr:rowOff>71489</xdr:rowOff>
    </xdr:from>
    <xdr:to>
      <xdr:col>14</xdr:col>
      <xdr:colOff>816323</xdr:colOff>
      <xdr:row>323</xdr:row>
      <xdr:rowOff>170856</xdr:rowOff>
    </xdr:to>
    <xdr:pic>
      <xdr:nvPicPr>
        <xdr:cNvPr id="22" name="Image 2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830024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321</xdr:row>
      <xdr:rowOff>144938</xdr:rowOff>
    </xdr:from>
    <xdr:to>
      <xdr:col>8</xdr:col>
      <xdr:colOff>49256</xdr:colOff>
      <xdr:row>322</xdr:row>
      <xdr:rowOff>269771</xdr:rowOff>
    </xdr:to>
    <xdr:pic>
      <xdr:nvPicPr>
        <xdr:cNvPr id="23" name="Image 2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830759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353</xdr:row>
      <xdr:rowOff>71489</xdr:rowOff>
    </xdr:from>
    <xdr:to>
      <xdr:col>14</xdr:col>
      <xdr:colOff>816323</xdr:colOff>
      <xdr:row>355</xdr:row>
      <xdr:rowOff>170856</xdr:rowOff>
    </xdr:to>
    <xdr:pic>
      <xdr:nvPicPr>
        <xdr:cNvPr id="24" name="Image 2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921845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353</xdr:row>
      <xdr:rowOff>144938</xdr:rowOff>
    </xdr:from>
    <xdr:to>
      <xdr:col>8</xdr:col>
      <xdr:colOff>49256</xdr:colOff>
      <xdr:row>354</xdr:row>
      <xdr:rowOff>269771</xdr:rowOff>
    </xdr:to>
    <xdr:pic>
      <xdr:nvPicPr>
        <xdr:cNvPr id="25" name="Image 2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922580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385</xdr:row>
      <xdr:rowOff>71489</xdr:rowOff>
    </xdr:from>
    <xdr:to>
      <xdr:col>14</xdr:col>
      <xdr:colOff>816323</xdr:colOff>
      <xdr:row>387</xdr:row>
      <xdr:rowOff>170856</xdr:rowOff>
    </xdr:to>
    <xdr:pic>
      <xdr:nvPicPr>
        <xdr:cNvPr id="26" name="Image 2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013666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385</xdr:row>
      <xdr:rowOff>144938</xdr:rowOff>
    </xdr:from>
    <xdr:to>
      <xdr:col>8</xdr:col>
      <xdr:colOff>49256</xdr:colOff>
      <xdr:row>386</xdr:row>
      <xdr:rowOff>269771</xdr:rowOff>
    </xdr:to>
    <xdr:pic>
      <xdr:nvPicPr>
        <xdr:cNvPr id="27" name="Image 2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014401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417</xdr:row>
      <xdr:rowOff>71489</xdr:rowOff>
    </xdr:from>
    <xdr:to>
      <xdr:col>14</xdr:col>
      <xdr:colOff>816323</xdr:colOff>
      <xdr:row>419</xdr:row>
      <xdr:rowOff>170856</xdr:rowOff>
    </xdr:to>
    <xdr:pic>
      <xdr:nvPicPr>
        <xdr:cNvPr id="28" name="Image 2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105487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417</xdr:row>
      <xdr:rowOff>144938</xdr:rowOff>
    </xdr:from>
    <xdr:to>
      <xdr:col>8</xdr:col>
      <xdr:colOff>49256</xdr:colOff>
      <xdr:row>418</xdr:row>
      <xdr:rowOff>269771</xdr:rowOff>
    </xdr:to>
    <xdr:pic>
      <xdr:nvPicPr>
        <xdr:cNvPr id="29" name="Image 2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106222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449</xdr:row>
      <xdr:rowOff>71489</xdr:rowOff>
    </xdr:from>
    <xdr:to>
      <xdr:col>14</xdr:col>
      <xdr:colOff>816323</xdr:colOff>
      <xdr:row>451</xdr:row>
      <xdr:rowOff>170856</xdr:rowOff>
    </xdr:to>
    <xdr:pic>
      <xdr:nvPicPr>
        <xdr:cNvPr id="30" name="Image 2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197308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449</xdr:row>
      <xdr:rowOff>144938</xdr:rowOff>
    </xdr:from>
    <xdr:to>
      <xdr:col>8</xdr:col>
      <xdr:colOff>49256</xdr:colOff>
      <xdr:row>450</xdr:row>
      <xdr:rowOff>269771</xdr:rowOff>
    </xdr:to>
    <xdr:pic>
      <xdr:nvPicPr>
        <xdr:cNvPr id="31" name="Image 3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198043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481</xdr:row>
      <xdr:rowOff>71489</xdr:rowOff>
    </xdr:from>
    <xdr:to>
      <xdr:col>14</xdr:col>
      <xdr:colOff>816323</xdr:colOff>
      <xdr:row>483</xdr:row>
      <xdr:rowOff>170856</xdr:rowOff>
    </xdr:to>
    <xdr:pic>
      <xdr:nvPicPr>
        <xdr:cNvPr id="32" name="Image 3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289129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481</xdr:row>
      <xdr:rowOff>144938</xdr:rowOff>
    </xdr:from>
    <xdr:to>
      <xdr:col>8</xdr:col>
      <xdr:colOff>49256</xdr:colOff>
      <xdr:row>482</xdr:row>
      <xdr:rowOff>269771</xdr:rowOff>
    </xdr:to>
    <xdr:pic>
      <xdr:nvPicPr>
        <xdr:cNvPr id="33" name="Image 3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289864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513</xdr:row>
      <xdr:rowOff>71489</xdr:rowOff>
    </xdr:from>
    <xdr:to>
      <xdr:col>14</xdr:col>
      <xdr:colOff>816323</xdr:colOff>
      <xdr:row>515</xdr:row>
      <xdr:rowOff>170856</xdr:rowOff>
    </xdr:to>
    <xdr:pic>
      <xdr:nvPicPr>
        <xdr:cNvPr id="34" name="Image 3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380950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513</xdr:row>
      <xdr:rowOff>144938</xdr:rowOff>
    </xdr:from>
    <xdr:to>
      <xdr:col>8</xdr:col>
      <xdr:colOff>49256</xdr:colOff>
      <xdr:row>514</xdr:row>
      <xdr:rowOff>269771</xdr:rowOff>
    </xdr:to>
    <xdr:pic>
      <xdr:nvPicPr>
        <xdr:cNvPr id="35" name="Image 3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381685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545</xdr:row>
      <xdr:rowOff>71489</xdr:rowOff>
    </xdr:from>
    <xdr:to>
      <xdr:col>14</xdr:col>
      <xdr:colOff>816323</xdr:colOff>
      <xdr:row>547</xdr:row>
      <xdr:rowOff>170856</xdr:rowOff>
    </xdr:to>
    <xdr:pic>
      <xdr:nvPicPr>
        <xdr:cNvPr id="36" name="Image 3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472771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545</xdr:row>
      <xdr:rowOff>144938</xdr:rowOff>
    </xdr:from>
    <xdr:to>
      <xdr:col>8</xdr:col>
      <xdr:colOff>49256</xdr:colOff>
      <xdr:row>546</xdr:row>
      <xdr:rowOff>269771</xdr:rowOff>
    </xdr:to>
    <xdr:pic>
      <xdr:nvPicPr>
        <xdr:cNvPr id="37" name="Image 3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473506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577</xdr:row>
      <xdr:rowOff>71489</xdr:rowOff>
    </xdr:from>
    <xdr:to>
      <xdr:col>14</xdr:col>
      <xdr:colOff>816323</xdr:colOff>
      <xdr:row>579</xdr:row>
      <xdr:rowOff>170856</xdr:rowOff>
    </xdr:to>
    <xdr:pic>
      <xdr:nvPicPr>
        <xdr:cNvPr id="38" name="Image 3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564592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577</xdr:row>
      <xdr:rowOff>144938</xdr:rowOff>
    </xdr:from>
    <xdr:to>
      <xdr:col>8</xdr:col>
      <xdr:colOff>49256</xdr:colOff>
      <xdr:row>578</xdr:row>
      <xdr:rowOff>269771</xdr:rowOff>
    </xdr:to>
    <xdr:pic>
      <xdr:nvPicPr>
        <xdr:cNvPr id="39" name="Image 3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565327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609</xdr:row>
      <xdr:rowOff>71489</xdr:rowOff>
    </xdr:from>
    <xdr:to>
      <xdr:col>14</xdr:col>
      <xdr:colOff>816323</xdr:colOff>
      <xdr:row>611</xdr:row>
      <xdr:rowOff>170856</xdr:rowOff>
    </xdr:to>
    <xdr:pic>
      <xdr:nvPicPr>
        <xdr:cNvPr id="40" name="Image 3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656413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609</xdr:row>
      <xdr:rowOff>144938</xdr:rowOff>
    </xdr:from>
    <xdr:to>
      <xdr:col>8</xdr:col>
      <xdr:colOff>49256</xdr:colOff>
      <xdr:row>610</xdr:row>
      <xdr:rowOff>269771</xdr:rowOff>
    </xdr:to>
    <xdr:pic>
      <xdr:nvPicPr>
        <xdr:cNvPr id="41" name="Image 4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657148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641</xdr:row>
      <xdr:rowOff>71489</xdr:rowOff>
    </xdr:from>
    <xdr:to>
      <xdr:col>14</xdr:col>
      <xdr:colOff>816323</xdr:colOff>
      <xdr:row>643</xdr:row>
      <xdr:rowOff>170856</xdr:rowOff>
    </xdr:to>
    <xdr:pic>
      <xdr:nvPicPr>
        <xdr:cNvPr id="42" name="Image 4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748234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641</xdr:row>
      <xdr:rowOff>144938</xdr:rowOff>
    </xdr:from>
    <xdr:to>
      <xdr:col>8</xdr:col>
      <xdr:colOff>49256</xdr:colOff>
      <xdr:row>642</xdr:row>
      <xdr:rowOff>269771</xdr:rowOff>
    </xdr:to>
    <xdr:pic>
      <xdr:nvPicPr>
        <xdr:cNvPr id="43" name="Image 4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748969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673</xdr:row>
      <xdr:rowOff>71489</xdr:rowOff>
    </xdr:from>
    <xdr:to>
      <xdr:col>14</xdr:col>
      <xdr:colOff>816323</xdr:colOff>
      <xdr:row>675</xdr:row>
      <xdr:rowOff>170856</xdr:rowOff>
    </xdr:to>
    <xdr:pic>
      <xdr:nvPicPr>
        <xdr:cNvPr id="44" name="Image 4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840055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673</xdr:row>
      <xdr:rowOff>144938</xdr:rowOff>
    </xdr:from>
    <xdr:to>
      <xdr:col>8</xdr:col>
      <xdr:colOff>49256</xdr:colOff>
      <xdr:row>674</xdr:row>
      <xdr:rowOff>269771</xdr:rowOff>
    </xdr:to>
    <xdr:pic>
      <xdr:nvPicPr>
        <xdr:cNvPr id="45" name="Image 4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840790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705</xdr:row>
      <xdr:rowOff>71489</xdr:rowOff>
    </xdr:from>
    <xdr:to>
      <xdr:col>14</xdr:col>
      <xdr:colOff>816323</xdr:colOff>
      <xdr:row>707</xdr:row>
      <xdr:rowOff>170856</xdr:rowOff>
    </xdr:to>
    <xdr:pic>
      <xdr:nvPicPr>
        <xdr:cNvPr id="46" name="Image 4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931876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705</xdr:row>
      <xdr:rowOff>144938</xdr:rowOff>
    </xdr:from>
    <xdr:to>
      <xdr:col>8</xdr:col>
      <xdr:colOff>49256</xdr:colOff>
      <xdr:row>706</xdr:row>
      <xdr:rowOff>269771</xdr:rowOff>
    </xdr:to>
    <xdr:pic>
      <xdr:nvPicPr>
        <xdr:cNvPr id="47" name="Image 4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1932611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737</xdr:row>
      <xdr:rowOff>71489</xdr:rowOff>
    </xdr:from>
    <xdr:to>
      <xdr:col>14</xdr:col>
      <xdr:colOff>816323</xdr:colOff>
      <xdr:row>739</xdr:row>
      <xdr:rowOff>170856</xdr:rowOff>
    </xdr:to>
    <xdr:pic>
      <xdr:nvPicPr>
        <xdr:cNvPr id="48" name="Image 4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2023697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737</xdr:row>
      <xdr:rowOff>144938</xdr:rowOff>
    </xdr:from>
    <xdr:to>
      <xdr:col>8</xdr:col>
      <xdr:colOff>49256</xdr:colOff>
      <xdr:row>738</xdr:row>
      <xdr:rowOff>269771</xdr:rowOff>
    </xdr:to>
    <xdr:pic>
      <xdr:nvPicPr>
        <xdr:cNvPr id="49" name="Image 4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2024432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769</xdr:row>
      <xdr:rowOff>71489</xdr:rowOff>
    </xdr:from>
    <xdr:to>
      <xdr:col>14</xdr:col>
      <xdr:colOff>816323</xdr:colOff>
      <xdr:row>771</xdr:row>
      <xdr:rowOff>170856</xdr:rowOff>
    </xdr:to>
    <xdr:pic>
      <xdr:nvPicPr>
        <xdr:cNvPr id="50" name="Image 4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2115518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769</xdr:row>
      <xdr:rowOff>144938</xdr:rowOff>
    </xdr:from>
    <xdr:to>
      <xdr:col>8</xdr:col>
      <xdr:colOff>49256</xdr:colOff>
      <xdr:row>770</xdr:row>
      <xdr:rowOff>269771</xdr:rowOff>
    </xdr:to>
    <xdr:pic>
      <xdr:nvPicPr>
        <xdr:cNvPr id="51" name="Image 5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211625338"/>
          <a:ext cx="1133920" cy="442333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801</xdr:row>
      <xdr:rowOff>71489</xdr:rowOff>
    </xdr:from>
    <xdr:to>
      <xdr:col>14</xdr:col>
      <xdr:colOff>816323</xdr:colOff>
      <xdr:row>803</xdr:row>
      <xdr:rowOff>170856</xdr:rowOff>
    </xdr:to>
    <xdr:pic>
      <xdr:nvPicPr>
        <xdr:cNvPr id="52" name="Image 5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220733989"/>
          <a:ext cx="942974" cy="73436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801</xdr:row>
      <xdr:rowOff>144938</xdr:rowOff>
    </xdr:from>
    <xdr:to>
      <xdr:col>8</xdr:col>
      <xdr:colOff>49256</xdr:colOff>
      <xdr:row>802</xdr:row>
      <xdr:rowOff>269771</xdr:rowOff>
    </xdr:to>
    <xdr:pic>
      <xdr:nvPicPr>
        <xdr:cNvPr id="53" name="Image 5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7644" y="220807438"/>
          <a:ext cx="1133920" cy="442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863949</xdr:colOff>
      <xdr:row>1</xdr:row>
      <xdr:rowOff>71489</xdr:rowOff>
    </xdr:from>
    <xdr:to>
      <xdr:col>14</xdr:col>
      <xdr:colOff>816323</xdr:colOff>
      <xdr:row>3</xdr:row>
      <xdr:rowOff>170856</xdr:rowOff>
    </xdr:to>
    <xdr:pic>
      <xdr:nvPicPr>
        <xdr:cNvPr id="2" name="Image 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366764"/>
          <a:ext cx="942974" cy="72801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</xdr:row>
      <xdr:rowOff>144938</xdr:rowOff>
    </xdr:from>
    <xdr:to>
      <xdr:col>8</xdr:col>
      <xdr:colOff>49256</xdr:colOff>
      <xdr:row>2</xdr:row>
      <xdr:rowOff>269771</xdr:rowOff>
    </xdr:to>
    <xdr:pic>
      <xdr:nvPicPr>
        <xdr:cNvPr id="3" name="Image 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91294" y="440213"/>
          <a:ext cx="1127570" cy="43915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33</xdr:row>
      <xdr:rowOff>71489</xdr:rowOff>
    </xdr:from>
    <xdr:to>
      <xdr:col>14</xdr:col>
      <xdr:colOff>816323</xdr:colOff>
      <xdr:row>35</xdr:row>
      <xdr:rowOff>170856</xdr:rowOff>
    </xdr:to>
    <xdr:pic>
      <xdr:nvPicPr>
        <xdr:cNvPr id="4" name="Image 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362842"/>
          <a:ext cx="938492" cy="726896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33</xdr:row>
      <xdr:rowOff>144938</xdr:rowOff>
    </xdr:from>
    <xdr:to>
      <xdr:col>8</xdr:col>
      <xdr:colOff>49256</xdr:colOff>
      <xdr:row>34</xdr:row>
      <xdr:rowOff>269771</xdr:rowOff>
    </xdr:to>
    <xdr:pic>
      <xdr:nvPicPr>
        <xdr:cNvPr id="5" name="Image 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436291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65</xdr:row>
      <xdr:rowOff>71489</xdr:rowOff>
    </xdr:from>
    <xdr:to>
      <xdr:col>14</xdr:col>
      <xdr:colOff>816323</xdr:colOff>
      <xdr:row>67</xdr:row>
      <xdr:rowOff>170856</xdr:rowOff>
    </xdr:to>
    <xdr:pic>
      <xdr:nvPicPr>
        <xdr:cNvPr id="6" name="Image 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9484430"/>
          <a:ext cx="938492" cy="72689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65</xdr:row>
      <xdr:rowOff>144938</xdr:rowOff>
    </xdr:from>
    <xdr:to>
      <xdr:col>8</xdr:col>
      <xdr:colOff>49256</xdr:colOff>
      <xdr:row>66</xdr:row>
      <xdr:rowOff>269771</xdr:rowOff>
    </xdr:to>
    <xdr:pic>
      <xdr:nvPicPr>
        <xdr:cNvPr id="7" name="Image 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9557879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97</xdr:row>
      <xdr:rowOff>71489</xdr:rowOff>
    </xdr:from>
    <xdr:to>
      <xdr:col>14</xdr:col>
      <xdr:colOff>816323</xdr:colOff>
      <xdr:row>99</xdr:row>
      <xdr:rowOff>170856</xdr:rowOff>
    </xdr:to>
    <xdr:pic>
      <xdr:nvPicPr>
        <xdr:cNvPr id="8" name="Image 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18606018"/>
          <a:ext cx="938492" cy="72689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97</xdr:row>
      <xdr:rowOff>144938</xdr:rowOff>
    </xdr:from>
    <xdr:to>
      <xdr:col>8</xdr:col>
      <xdr:colOff>49256</xdr:colOff>
      <xdr:row>98</xdr:row>
      <xdr:rowOff>269771</xdr:rowOff>
    </xdr:to>
    <xdr:pic>
      <xdr:nvPicPr>
        <xdr:cNvPr id="9" name="Image 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18679467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129</xdr:row>
      <xdr:rowOff>71489</xdr:rowOff>
    </xdr:from>
    <xdr:to>
      <xdr:col>14</xdr:col>
      <xdr:colOff>816323</xdr:colOff>
      <xdr:row>131</xdr:row>
      <xdr:rowOff>170856</xdr:rowOff>
    </xdr:to>
    <xdr:pic>
      <xdr:nvPicPr>
        <xdr:cNvPr id="10" name="Image 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27727607"/>
          <a:ext cx="938492" cy="726896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129</xdr:row>
      <xdr:rowOff>144938</xdr:rowOff>
    </xdr:from>
    <xdr:to>
      <xdr:col>8</xdr:col>
      <xdr:colOff>49256</xdr:colOff>
      <xdr:row>130</xdr:row>
      <xdr:rowOff>269771</xdr:rowOff>
    </xdr:to>
    <xdr:pic>
      <xdr:nvPicPr>
        <xdr:cNvPr id="11" name="Image 1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27801056"/>
          <a:ext cx="1130932" cy="438597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161</xdr:row>
      <xdr:rowOff>71489</xdr:rowOff>
    </xdr:from>
    <xdr:to>
      <xdr:col>14</xdr:col>
      <xdr:colOff>816323</xdr:colOff>
      <xdr:row>163</xdr:row>
      <xdr:rowOff>170856</xdr:rowOff>
    </xdr:to>
    <xdr:pic>
      <xdr:nvPicPr>
        <xdr:cNvPr id="12" name="Image 11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36849195"/>
          <a:ext cx="938492" cy="726896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161</xdr:row>
      <xdr:rowOff>144938</xdr:rowOff>
    </xdr:from>
    <xdr:to>
      <xdr:col>8</xdr:col>
      <xdr:colOff>49256</xdr:colOff>
      <xdr:row>162</xdr:row>
      <xdr:rowOff>269771</xdr:rowOff>
    </xdr:to>
    <xdr:pic>
      <xdr:nvPicPr>
        <xdr:cNvPr id="13" name="Image 12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36922644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193</xdr:row>
      <xdr:rowOff>71489</xdr:rowOff>
    </xdr:from>
    <xdr:to>
      <xdr:col>14</xdr:col>
      <xdr:colOff>816323</xdr:colOff>
      <xdr:row>195</xdr:row>
      <xdr:rowOff>170856</xdr:rowOff>
    </xdr:to>
    <xdr:pic>
      <xdr:nvPicPr>
        <xdr:cNvPr id="14" name="Image 13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45970783"/>
          <a:ext cx="938492" cy="72689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193</xdr:row>
      <xdr:rowOff>144938</xdr:rowOff>
    </xdr:from>
    <xdr:to>
      <xdr:col>8</xdr:col>
      <xdr:colOff>49256</xdr:colOff>
      <xdr:row>194</xdr:row>
      <xdr:rowOff>269771</xdr:rowOff>
    </xdr:to>
    <xdr:pic>
      <xdr:nvPicPr>
        <xdr:cNvPr id="15" name="Image 14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46044232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225</xdr:row>
      <xdr:rowOff>71489</xdr:rowOff>
    </xdr:from>
    <xdr:to>
      <xdr:col>14</xdr:col>
      <xdr:colOff>816323</xdr:colOff>
      <xdr:row>227</xdr:row>
      <xdr:rowOff>170856</xdr:rowOff>
    </xdr:to>
    <xdr:pic>
      <xdr:nvPicPr>
        <xdr:cNvPr id="16" name="Image 15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55092371"/>
          <a:ext cx="938492" cy="726897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225</xdr:row>
      <xdr:rowOff>144938</xdr:rowOff>
    </xdr:from>
    <xdr:to>
      <xdr:col>8</xdr:col>
      <xdr:colOff>49256</xdr:colOff>
      <xdr:row>226</xdr:row>
      <xdr:rowOff>269771</xdr:rowOff>
    </xdr:to>
    <xdr:pic>
      <xdr:nvPicPr>
        <xdr:cNvPr id="17" name="Image 16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55165820"/>
          <a:ext cx="1130932" cy="43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257</xdr:row>
      <xdr:rowOff>71489</xdr:rowOff>
    </xdr:from>
    <xdr:to>
      <xdr:col>14</xdr:col>
      <xdr:colOff>816323</xdr:colOff>
      <xdr:row>259</xdr:row>
      <xdr:rowOff>170856</xdr:rowOff>
    </xdr:to>
    <xdr:pic>
      <xdr:nvPicPr>
        <xdr:cNvPr id="18" name="Image 17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64213960"/>
          <a:ext cx="938492" cy="726896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257</xdr:row>
      <xdr:rowOff>144938</xdr:rowOff>
    </xdr:from>
    <xdr:to>
      <xdr:col>8</xdr:col>
      <xdr:colOff>49256</xdr:colOff>
      <xdr:row>258</xdr:row>
      <xdr:rowOff>269771</xdr:rowOff>
    </xdr:to>
    <xdr:pic>
      <xdr:nvPicPr>
        <xdr:cNvPr id="19" name="Image 18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64287409"/>
          <a:ext cx="1130932" cy="438597"/>
        </a:xfrm>
        <a:prstGeom prst="rect">
          <a:avLst/>
        </a:prstGeom>
      </xdr:spPr>
    </xdr:pic>
    <xdr:clientData/>
  </xdr:twoCellAnchor>
  <xdr:twoCellAnchor editAs="oneCell">
    <xdr:from>
      <xdr:col>13</xdr:col>
      <xdr:colOff>863949</xdr:colOff>
      <xdr:row>289</xdr:row>
      <xdr:rowOff>71489</xdr:rowOff>
    </xdr:from>
    <xdr:to>
      <xdr:col>14</xdr:col>
      <xdr:colOff>816323</xdr:colOff>
      <xdr:row>291</xdr:row>
      <xdr:rowOff>170856</xdr:rowOff>
    </xdr:to>
    <xdr:pic>
      <xdr:nvPicPr>
        <xdr:cNvPr id="20" name="Image 19" descr="Logo uni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314177" y="73335548"/>
          <a:ext cx="938492" cy="726896"/>
        </a:xfrm>
        <a:prstGeom prst="rect">
          <a:avLst/>
        </a:prstGeom>
      </xdr:spPr>
    </xdr:pic>
    <xdr:clientData/>
  </xdr:twoCellAnchor>
  <xdr:twoCellAnchor editAs="oneCell">
    <xdr:from>
      <xdr:col>6</xdr:col>
      <xdr:colOff>83736</xdr:colOff>
      <xdr:row>289</xdr:row>
      <xdr:rowOff>144938</xdr:rowOff>
    </xdr:from>
    <xdr:to>
      <xdr:col>8</xdr:col>
      <xdr:colOff>49256</xdr:colOff>
      <xdr:row>290</xdr:row>
      <xdr:rowOff>269771</xdr:rowOff>
    </xdr:to>
    <xdr:pic>
      <xdr:nvPicPr>
        <xdr:cNvPr id="21" name="Image 20" descr="رمز الجامعة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283450" y="73408997"/>
          <a:ext cx="1130932" cy="438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8"/>
  <sheetViews>
    <sheetView showGridLines="0" rightToLeft="1" tabSelected="1" view="pageBreakPreview" zoomScale="70" zoomScaleNormal="57" zoomScaleSheetLayoutView="70" workbookViewId="0">
      <selection activeCell="N2" sqref="N2:BE2"/>
    </sheetView>
  </sheetViews>
  <sheetFormatPr baseColWidth="10" defaultColWidth="11.42578125" defaultRowHeight="15"/>
  <cols>
    <col min="1" max="1" width="4.7109375" style="49" customWidth="1"/>
    <col min="2" max="2" width="7.7109375" style="37" customWidth="1"/>
    <col min="3" max="4" width="28.5703125" style="37" customWidth="1"/>
    <col min="5" max="5" width="17.42578125" style="37" hidden="1" customWidth="1"/>
    <col min="6" max="6" width="16.7109375" style="37" hidden="1" customWidth="1"/>
    <col min="7" max="7" width="18.85546875" style="37" hidden="1" customWidth="1"/>
    <col min="8" max="13" width="14.140625" style="37" hidden="1" customWidth="1"/>
    <col min="14" max="15" width="9" style="37" hidden="1" customWidth="1"/>
    <col min="16" max="16" width="8.7109375" style="37" customWidth="1"/>
    <col min="17" max="17" width="6.140625" style="37" customWidth="1"/>
    <col min="18" max="19" width="9" style="37" hidden="1" customWidth="1"/>
    <col min="20" max="20" width="8.7109375" style="37" customWidth="1"/>
    <col min="21" max="21" width="6.28515625" style="37" customWidth="1"/>
    <col min="22" max="23" width="9" style="37" hidden="1" customWidth="1"/>
    <col min="24" max="24" width="8.7109375" style="37" customWidth="1"/>
    <col min="25" max="25" width="7" style="37" customWidth="1"/>
    <col min="26" max="26" width="8.7109375" style="37" customWidth="1"/>
    <col min="27" max="27" width="6.85546875" style="37" customWidth="1"/>
    <col min="28" max="28" width="9" style="37" customWidth="1"/>
    <col min="29" max="29" width="8.7109375" style="37" customWidth="1"/>
    <col min="30" max="30" width="6.5703125" style="37" customWidth="1"/>
    <col min="31" max="32" width="9" style="37" hidden="1" customWidth="1"/>
    <col min="33" max="33" width="8.7109375" style="37" customWidth="1"/>
    <col min="34" max="34" width="6.5703125" style="37" customWidth="1"/>
    <col min="35" max="36" width="9" style="37" customWidth="1"/>
    <col min="37" max="37" width="8.7109375" style="37" customWidth="1"/>
    <col min="38" max="38" width="6.140625" style="37" customWidth="1"/>
    <col min="39" max="39" width="8.7109375" style="37" customWidth="1"/>
    <col min="40" max="40" width="6.85546875" style="37" customWidth="1"/>
    <col min="41" max="42" width="9" style="37" hidden="1" customWidth="1"/>
    <col min="43" max="43" width="8.7109375" style="37" customWidth="1"/>
    <col min="44" max="44" width="6.28515625" style="37" customWidth="1"/>
    <col min="45" max="45" width="9" style="37" hidden="1" customWidth="1"/>
    <col min="46" max="46" width="8.7109375" style="37" customWidth="1"/>
    <col min="47" max="47" width="6.28515625" style="37" customWidth="1"/>
    <col min="48" max="48" width="8.7109375" style="37" customWidth="1"/>
    <col min="49" max="49" width="6.28515625" style="37" customWidth="1"/>
    <col min="50" max="51" width="9" style="37" hidden="1" customWidth="1"/>
    <col min="52" max="52" width="8.7109375" style="37" customWidth="1"/>
    <col min="53" max="53" width="7" style="37" customWidth="1"/>
    <col min="54" max="54" width="8.7109375" style="37" customWidth="1"/>
    <col min="55" max="55" width="6.28515625" style="37" customWidth="1"/>
    <col min="56" max="57" width="12.140625" style="37" customWidth="1"/>
    <col min="58" max="60" width="9" style="37" hidden="1" customWidth="1"/>
    <col min="61" max="61" width="6.140625" style="37" hidden="1" customWidth="1"/>
    <col min="62" max="63" width="9" style="37" hidden="1" customWidth="1"/>
    <col min="64" max="64" width="8.85546875" style="37" hidden="1" customWidth="1"/>
    <col min="65" max="65" width="6.5703125" style="37" hidden="1" customWidth="1"/>
    <col min="66" max="68" width="9" style="37" hidden="1" customWidth="1"/>
    <col min="69" max="69" width="6.140625" style="37" hidden="1" customWidth="1"/>
    <col min="70" max="70" width="9" style="37" hidden="1" customWidth="1"/>
    <col min="71" max="71" width="6.140625" style="37" hidden="1" customWidth="1"/>
    <col min="72" max="73" width="9" style="37" hidden="1" customWidth="1"/>
    <col min="74" max="74" width="8.5703125" style="37" hidden="1" customWidth="1"/>
    <col min="75" max="75" width="6.5703125" style="37" hidden="1" customWidth="1"/>
    <col min="76" max="77" width="9" style="37" hidden="1" customWidth="1"/>
    <col min="78" max="78" width="8.5703125" style="37" hidden="1" customWidth="1"/>
    <col min="79" max="79" width="6.140625" style="37" hidden="1" customWidth="1"/>
    <col min="80" max="80" width="8.42578125" style="37" hidden="1" customWidth="1"/>
    <col min="81" max="81" width="6.28515625" style="37" hidden="1" customWidth="1"/>
    <col min="82" max="83" width="9" style="37" hidden="1" customWidth="1"/>
    <col min="84" max="84" width="8.42578125" style="37" hidden="1" customWidth="1"/>
    <col min="85" max="85" width="6.140625" style="37" hidden="1" customWidth="1"/>
    <col min="86" max="86" width="8.7109375" style="37" hidden="1" customWidth="1"/>
    <col min="87" max="87" width="6.28515625" style="37" hidden="1" customWidth="1"/>
    <col min="88" max="88" width="9" style="37" hidden="1" customWidth="1"/>
    <col min="89" max="89" width="8.85546875" style="37" hidden="1" customWidth="1"/>
    <col min="90" max="90" width="6.42578125" style="37" hidden="1" customWidth="1"/>
    <col min="91" max="91" width="8.5703125" style="37" hidden="1" customWidth="1"/>
    <col min="92" max="92" width="6.85546875" style="37" hidden="1" customWidth="1"/>
    <col min="93" max="94" width="11.28515625" style="37" hidden="1" customWidth="1"/>
    <col min="95" max="100" width="19.42578125" style="37" hidden="1" customWidth="1"/>
    <col min="101" max="101" width="24.7109375" style="37" hidden="1" customWidth="1"/>
    <col min="102" max="102" width="34" style="37" hidden="1" customWidth="1"/>
    <col min="103" max="103" width="18.5703125" style="37" customWidth="1"/>
    <col min="104" max="104" width="11.42578125" style="38"/>
    <col min="105" max="16384" width="11.42578125" style="37"/>
  </cols>
  <sheetData>
    <row r="1" spans="2:105" ht="27.75" customHeight="1" thickBot="1">
      <c r="B1" s="417" t="s">
        <v>108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22" t="s">
        <v>108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4"/>
      <c r="BF1" s="425" t="s">
        <v>106</v>
      </c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7"/>
      <c r="CQ1" s="428" t="s">
        <v>106</v>
      </c>
      <c r="CR1" s="429"/>
      <c r="CS1" s="429"/>
      <c r="CT1" s="429"/>
      <c r="CU1" s="429"/>
      <c r="CV1" s="429"/>
      <c r="CW1" s="429"/>
      <c r="CX1" s="430"/>
    </row>
    <row r="2" spans="2:105" ht="27.75" customHeight="1" thickBo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415" t="s">
        <v>811</v>
      </c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6"/>
      <c r="BF2" s="408" t="s">
        <v>95</v>
      </c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410"/>
      <c r="CQ2" s="412" t="s">
        <v>96</v>
      </c>
      <c r="CR2" s="413"/>
      <c r="CS2" s="413"/>
      <c r="CT2" s="413"/>
      <c r="CU2" s="413"/>
      <c r="CV2" s="413"/>
      <c r="CW2" s="413"/>
      <c r="CX2" s="414"/>
      <c r="DA2" s="46"/>
    </row>
    <row r="3" spans="2:105" ht="27.75" customHeight="1" thickBot="1">
      <c r="B3" s="142"/>
      <c r="C3" s="143"/>
      <c r="D3" s="143"/>
      <c r="E3" s="143"/>
      <c r="F3" s="143"/>
      <c r="G3" s="143"/>
      <c r="H3" s="356" t="s">
        <v>59</v>
      </c>
      <c r="I3" s="357"/>
      <c r="J3" s="357"/>
      <c r="K3" s="357"/>
      <c r="L3" s="357"/>
      <c r="M3" s="358"/>
      <c r="N3" s="367" t="s">
        <v>53</v>
      </c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9"/>
      <c r="AB3" s="144"/>
      <c r="AC3" s="365" t="s">
        <v>52</v>
      </c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6"/>
      <c r="AO3" s="367" t="s">
        <v>50</v>
      </c>
      <c r="AP3" s="368"/>
      <c r="AQ3" s="368"/>
      <c r="AR3" s="368"/>
      <c r="AS3" s="368"/>
      <c r="AT3" s="368"/>
      <c r="AU3" s="368"/>
      <c r="AV3" s="368"/>
      <c r="AW3" s="369"/>
      <c r="AX3" s="365" t="s">
        <v>51</v>
      </c>
      <c r="AY3" s="365"/>
      <c r="AZ3" s="365"/>
      <c r="BA3" s="365"/>
      <c r="BB3" s="365"/>
      <c r="BC3" s="366"/>
      <c r="BD3" s="383" t="s">
        <v>65</v>
      </c>
      <c r="BE3" s="384"/>
      <c r="BF3" s="389" t="s">
        <v>66</v>
      </c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1"/>
      <c r="BT3" s="439" t="s">
        <v>70</v>
      </c>
      <c r="BU3" s="440"/>
      <c r="BV3" s="440"/>
      <c r="BW3" s="440"/>
      <c r="BX3" s="440"/>
      <c r="BY3" s="440"/>
      <c r="BZ3" s="440"/>
      <c r="CA3" s="440"/>
      <c r="CB3" s="440"/>
      <c r="CC3" s="441"/>
      <c r="CD3" s="411" t="s">
        <v>71</v>
      </c>
      <c r="CE3" s="365"/>
      <c r="CF3" s="365"/>
      <c r="CG3" s="365"/>
      <c r="CH3" s="365"/>
      <c r="CI3" s="366"/>
      <c r="CJ3" s="389" t="s">
        <v>72</v>
      </c>
      <c r="CK3" s="390"/>
      <c r="CL3" s="390"/>
      <c r="CM3" s="390"/>
      <c r="CN3" s="391"/>
      <c r="CO3" s="398" t="s">
        <v>75</v>
      </c>
      <c r="CP3" s="399"/>
      <c r="CQ3" s="145"/>
      <c r="CR3" s="146"/>
      <c r="CS3" s="146"/>
      <c r="CT3" s="146"/>
      <c r="CU3" s="147"/>
      <c r="CV3" s="148"/>
      <c r="CW3" s="149"/>
      <c r="CX3" s="150"/>
      <c r="DA3" s="46"/>
    </row>
    <row r="4" spans="2:105" ht="27.75" customHeight="1" thickBot="1">
      <c r="B4" s="151"/>
      <c r="C4" s="152"/>
      <c r="D4" s="152"/>
      <c r="E4" s="152"/>
      <c r="F4" s="152"/>
      <c r="G4" s="153"/>
      <c r="H4" s="370" t="s">
        <v>4</v>
      </c>
      <c r="I4" s="371"/>
      <c r="J4" s="370" t="s">
        <v>5</v>
      </c>
      <c r="K4" s="371"/>
      <c r="L4" s="154" t="s">
        <v>79</v>
      </c>
      <c r="M4" s="155" t="s">
        <v>80</v>
      </c>
      <c r="N4" s="359" t="s">
        <v>54</v>
      </c>
      <c r="O4" s="360"/>
      <c r="P4" s="360"/>
      <c r="Q4" s="361"/>
      <c r="R4" s="362" t="s">
        <v>55</v>
      </c>
      <c r="S4" s="363"/>
      <c r="T4" s="363"/>
      <c r="U4" s="364"/>
      <c r="V4" s="359" t="s">
        <v>56</v>
      </c>
      <c r="W4" s="360"/>
      <c r="X4" s="360"/>
      <c r="Y4" s="361"/>
      <c r="Z4" s="377" t="s">
        <v>9</v>
      </c>
      <c r="AA4" s="378"/>
      <c r="AB4" s="362" t="s">
        <v>60</v>
      </c>
      <c r="AC4" s="363"/>
      <c r="AD4" s="364"/>
      <c r="AE4" s="359" t="s">
        <v>99</v>
      </c>
      <c r="AF4" s="360"/>
      <c r="AG4" s="360"/>
      <c r="AH4" s="361"/>
      <c r="AI4" s="362" t="s">
        <v>61</v>
      </c>
      <c r="AJ4" s="363"/>
      <c r="AK4" s="363"/>
      <c r="AL4" s="364"/>
      <c r="AM4" s="377" t="s">
        <v>9</v>
      </c>
      <c r="AN4" s="378"/>
      <c r="AO4" s="362" t="s">
        <v>63</v>
      </c>
      <c r="AP4" s="363"/>
      <c r="AQ4" s="363"/>
      <c r="AR4" s="364"/>
      <c r="AS4" s="359" t="s">
        <v>62</v>
      </c>
      <c r="AT4" s="360"/>
      <c r="AU4" s="361"/>
      <c r="AV4" s="372" t="s">
        <v>9</v>
      </c>
      <c r="AW4" s="373"/>
      <c r="AX4" s="359" t="s">
        <v>64</v>
      </c>
      <c r="AY4" s="360"/>
      <c r="AZ4" s="360"/>
      <c r="BA4" s="361"/>
      <c r="BB4" s="379" t="s">
        <v>9</v>
      </c>
      <c r="BC4" s="380"/>
      <c r="BD4" s="385"/>
      <c r="BE4" s="386"/>
      <c r="BF4" s="392" t="s">
        <v>67</v>
      </c>
      <c r="BG4" s="393"/>
      <c r="BH4" s="393"/>
      <c r="BI4" s="393"/>
      <c r="BJ4" s="382" t="s">
        <v>68</v>
      </c>
      <c r="BK4" s="382"/>
      <c r="BL4" s="382"/>
      <c r="BM4" s="382"/>
      <c r="BN4" s="393" t="s">
        <v>103</v>
      </c>
      <c r="BO4" s="393"/>
      <c r="BP4" s="393"/>
      <c r="BQ4" s="393"/>
      <c r="BR4" s="381" t="s">
        <v>9</v>
      </c>
      <c r="BS4" s="382"/>
      <c r="BT4" s="393" t="s">
        <v>104</v>
      </c>
      <c r="BU4" s="393"/>
      <c r="BV4" s="393"/>
      <c r="BW4" s="393"/>
      <c r="BX4" s="359" t="s">
        <v>69</v>
      </c>
      <c r="BY4" s="360"/>
      <c r="BZ4" s="360"/>
      <c r="CA4" s="361"/>
      <c r="CB4" s="402" t="s">
        <v>9</v>
      </c>
      <c r="CC4" s="403"/>
      <c r="CD4" s="362" t="s">
        <v>74</v>
      </c>
      <c r="CE4" s="363"/>
      <c r="CF4" s="363"/>
      <c r="CG4" s="363"/>
      <c r="CH4" s="396" t="s">
        <v>9</v>
      </c>
      <c r="CI4" s="397"/>
      <c r="CJ4" s="359" t="s">
        <v>73</v>
      </c>
      <c r="CK4" s="360"/>
      <c r="CL4" s="361"/>
      <c r="CM4" s="396" t="s">
        <v>9</v>
      </c>
      <c r="CN4" s="397"/>
      <c r="CO4" s="400"/>
      <c r="CP4" s="401"/>
      <c r="CQ4" s="431" t="s">
        <v>76</v>
      </c>
      <c r="CR4" s="432"/>
      <c r="CS4" s="431" t="s">
        <v>77</v>
      </c>
      <c r="CT4" s="432"/>
      <c r="CU4" s="394" t="s">
        <v>6</v>
      </c>
      <c r="CV4" s="404" t="s">
        <v>7</v>
      </c>
      <c r="CW4" s="406" t="s">
        <v>78</v>
      </c>
      <c r="CX4" s="156"/>
      <c r="DA4" s="46"/>
    </row>
    <row r="5" spans="2:105" ht="27.75" customHeight="1" thickTop="1" thickBot="1">
      <c r="B5" s="157" t="s">
        <v>0</v>
      </c>
      <c r="C5" s="158" t="s">
        <v>81</v>
      </c>
      <c r="D5" s="158" t="s">
        <v>82</v>
      </c>
      <c r="E5" s="159" t="s">
        <v>1</v>
      </c>
      <c r="F5" s="160" t="s">
        <v>2</v>
      </c>
      <c r="G5" s="161" t="s">
        <v>3</v>
      </c>
      <c r="H5" s="162" t="s">
        <v>10</v>
      </c>
      <c r="I5" s="163" t="s">
        <v>11</v>
      </c>
      <c r="J5" s="164" t="s">
        <v>10</v>
      </c>
      <c r="K5" s="163" t="s">
        <v>11</v>
      </c>
      <c r="L5" s="165" t="s">
        <v>49</v>
      </c>
      <c r="M5" s="166" t="s">
        <v>49</v>
      </c>
      <c r="N5" s="167" t="s">
        <v>57</v>
      </c>
      <c r="O5" s="168" t="s">
        <v>58</v>
      </c>
      <c r="P5" s="168" t="s">
        <v>10</v>
      </c>
      <c r="Q5" s="169" t="s">
        <v>11</v>
      </c>
      <c r="R5" s="167" t="s">
        <v>57</v>
      </c>
      <c r="S5" s="168" t="s">
        <v>58</v>
      </c>
      <c r="T5" s="168" t="s">
        <v>10</v>
      </c>
      <c r="U5" s="169" t="s">
        <v>11</v>
      </c>
      <c r="V5" s="167" t="s">
        <v>57</v>
      </c>
      <c r="W5" s="168" t="s">
        <v>58</v>
      </c>
      <c r="X5" s="168" t="s">
        <v>10</v>
      </c>
      <c r="Y5" s="169" t="s">
        <v>11</v>
      </c>
      <c r="Z5" s="170" t="s">
        <v>10</v>
      </c>
      <c r="AA5" s="171" t="s">
        <v>11</v>
      </c>
      <c r="AB5" s="168" t="s">
        <v>58</v>
      </c>
      <c r="AC5" s="172" t="s">
        <v>10</v>
      </c>
      <c r="AD5" s="169" t="s">
        <v>11</v>
      </c>
      <c r="AE5" s="167" t="s">
        <v>57</v>
      </c>
      <c r="AF5" s="168" t="s">
        <v>58</v>
      </c>
      <c r="AG5" s="173" t="s">
        <v>10</v>
      </c>
      <c r="AH5" s="174" t="s">
        <v>11</v>
      </c>
      <c r="AI5" s="167" t="s">
        <v>57</v>
      </c>
      <c r="AJ5" s="168" t="s">
        <v>58</v>
      </c>
      <c r="AK5" s="175" t="s">
        <v>10</v>
      </c>
      <c r="AL5" s="176" t="s">
        <v>11</v>
      </c>
      <c r="AM5" s="177" t="s">
        <v>10</v>
      </c>
      <c r="AN5" s="178" t="s">
        <v>11</v>
      </c>
      <c r="AO5" s="167" t="s">
        <v>57</v>
      </c>
      <c r="AP5" s="168" t="s">
        <v>58</v>
      </c>
      <c r="AQ5" s="179" t="s">
        <v>10</v>
      </c>
      <c r="AR5" s="174" t="s">
        <v>11</v>
      </c>
      <c r="AS5" s="172" t="s">
        <v>58</v>
      </c>
      <c r="AT5" s="175" t="s">
        <v>10</v>
      </c>
      <c r="AU5" s="176" t="s">
        <v>11</v>
      </c>
      <c r="AV5" s="180" t="s">
        <v>10</v>
      </c>
      <c r="AW5" s="181" t="s">
        <v>11</v>
      </c>
      <c r="AX5" s="167" t="s">
        <v>57</v>
      </c>
      <c r="AY5" s="168" t="s">
        <v>58</v>
      </c>
      <c r="AZ5" s="175" t="s">
        <v>10</v>
      </c>
      <c r="BA5" s="176" t="s">
        <v>11</v>
      </c>
      <c r="BB5" s="180" t="s">
        <v>10</v>
      </c>
      <c r="BC5" s="182" t="s">
        <v>11</v>
      </c>
      <c r="BD5" s="183" t="s">
        <v>10</v>
      </c>
      <c r="BE5" s="184" t="s">
        <v>11</v>
      </c>
      <c r="BF5" s="185" t="s">
        <v>57</v>
      </c>
      <c r="BG5" s="168" t="s">
        <v>58</v>
      </c>
      <c r="BH5" s="168" t="s">
        <v>10</v>
      </c>
      <c r="BI5" s="169" t="s">
        <v>11</v>
      </c>
      <c r="BJ5" s="167" t="s">
        <v>57</v>
      </c>
      <c r="BK5" s="168" t="s">
        <v>58</v>
      </c>
      <c r="BL5" s="168" t="s">
        <v>10</v>
      </c>
      <c r="BM5" s="169" t="s">
        <v>11</v>
      </c>
      <c r="BN5" s="167" t="s">
        <v>57</v>
      </c>
      <c r="BO5" s="168" t="s">
        <v>58</v>
      </c>
      <c r="BP5" s="168" t="s">
        <v>10</v>
      </c>
      <c r="BQ5" s="169" t="s">
        <v>11</v>
      </c>
      <c r="BR5" s="186" t="s">
        <v>10</v>
      </c>
      <c r="BS5" s="171" t="s">
        <v>11</v>
      </c>
      <c r="BT5" s="167" t="s">
        <v>57</v>
      </c>
      <c r="BU5" s="168" t="s">
        <v>58</v>
      </c>
      <c r="BV5" s="168" t="s">
        <v>10</v>
      </c>
      <c r="BW5" s="169" t="s">
        <v>11</v>
      </c>
      <c r="BX5" s="167" t="s">
        <v>57</v>
      </c>
      <c r="BY5" s="168" t="s">
        <v>58</v>
      </c>
      <c r="BZ5" s="173" t="s">
        <v>10</v>
      </c>
      <c r="CA5" s="176" t="s">
        <v>11</v>
      </c>
      <c r="CB5" s="187" t="s">
        <v>10</v>
      </c>
      <c r="CC5" s="188" t="s">
        <v>11</v>
      </c>
      <c r="CD5" s="167" t="s">
        <v>57</v>
      </c>
      <c r="CE5" s="168" t="s">
        <v>58</v>
      </c>
      <c r="CF5" s="179" t="s">
        <v>10</v>
      </c>
      <c r="CG5" s="176" t="s">
        <v>11</v>
      </c>
      <c r="CH5" s="189" t="s">
        <v>10</v>
      </c>
      <c r="CI5" s="190" t="s">
        <v>11</v>
      </c>
      <c r="CJ5" s="191" t="s">
        <v>58</v>
      </c>
      <c r="CK5" s="179" t="s">
        <v>10</v>
      </c>
      <c r="CL5" s="176" t="s">
        <v>11</v>
      </c>
      <c r="CM5" s="177" t="s">
        <v>10</v>
      </c>
      <c r="CN5" s="178" t="s">
        <v>11</v>
      </c>
      <c r="CO5" s="192" t="s">
        <v>10</v>
      </c>
      <c r="CP5" s="193" t="s">
        <v>11</v>
      </c>
      <c r="CQ5" s="194" t="s">
        <v>10</v>
      </c>
      <c r="CR5" s="195" t="s">
        <v>11</v>
      </c>
      <c r="CS5" s="196" t="s">
        <v>10</v>
      </c>
      <c r="CT5" s="195" t="s">
        <v>11</v>
      </c>
      <c r="CU5" s="395"/>
      <c r="CV5" s="405"/>
      <c r="CW5" s="407"/>
      <c r="CX5" s="197" t="s">
        <v>8</v>
      </c>
      <c r="DA5" s="46"/>
    </row>
    <row r="6" spans="2:105" ht="27.75" customHeight="1" thickBot="1">
      <c r="B6" s="1">
        <v>1</v>
      </c>
      <c r="C6" s="323" t="s">
        <v>521</v>
      </c>
      <c r="D6" s="249" t="s">
        <v>522</v>
      </c>
      <c r="E6" s="48" t="s">
        <v>737</v>
      </c>
      <c r="F6" s="275">
        <v>35359</v>
      </c>
      <c r="G6" s="52" t="s">
        <v>746</v>
      </c>
      <c r="H6" s="131">
        <v>8.83</v>
      </c>
      <c r="I6" s="132">
        <v>15</v>
      </c>
      <c r="J6" s="133">
        <v>9.5299999999999994</v>
      </c>
      <c r="K6" s="134">
        <v>16</v>
      </c>
      <c r="L6" s="53">
        <f>(H6+J6)/2</f>
        <v>9.18</v>
      </c>
      <c r="M6" s="58">
        <f>IF(L6&gt;=10,60,I6+K6)</f>
        <v>31</v>
      </c>
      <c r="N6" s="262">
        <v>11</v>
      </c>
      <c r="O6" s="263">
        <v>8</v>
      </c>
      <c r="P6" s="228">
        <f>(N6+O6)/2</f>
        <v>9.5</v>
      </c>
      <c r="Q6" s="229">
        <f>IF(P6&gt;=10,5,0)</f>
        <v>0</v>
      </c>
      <c r="R6" s="262">
        <v>14</v>
      </c>
      <c r="S6" s="263">
        <v>5</v>
      </c>
      <c r="T6" s="228">
        <f>(R6+S6)/2</f>
        <v>9.5</v>
      </c>
      <c r="U6" s="229">
        <f>IF(T6&gt;=10,6,0)</f>
        <v>0</v>
      </c>
      <c r="V6" s="262">
        <v>15.5</v>
      </c>
      <c r="W6" s="263">
        <v>7.5</v>
      </c>
      <c r="X6" s="228">
        <f>(V6+W6)/2</f>
        <v>11.5</v>
      </c>
      <c r="Y6" s="229">
        <f>IF(X6&gt;=10,6,0)</f>
        <v>6</v>
      </c>
      <c r="Z6" s="232">
        <f>((P6*2)+(T6*2)+(X6*2))/6</f>
        <v>10.166666666666666</v>
      </c>
      <c r="AA6" s="233">
        <f>IF(Z6&gt;=10,17,Q6+U6+Y6)</f>
        <v>17</v>
      </c>
      <c r="AB6" s="263">
        <v>13.5</v>
      </c>
      <c r="AC6" s="234">
        <f>AB6</f>
        <v>13.5</v>
      </c>
      <c r="AD6" s="235">
        <f>IF(AC6&gt;=10,1,0)</f>
        <v>1</v>
      </c>
      <c r="AE6" s="262">
        <v>7</v>
      </c>
      <c r="AF6" s="263">
        <v>7</v>
      </c>
      <c r="AG6" s="228">
        <f>(AE6+AF6)/2</f>
        <v>7</v>
      </c>
      <c r="AH6" s="229">
        <f>IF(AG6&gt;=10,3,0)</f>
        <v>0</v>
      </c>
      <c r="AI6" s="262">
        <v>12</v>
      </c>
      <c r="AJ6" s="263">
        <v>4</v>
      </c>
      <c r="AK6" s="228">
        <f>(AI6+AJ6)/2</f>
        <v>8</v>
      </c>
      <c r="AL6" s="229">
        <f>IF(AK6&gt;=10,3,0)</f>
        <v>0</v>
      </c>
      <c r="AM6" s="236">
        <f>(AC6+(AG6*2)+(AK6*2))/5</f>
        <v>8.6999999999999993</v>
      </c>
      <c r="AN6" s="237">
        <f>IF(AM6&gt;=10,7,AL6+AH6+AD6)</f>
        <v>1</v>
      </c>
      <c r="AO6" s="262">
        <v>10.5</v>
      </c>
      <c r="AP6" s="263">
        <v>3</v>
      </c>
      <c r="AQ6" s="228">
        <f>(AO6+AP6)/2</f>
        <v>6.75</v>
      </c>
      <c r="AR6" s="229">
        <f>IF(AQ6&gt;=10,4,0)</f>
        <v>0</v>
      </c>
      <c r="AS6" s="263">
        <v>7.5</v>
      </c>
      <c r="AT6" s="234">
        <f>AS6</f>
        <v>7.5</v>
      </c>
      <c r="AU6" s="238">
        <f>IF(AT6&gt;=10,1,0)</f>
        <v>0</v>
      </c>
      <c r="AV6" s="236">
        <f>(AT6+AQ6)/2</f>
        <v>7.125</v>
      </c>
      <c r="AW6" s="237">
        <f>IF(AV6&gt;=10,5,AU6+AR6)</f>
        <v>0</v>
      </c>
      <c r="AX6" s="263">
        <v>11</v>
      </c>
      <c r="AY6" s="263">
        <v>2</v>
      </c>
      <c r="AZ6" s="228">
        <f>(AX6+AY6)/2</f>
        <v>6.5</v>
      </c>
      <c r="BA6" s="229">
        <f>IF(AZ6&gt;=10,1,0)</f>
        <v>0</v>
      </c>
      <c r="BB6" s="236">
        <f>AZ6</f>
        <v>6.5</v>
      </c>
      <c r="BC6" s="237">
        <f>BA6</f>
        <v>0</v>
      </c>
      <c r="BD6" s="239">
        <f>((P6*2)+(T6*2)+(X6*2)+AC6+(AG6*2)+(AK6*2)+AQ6+AT6+AZ6)/14</f>
        <v>8.9464285714285712</v>
      </c>
      <c r="BE6" s="240">
        <f>IF(BD6&gt;=10,30,BC6+AW6+AN6+AA6)</f>
        <v>18</v>
      </c>
      <c r="BF6" s="263"/>
      <c r="BG6" s="263"/>
      <c r="BH6" s="264">
        <f>(BF6+BG6)/2</f>
        <v>0</v>
      </c>
      <c r="BI6" s="265">
        <f>IF(BH6&gt;=10,6,0)</f>
        <v>0</v>
      </c>
      <c r="BJ6" s="263"/>
      <c r="BK6" s="263"/>
      <c r="BL6" s="264">
        <f>(BJ6+BK6)/2</f>
        <v>0</v>
      </c>
      <c r="BM6" s="265">
        <f>IF(BL6&gt;=10,6,0)</f>
        <v>0</v>
      </c>
      <c r="BN6" s="263"/>
      <c r="BO6" s="263"/>
      <c r="BP6" s="264">
        <f>(BN6+BO6)/2</f>
        <v>0</v>
      </c>
      <c r="BQ6" s="265">
        <f>IF(BP6&gt;=10,4,0)</f>
        <v>0</v>
      </c>
      <c r="BR6" s="266">
        <f>(BP6+(BL6*2)+(BH6*2))/5</f>
        <v>0</v>
      </c>
      <c r="BS6" s="267">
        <f>IF(BR6&gt;=10,16,BQ6+BM6+BI6)</f>
        <v>0</v>
      </c>
      <c r="BT6" s="263"/>
      <c r="BU6" s="263"/>
      <c r="BV6" s="264">
        <f>(BT6+BU6)/2</f>
        <v>0</v>
      </c>
      <c r="BW6" s="265">
        <f>IF(BV6&gt;=10,5,0)</f>
        <v>0</v>
      </c>
      <c r="BX6" s="263"/>
      <c r="BY6" s="263"/>
      <c r="BZ6" s="264">
        <f>(BX6+BY6)/2</f>
        <v>0</v>
      </c>
      <c r="CA6" s="265">
        <f>IF(BZ6&gt;=10,5,0)</f>
        <v>0</v>
      </c>
      <c r="CB6" s="268">
        <f>((BZ6*2)+(BV6*2))/4</f>
        <v>0</v>
      </c>
      <c r="CC6" s="267">
        <f>IF(CB6&gt;=10,10,CA6+BW6)</f>
        <v>0</v>
      </c>
      <c r="CD6" s="263"/>
      <c r="CE6" s="263"/>
      <c r="CF6" s="264">
        <f>(CD6+CE6)/2</f>
        <v>0</v>
      </c>
      <c r="CG6" s="265">
        <f>IF(CF6&gt;=10,3,0)</f>
        <v>0</v>
      </c>
      <c r="CH6" s="268">
        <f>CF6</f>
        <v>0</v>
      </c>
      <c r="CI6" s="267">
        <f>CG6</f>
        <v>0</v>
      </c>
      <c r="CJ6" s="263"/>
      <c r="CK6" s="269">
        <f>CJ6</f>
        <v>0</v>
      </c>
      <c r="CL6" s="270">
        <f>IF(CK6&gt;=10,1,0)</f>
        <v>0</v>
      </c>
      <c r="CM6" s="268">
        <f>CK6</f>
        <v>0</v>
      </c>
      <c r="CN6" s="267">
        <f>CL6</f>
        <v>0</v>
      </c>
      <c r="CO6" s="65">
        <f>((CF6*2)+(BV6*2)+(BZ6*2)+CK6+BP6+(BL6*2)+(BH6*2))/12</f>
        <v>0</v>
      </c>
      <c r="CP6" s="66">
        <f>IF(CO6&gt;=10,30,CI6+CN6+CC6+BS6)</f>
        <v>0</v>
      </c>
      <c r="CQ6" s="31">
        <f t="shared" ref="CQ6" si="0">BD6</f>
        <v>8.9464285714285712</v>
      </c>
      <c r="CR6" s="32">
        <f t="shared" ref="CR6" si="1">IF(CU6&gt;=10,30,BE6)</f>
        <v>18</v>
      </c>
      <c r="CS6" s="33">
        <f t="shared" ref="CS6" si="2">CO6</f>
        <v>0</v>
      </c>
      <c r="CT6" s="34">
        <f t="shared" ref="CT6" si="3">IF(CU6&gt;=10,30,CP6)</f>
        <v>0</v>
      </c>
      <c r="CU6" s="67">
        <f t="shared" ref="CU6" si="4">(CS6+CQ6)/2</f>
        <v>4.4732142857142856</v>
      </c>
      <c r="CV6" s="35">
        <f t="shared" ref="CV6" si="5">IF(CU6&gt;=10,60,CT6+CR6)</f>
        <v>18</v>
      </c>
      <c r="CW6" s="59">
        <f t="shared" ref="CW6" si="6">(M6+CV6)</f>
        <v>49</v>
      </c>
      <c r="CX6" s="43" t="str">
        <f>IF(CW6=120,"ناجح(ة) دورة1","مؤجل(ة)")</f>
        <v>مؤجل(ة)</v>
      </c>
      <c r="CY6" s="44"/>
      <c r="CZ6" s="50"/>
      <c r="DA6" s="46"/>
    </row>
    <row r="7" spans="2:105" ht="27.75" customHeight="1" thickBot="1">
      <c r="B7" s="1">
        <f>B6+1</f>
        <v>2</v>
      </c>
      <c r="C7" s="324" t="s">
        <v>523</v>
      </c>
      <c r="D7" s="249" t="s">
        <v>213</v>
      </c>
      <c r="E7" s="47" t="s">
        <v>783</v>
      </c>
      <c r="F7" s="276">
        <v>34882</v>
      </c>
      <c r="G7" s="136" t="s">
        <v>784</v>
      </c>
      <c r="H7" s="131">
        <v>9.4499999999999993</v>
      </c>
      <c r="I7" s="132">
        <v>20</v>
      </c>
      <c r="J7" s="133">
        <v>8.17</v>
      </c>
      <c r="K7" s="134">
        <v>11</v>
      </c>
      <c r="L7" s="53">
        <f t="shared" ref="L7:L41" si="7">(H7+J7)/2</f>
        <v>8.8099999999999987</v>
      </c>
      <c r="M7" s="58">
        <f t="shared" ref="M7:M41" si="8">IF(L7&gt;=10,60,I7+K7)</f>
        <v>31</v>
      </c>
      <c r="N7" s="262">
        <v>13</v>
      </c>
      <c r="O7" s="263">
        <v>13</v>
      </c>
      <c r="P7" s="228">
        <f t="shared" ref="P7:P42" si="9">(N7+O7)/2</f>
        <v>13</v>
      </c>
      <c r="Q7" s="229">
        <f t="shared" ref="Q7:Q42" si="10">IF(P7&gt;=10,5,0)</f>
        <v>5</v>
      </c>
      <c r="R7" s="262">
        <v>10</v>
      </c>
      <c r="S7" s="263">
        <v>10</v>
      </c>
      <c r="T7" s="228">
        <f t="shared" ref="T7:T42" si="11">(R7+S7)/2</f>
        <v>10</v>
      </c>
      <c r="U7" s="229">
        <f t="shared" ref="U7:U42" si="12">IF(T7&gt;=10,6,0)</f>
        <v>6</v>
      </c>
      <c r="V7" s="262">
        <v>11</v>
      </c>
      <c r="W7" s="263">
        <v>11</v>
      </c>
      <c r="X7" s="228">
        <f t="shared" ref="X7:X42" si="13">(V7+W7)/2</f>
        <v>11</v>
      </c>
      <c r="Y7" s="229">
        <f t="shared" ref="Y7:Y42" si="14">IF(X7&gt;=10,6,0)</f>
        <v>6</v>
      </c>
      <c r="Z7" s="232">
        <f t="shared" ref="Z7:Z42" si="15">((P7*2)+(T7*2)+(X7*2))/6</f>
        <v>11.333333333333334</v>
      </c>
      <c r="AA7" s="233">
        <f t="shared" ref="AA7:AA42" si="16">IF(Z7&gt;=10,17,Q7+U7+Y7)</f>
        <v>17</v>
      </c>
      <c r="AB7" s="263">
        <v>11</v>
      </c>
      <c r="AC7" s="234">
        <f t="shared" ref="AC7:AC42" si="17">AB7</f>
        <v>11</v>
      </c>
      <c r="AD7" s="235">
        <f t="shared" ref="AD7:AD42" si="18">IF(AC7&gt;=10,1,0)</f>
        <v>1</v>
      </c>
      <c r="AE7" s="262">
        <v>10.75</v>
      </c>
      <c r="AF7" s="263">
        <v>10.75</v>
      </c>
      <c r="AG7" s="228">
        <f t="shared" ref="AG7:AG42" si="19">(AE7+AF7)/2</f>
        <v>10.75</v>
      </c>
      <c r="AH7" s="229">
        <f t="shared" ref="AH7:AH42" si="20">IF(AG7&gt;=10,3,0)</f>
        <v>3</v>
      </c>
      <c r="AI7" s="262">
        <v>5.88</v>
      </c>
      <c r="AJ7" s="263">
        <v>5.88</v>
      </c>
      <c r="AK7" s="228">
        <f t="shared" ref="AK7:AK42" si="21">(AI7+AJ7)/2</f>
        <v>5.88</v>
      </c>
      <c r="AL7" s="229">
        <f t="shared" ref="AL7:AL42" si="22">IF(AK7&gt;=10,3,0)</f>
        <v>0</v>
      </c>
      <c r="AM7" s="236">
        <f t="shared" ref="AM7:AM42" si="23">(AC7+(AG7*2)+(AK7*2))/5</f>
        <v>8.8520000000000003</v>
      </c>
      <c r="AN7" s="237">
        <f t="shared" ref="AN7:AN42" si="24">IF(AM7&gt;=10,7,AL7+AH7+AD7)</f>
        <v>4</v>
      </c>
      <c r="AO7" s="262">
        <v>9</v>
      </c>
      <c r="AP7" s="263">
        <v>9</v>
      </c>
      <c r="AQ7" s="228">
        <f t="shared" ref="AQ7:AQ42" si="25">(AO7+AP7)/2</f>
        <v>9</v>
      </c>
      <c r="AR7" s="229">
        <f t="shared" ref="AR7:AR42" si="26">IF(AQ7&gt;=10,4,0)</f>
        <v>0</v>
      </c>
      <c r="AS7" s="263">
        <v>15</v>
      </c>
      <c r="AT7" s="234">
        <f t="shared" ref="AT7:AT42" si="27">AS7</f>
        <v>15</v>
      </c>
      <c r="AU7" s="238">
        <f t="shared" ref="AU7:AU42" si="28">IF(AT7&gt;=10,1,0)</f>
        <v>1</v>
      </c>
      <c r="AV7" s="236">
        <f t="shared" ref="AV7:AV42" si="29">(AT7+AQ7)/2</f>
        <v>12</v>
      </c>
      <c r="AW7" s="237">
        <f t="shared" ref="AW7:AW42" si="30">IF(AV7&gt;=10,5,AU7+AR7)</f>
        <v>5</v>
      </c>
      <c r="AX7" s="263">
        <v>13.75</v>
      </c>
      <c r="AY7" s="263">
        <v>13.75</v>
      </c>
      <c r="AZ7" s="228">
        <f t="shared" ref="AZ7:AZ42" si="31">(AX7+AY7)/2</f>
        <v>13.75</v>
      </c>
      <c r="BA7" s="229">
        <f t="shared" ref="BA7:BA42" si="32">IF(AZ7&gt;=10,1,0)</f>
        <v>1</v>
      </c>
      <c r="BB7" s="236">
        <f t="shared" ref="BB7:BB42" si="33">AZ7</f>
        <v>13.75</v>
      </c>
      <c r="BC7" s="237">
        <f t="shared" ref="BC7:BC42" si="34">BA7</f>
        <v>1</v>
      </c>
      <c r="BD7" s="239">
        <f t="shared" ref="BD7:BD42" si="35">((P7*2)+(T7*2)+(X7*2)+AC7+(AG7*2)+(AK7*2)+AQ7+AT7+AZ7)/14</f>
        <v>10.715</v>
      </c>
      <c r="BE7" s="240">
        <f t="shared" ref="BE7:BE42" si="36">IF(BD7&gt;=10,30,BC7+AW7+AN7+AA7)</f>
        <v>30</v>
      </c>
      <c r="BF7" s="263"/>
      <c r="BG7" s="263"/>
      <c r="BH7" s="264">
        <f t="shared" ref="BH7:BH42" si="37">(BF7+BG7)/2</f>
        <v>0</v>
      </c>
      <c r="BI7" s="265">
        <f t="shared" ref="BI7:BI42" si="38">IF(BH7&gt;=10,6,0)</f>
        <v>0</v>
      </c>
      <c r="BJ7" s="263"/>
      <c r="BK7" s="263"/>
      <c r="BL7" s="264">
        <f t="shared" ref="BL7:BL42" si="39">(BJ7+BK7)/2</f>
        <v>0</v>
      </c>
      <c r="BM7" s="265">
        <f t="shared" ref="BM7:BM42" si="40">IF(BL7&gt;=10,6,0)</f>
        <v>0</v>
      </c>
      <c r="BN7" s="263"/>
      <c r="BO7" s="263"/>
      <c r="BP7" s="264">
        <f t="shared" ref="BP7:BP42" si="41">(BN7+BO7)/2</f>
        <v>0</v>
      </c>
      <c r="BQ7" s="265">
        <f t="shared" ref="BQ7:BQ42" si="42">IF(BP7&gt;=10,4,0)</f>
        <v>0</v>
      </c>
      <c r="BR7" s="266">
        <f t="shared" ref="BR7:BR42" si="43">(BP7+(BL7*2)+(BH7*2))/5</f>
        <v>0</v>
      </c>
      <c r="BS7" s="267">
        <f t="shared" ref="BS7:BS42" si="44">IF(BR7&gt;=10,16,BQ7+BM7+BI7)</f>
        <v>0</v>
      </c>
      <c r="BT7" s="263"/>
      <c r="BU7" s="263"/>
      <c r="BV7" s="264">
        <f t="shared" ref="BV7:BV42" si="45">(BT7+BU7)/2</f>
        <v>0</v>
      </c>
      <c r="BW7" s="265">
        <f t="shared" ref="BW7:BW42" si="46">IF(BV7&gt;=10,5,0)</f>
        <v>0</v>
      </c>
      <c r="BX7" s="263"/>
      <c r="BY7" s="263"/>
      <c r="BZ7" s="264">
        <f t="shared" ref="BZ7:BZ42" si="47">(BX7+BY7)/2</f>
        <v>0</v>
      </c>
      <c r="CA7" s="265">
        <f t="shared" ref="CA7:CA42" si="48">IF(BZ7&gt;=10,5,0)</f>
        <v>0</v>
      </c>
      <c r="CB7" s="268">
        <f t="shared" ref="CB7:CB42" si="49">((BZ7*2)+(BV7*2))/4</f>
        <v>0</v>
      </c>
      <c r="CC7" s="267">
        <f t="shared" ref="CC7:CC42" si="50">IF(CB7&gt;=10,10,CA7+BW7)</f>
        <v>0</v>
      </c>
      <c r="CD7" s="263"/>
      <c r="CE7" s="263"/>
      <c r="CF7" s="264">
        <f t="shared" ref="CF7:CF42" si="51">(CD7+CE7)/2</f>
        <v>0</v>
      </c>
      <c r="CG7" s="265">
        <f t="shared" ref="CG7:CG42" si="52">IF(CF7&gt;=10,3,0)</f>
        <v>0</v>
      </c>
      <c r="CH7" s="268">
        <f t="shared" ref="CH7:CH42" si="53">CF7</f>
        <v>0</v>
      </c>
      <c r="CI7" s="267">
        <f t="shared" ref="CI7:CI42" si="54">CG7</f>
        <v>0</v>
      </c>
      <c r="CJ7" s="263"/>
      <c r="CK7" s="269">
        <f t="shared" ref="CK7:CK42" si="55">CJ7</f>
        <v>0</v>
      </c>
      <c r="CL7" s="270">
        <f t="shared" ref="CL7:CL42" si="56">IF(CK7&gt;=10,1,0)</f>
        <v>0</v>
      </c>
      <c r="CM7" s="268">
        <f t="shared" ref="CM7:CM42" si="57">CK7</f>
        <v>0</v>
      </c>
      <c r="CN7" s="267">
        <f t="shared" ref="CN7:CN42" si="58">CL7</f>
        <v>0</v>
      </c>
      <c r="CO7" s="65">
        <f t="shared" ref="CO7:CO42" si="59">((CF7*2)+(BV7*2)+(BZ7*2)+CK7+BP7+(BL7*2)+(BH7*2))/12</f>
        <v>0</v>
      </c>
      <c r="CP7" s="66">
        <f t="shared" ref="CP7:CP42" si="60">IF(CO7&gt;=10,30,CI7+CN7+CC7+BS7)</f>
        <v>0</v>
      </c>
      <c r="CQ7" s="31">
        <f t="shared" ref="CQ7:CQ42" si="61">BD7</f>
        <v>10.715</v>
      </c>
      <c r="CR7" s="32">
        <f t="shared" ref="CR7:CR42" si="62">IF(CU7&gt;=10,30,BE7)</f>
        <v>30</v>
      </c>
      <c r="CS7" s="33">
        <f t="shared" ref="CS7:CS42" si="63">CO7</f>
        <v>0</v>
      </c>
      <c r="CT7" s="34">
        <f t="shared" ref="CT7:CT42" si="64">IF(CU7&gt;=10,30,CP7)</f>
        <v>0</v>
      </c>
      <c r="CU7" s="67">
        <f t="shared" ref="CU7:CU42" si="65">(CS7+CQ7)/2</f>
        <v>5.3574999999999999</v>
      </c>
      <c r="CV7" s="35">
        <f t="shared" ref="CV7:CV42" si="66">IF(CU7&gt;=10,60,CT7+CR7)</f>
        <v>30</v>
      </c>
      <c r="CW7" s="59">
        <f t="shared" ref="CW7:CW42" si="67">(M7+CV7)</f>
        <v>61</v>
      </c>
      <c r="CX7" s="43" t="str">
        <f t="shared" ref="CX7:CX42" si="68">IF(CW7=120,"ناجح(ة) دورة1","مؤجل(ة)")</f>
        <v>مؤجل(ة)</v>
      </c>
      <c r="CZ7" s="51"/>
      <c r="DA7" s="46"/>
    </row>
    <row r="8" spans="2:105" ht="27.75" customHeight="1" thickBot="1">
      <c r="B8" s="1">
        <f t="shared" ref="B8:B42" si="69">B7+1</f>
        <v>3</v>
      </c>
      <c r="C8" s="323" t="s">
        <v>524</v>
      </c>
      <c r="D8" s="249" t="s">
        <v>211</v>
      </c>
      <c r="E8" s="47" t="s">
        <v>738</v>
      </c>
      <c r="F8" s="135">
        <v>35886</v>
      </c>
      <c r="G8" s="136" t="s">
        <v>746</v>
      </c>
      <c r="H8" s="131"/>
      <c r="I8" s="132">
        <v>25</v>
      </c>
      <c r="J8" s="133">
        <v>9.8699999999999992</v>
      </c>
      <c r="K8" s="134">
        <v>15</v>
      </c>
      <c r="L8" s="53">
        <f t="shared" si="7"/>
        <v>4.9349999999999996</v>
      </c>
      <c r="M8" s="58">
        <f t="shared" si="8"/>
        <v>40</v>
      </c>
      <c r="N8" s="262"/>
      <c r="O8" s="263"/>
      <c r="P8" s="228">
        <f t="shared" si="9"/>
        <v>0</v>
      </c>
      <c r="Q8" s="229">
        <f t="shared" si="10"/>
        <v>0</v>
      </c>
      <c r="R8" s="262">
        <v>14</v>
      </c>
      <c r="S8" s="263"/>
      <c r="T8" s="228">
        <f t="shared" si="11"/>
        <v>7</v>
      </c>
      <c r="U8" s="229">
        <f t="shared" si="12"/>
        <v>0</v>
      </c>
      <c r="V8" s="262"/>
      <c r="W8" s="263"/>
      <c r="X8" s="228">
        <f t="shared" si="13"/>
        <v>0</v>
      </c>
      <c r="Y8" s="229">
        <f t="shared" si="14"/>
        <v>0</v>
      </c>
      <c r="Z8" s="232">
        <f t="shared" si="15"/>
        <v>2.3333333333333335</v>
      </c>
      <c r="AA8" s="233">
        <f t="shared" si="16"/>
        <v>0</v>
      </c>
      <c r="AB8" s="263"/>
      <c r="AC8" s="234">
        <f t="shared" si="17"/>
        <v>0</v>
      </c>
      <c r="AD8" s="235">
        <f t="shared" si="18"/>
        <v>0</v>
      </c>
      <c r="AE8" s="262"/>
      <c r="AF8" s="263"/>
      <c r="AG8" s="228">
        <f t="shared" si="19"/>
        <v>0</v>
      </c>
      <c r="AH8" s="229">
        <f t="shared" si="20"/>
        <v>0</v>
      </c>
      <c r="AI8" s="262"/>
      <c r="AJ8" s="263"/>
      <c r="AK8" s="228">
        <f t="shared" si="21"/>
        <v>0</v>
      </c>
      <c r="AL8" s="229">
        <f t="shared" si="22"/>
        <v>0</v>
      </c>
      <c r="AM8" s="236">
        <f t="shared" si="23"/>
        <v>0</v>
      </c>
      <c r="AN8" s="237">
        <f t="shared" si="24"/>
        <v>0</v>
      </c>
      <c r="AO8" s="262"/>
      <c r="AP8" s="263"/>
      <c r="AQ8" s="228">
        <f t="shared" si="25"/>
        <v>0</v>
      </c>
      <c r="AR8" s="229">
        <f t="shared" si="26"/>
        <v>0</v>
      </c>
      <c r="AS8" s="263"/>
      <c r="AT8" s="234">
        <f t="shared" si="27"/>
        <v>0</v>
      </c>
      <c r="AU8" s="238">
        <f t="shared" si="28"/>
        <v>0</v>
      </c>
      <c r="AV8" s="236">
        <f t="shared" si="29"/>
        <v>0</v>
      </c>
      <c r="AW8" s="237">
        <f t="shared" si="30"/>
        <v>0</v>
      </c>
      <c r="AX8" s="263"/>
      <c r="AY8" s="263"/>
      <c r="AZ8" s="228">
        <f t="shared" si="31"/>
        <v>0</v>
      </c>
      <c r="BA8" s="229">
        <f t="shared" si="32"/>
        <v>0</v>
      </c>
      <c r="BB8" s="236">
        <f t="shared" si="33"/>
        <v>0</v>
      </c>
      <c r="BC8" s="237">
        <f t="shared" si="34"/>
        <v>0</v>
      </c>
      <c r="BD8" s="239">
        <f t="shared" si="35"/>
        <v>1</v>
      </c>
      <c r="BE8" s="240">
        <f t="shared" si="36"/>
        <v>0</v>
      </c>
      <c r="BF8" s="263"/>
      <c r="BG8" s="263"/>
      <c r="BH8" s="264">
        <f t="shared" si="37"/>
        <v>0</v>
      </c>
      <c r="BI8" s="265">
        <f t="shared" si="38"/>
        <v>0</v>
      </c>
      <c r="BJ8" s="263"/>
      <c r="BK8" s="263"/>
      <c r="BL8" s="264">
        <f t="shared" si="39"/>
        <v>0</v>
      </c>
      <c r="BM8" s="265">
        <f t="shared" si="40"/>
        <v>0</v>
      </c>
      <c r="BN8" s="263"/>
      <c r="BO8" s="263"/>
      <c r="BP8" s="264">
        <f t="shared" si="41"/>
        <v>0</v>
      </c>
      <c r="BQ8" s="265">
        <f t="shared" si="42"/>
        <v>0</v>
      </c>
      <c r="BR8" s="266">
        <f t="shared" si="43"/>
        <v>0</v>
      </c>
      <c r="BS8" s="267">
        <f t="shared" si="44"/>
        <v>0</v>
      </c>
      <c r="BT8" s="263"/>
      <c r="BU8" s="263"/>
      <c r="BV8" s="264">
        <f t="shared" si="45"/>
        <v>0</v>
      </c>
      <c r="BW8" s="265">
        <f t="shared" si="46"/>
        <v>0</v>
      </c>
      <c r="BX8" s="263"/>
      <c r="BY8" s="263"/>
      <c r="BZ8" s="264">
        <f t="shared" si="47"/>
        <v>0</v>
      </c>
      <c r="CA8" s="265">
        <f t="shared" si="48"/>
        <v>0</v>
      </c>
      <c r="CB8" s="268">
        <f t="shared" si="49"/>
        <v>0</v>
      </c>
      <c r="CC8" s="267">
        <f t="shared" si="50"/>
        <v>0</v>
      </c>
      <c r="CD8" s="263"/>
      <c r="CE8" s="263"/>
      <c r="CF8" s="264">
        <f t="shared" si="51"/>
        <v>0</v>
      </c>
      <c r="CG8" s="265">
        <f t="shared" si="52"/>
        <v>0</v>
      </c>
      <c r="CH8" s="268">
        <f t="shared" si="53"/>
        <v>0</v>
      </c>
      <c r="CI8" s="267">
        <f t="shared" si="54"/>
        <v>0</v>
      </c>
      <c r="CJ8" s="263"/>
      <c r="CK8" s="269">
        <f t="shared" si="55"/>
        <v>0</v>
      </c>
      <c r="CL8" s="270">
        <f t="shared" si="56"/>
        <v>0</v>
      </c>
      <c r="CM8" s="268">
        <f t="shared" si="57"/>
        <v>0</v>
      </c>
      <c r="CN8" s="267">
        <f t="shared" si="58"/>
        <v>0</v>
      </c>
      <c r="CO8" s="65">
        <f t="shared" si="59"/>
        <v>0</v>
      </c>
      <c r="CP8" s="66">
        <f t="shared" si="60"/>
        <v>0</v>
      </c>
      <c r="CQ8" s="31">
        <f t="shared" si="61"/>
        <v>1</v>
      </c>
      <c r="CR8" s="32">
        <f t="shared" si="62"/>
        <v>0</v>
      </c>
      <c r="CS8" s="33">
        <f t="shared" si="63"/>
        <v>0</v>
      </c>
      <c r="CT8" s="34">
        <f t="shared" si="64"/>
        <v>0</v>
      </c>
      <c r="CU8" s="67">
        <f t="shared" si="65"/>
        <v>0.5</v>
      </c>
      <c r="CV8" s="35">
        <f t="shared" si="66"/>
        <v>0</v>
      </c>
      <c r="CW8" s="59">
        <f t="shared" si="67"/>
        <v>40</v>
      </c>
      <c r="CX8" s="43" t="str">
        <f t="shared" si="68"/>
        <v>مؤجل(ة)</v>
      </c>
      <c r="CY8" s="44"/>
      <c r="CZ8" s="50"/>
      <c r="DA8" s="46"/>
    </row>
    <row r="9" spans="2:105" ht="27.75" customHeight="1" thickBot="1">
      <c r="B9" s="1">
        <f t="shared" si="69"/>
        <v>4</v>
      </c>
      <c r="C9" s="323" t="s">
        <v>525</v>
      </c>
      <c r="D9" s="249" t="s">
        <v>227</v>
      </c>
      <c r="E9" s="47" t="s">
        <v>739</v>
      </c>
      <c r="F9" s="135">
        <v>35751</v>
      </c>
      <c r="G9" s="136" t="s">
        <v>746</v>
      </c>
      <c r="H9" s="131">
        <v>8.4499999999999993</v>
      </c>
      <c r="I9" s="132">
        <v>13</v>
      </c>
      <c r="J9" s="133">
        <v>9.17</v>
      </c>
      <c r="K9" s="134">
        <v>18</v>
      </c>
      <c r="L9" s="53">
        <f t="shared" si="7"/>
        <v>8.8099999999999987</v>
      </c>
      <c r="M9" s="58">
        <f t="shared" si="8"/>
        <v>31</v>
      </c>
      <c r="N9" s="262">
        <v>11</v>
      </c>
      <c r="O9" s="263">
        <v>5</v>
      </c>
      <c r="P9" s="228">
        <f t="shared" si="9"/>
        <v>8</v>
      </c>
      <c r="Q9" s="229">
        <f t="shared" si="10"/>
        <v>0</v>
      </c>
      <c r="R9" s="262">
        <v>12.5</v>
      </c>
      <c r="S9" s="263">
        <v>6.5</v>
      </c>
      <c r="T9" s="228">
        <f t="shared" si="11"/>
        <v>9.5</v>
      </c>
      <c r="U9" s="229">
        <f t="shared" si="12"/>
        <v>0</v>
      </c>
      <c r="V9" s="262">
        <v>11.75</v>
      </c>
      <c r="W9" s="263">
        <v>8.5</v>
      </c>
      <c r="X9" s="228">
        <f t="shared" si="13"/>
        <v>10.125</v>
      </c>
      <c r="Y9" s="229">
        <f t="shared" si="14"/>
        <v>6</v>
      </c>
      <c r="Z9" s="232">
        <f t="shared" si="15"/>
        <v>9.2083333333333339</v>
      </c>
      <c r="AA9" s="233">
        <f t="shared" si="16"/>
        <v>6</v>
      </c>
      <c r="AB9" s="263">
        <v>15</v>
      </c>
      <c r="AC9" s="234">
        <f t="shared" si="17"/>
        <v>15</v>
      </c>
      <c r="AD9" s="235">
        <f t="shared" si="18"/>
        <v>1</v>
      </c>
      <c r="AE9" s="262">
        <v>7</v>
      </c>
      <c r="AF9" s="263">
        <v>7</v>
      </c>
      <c r="AG9" s="228">
        <f t="shared" si="19"/>
        <v>7</v>
      </c>
      <c r="AH9" s="229">
        <f t="shared" si="20"/>
        <v>0</v>
      </c>
      <c r="AI9" s="262">
        <v>10</v>
      </c>
      <c r="AJ9" s="263">
        <v>2.5</v>
      </c>
      <c r="AK9" s="228">
        <f t="shared" si="21"/>
        <v>6.25</v>
      </c>
      <c r="AL9" s="229">
        <f t="shared" si="22"/>
        <v>0</v>
      </c>
      <c r="AM9" s="236">
        <f t="shared" si="23"/>
        <v>8.3000000000000007</v>
      </c>
      <c r="AN9" s="237">
        <f t="shared" si="24"/>
        <v>1</v>
      </c>
      <c r="AO9" s="262">
        <v>10.5</v>
      </c>
      <c r="AP9" s="263">
        <v>6</v>
      </c>
      <c r="AQ9" s="228">
        <f t="shared" si="25"/>
        <v>8.25</v>
      </c>
      <c r="AR9" s="229">
        <f t="shared" si="26"/>
        <v>0</v>
      </c>
      <c r="AS9" s="263">
        <v>2</v>
      </c>
      <c r="AT9" s="234">
        <f t="shared" si="27"/>
        <v>2</v>
      </c>
      <c r="AU9" s="238">
        <f t="shared" si="28"/>
        <v>0</v>
      </c>
      <c r="AV9" s="236">
        <f t="shared" si="29"/>
        <v>5.125</v>
      </c>
      <c r="AW9" s="237">
        <f t="shared" si="30"/>
        <v>0</v>
      </c>
      <c r="AX9" s="263">
        <v>11</v>
      </c>
      <c r="AY9" s="263">
        <v>5.5</v>
      </c>
      <c r="AZ9" s="228">
        <f t="shared" si="31"/>
        <v>8.25</v>
      </c>
      <c r="BA9" s="229">
        <f t="shared" si="32"/>
        <v>0</v>
      </c>
      <c r="BB9" s="236">
        <f t="shared" si="33"/>
        <v>8.25</v>
      </c>
      <c r="BC9" s="237">
        <f t="shared" si="34"/>
        <v>0</v>
      </c>
      <c r="BD9" s="239">
        <f t="shared" si="35"/>
        <v>8.2321428571428577</v>
      </c>
      <c r="BE9" s="240">
        <f t="shared" si="36"/>
        <v>7</v>
      </c>
      <c r="BF9" s="263"/>
      <c r="BG9" s="263"/>
      <c r="BH9" s="264">
        <f t="shared" si="37"/>
        <v>0</v>
      </c>
      <c r="BI9" s="265">
        <f t="shared" si="38"/>
        <v>0</v>
      </c>
      <c r="BJ9" s="263"/>
      <c r="BK9" s="263"/>
      <c r="BL9" s="264">
        <f t="shared" si="39"/>
        <v>0</v>
      </c>
      <c r="BM9" s="265">
        <f t="shared" si="40"/>
        <v>0</v>
      </c>
      <c r="BN9" s="263"/>
      <c r="BO9" s="263"/>
      <c r="BP9" s="264">
        <f t="shared" si="41"/>
        <v>0</v>
      </c>
      <c r="BQ9" s="265">
        <f t="shared" si="42"/>
        <v>0</v>
      </c>
      <c r="BR9" s="266">
        <f t="shared" si="43"/>
        <v>0</v>
      </c>
      <c r="BS9" s="267">
        <f t="shared" si="44"/>
        <v>0</v>
      </c>
      <c r="BT9" s="263"/>
      <c r="BU9" s="263"/>
      <c r="BV9" s="264">
        <f t="shared" si="45"/>
        <v>0</v>
      </c>
      <c r="BW9" s="265">
        <f t="shared" si="46"/>
        <v>0</v>
      </c>
      <c r="BX9" s="263"/>
      <c r="BY9" s="263"/>
      <c r="BZ9" s="264">
        <f t="shared" si="47"/>
        <v>0</v>
      </c>
      <c r="CA9" s="265">
        <f t="shared" si="48"/>
        <v>0</v>
      </c>
      <c r="CB9" s="268">
        <f t="shared" si="49"/>
        <v>0</v>
      </c>
      <c r="CC9" s="267">
        <f t="shared" si="50"/>
        <v>0</v>
      </c>
      <c r="CD9" s="263"/>
      <c r="CE9" s="263"/>
      <c r="CF9" s="264">
        <f t="shared" si="51"/>
        <v>0</v>
      </c>
      <c r="CG9" s="265">
        <f t="shared" si="52"/>
        <v>0</v>
      </c>
      <c r="CH9" s="268">
        <f t="shared" si="53"/>
        <v>0</v>
      </c>
      <c r="CI9" s="267">
        <f t="shared" si="54"/>
        <v>0</v>
      </c>
      <c r="CJ9" s="263"/>
      <c r="CK9" s="269">
        <f t="shared" si="55"/>
        <v>0</v>
      </c>
      <c r="CL9" s="270">
        <f t="shared" si="56"/>
        <v>0</v>
      </c>
      <c r="CM9" s="268">
        <f t="shared" si="57"/>
        <v>0</v>
      </c>
      <c r="CN9" s="267">
        <f t="shared" si="58"/>
        <v>0</v>
      </c>
      <c r="CO9" s="65">
        <f t="shared" si="59"/>
        <v>0</v>
      </c>
      <c r="CP9" s="66">
        <f t="shared" si="60"/>
        <v>0</v>
      </c>
      <c r="CQ9" s="31">
        <f t="shared" si="61"/>
        <v>8.2321428571428577</v>
      </c>
      <c r="CR9" s="32">
        <f t="shared" si="62"/>
        <v>7</v>
      </c>
      <c r="CS9" s="33">
        <f t="shared" si="63"/>
        <v>0</v>
      </c>
      <c r="CT9" s="34">
        <f t="shared" si="64"/>
        <v>0</v>
      </c>
      <c r="CU9" s="67">
        <f t="shared" si="65"/>
        <v>4.1160714285714288</v>
      </c>
      <c r="CV9" s="35">
        <f t="shared" si="66"/>
        <v>7</v>
      </c>
      <c r="CW9" s="59">
        <f t="shared" si="67"/>
        <v>38</v>
      </c>
      <c r="CX9" s="43" t="str">
        <f t="shared" si="68"/>
        <v>مؤجل(ة)</v>
      </c>
      <c r="CY9" s="44"/>
      <c r="CZ9" s="50"/>
      <c r="DA9" s="46"/>
    </row>
    <row r="10" spans="2:105" ht="27.75" customHeight="1" thickBot="1">
      <c r="B10" s="1">
        <f t="shared" si="69"/>
        <v>5</v>
      </c>
      <c r="C10" s="324" t="s">
        <v>526</v>
      </c>
      <c r="D10" s="249" t="s">
        <v>527</v>
      </c>
      <c r="E10" s="47" t="s">
        <v>740</v>
      </c>
      <c r="F10" s="276">
        <v>35903</v>
      </c>
      <c r="G10" s="136" t="s">
        <v>746</v>
      </c>
      <c r="H10" s="131">
        <v>8.7799999999999994</v>
      </c>
      <c r="I10" s="132">
        <v>17</v>
      </c>
      <c r="J10" s="133">
        <v>9.17</v>
      </c>
      <c r="K10" s="134">
        <v>15</v>
      </c>
      <c r="L10" s="53">
        <f t="shared" si="7"/>
        <v>8.9749999999999996</v>
      </c>
      <c r="M10" s="58">
        <f t="shared" si="8"/>
        <v>32</v>
      </c>
      <c r="N10" s="262">
        <v>17</v>
      </c>
      <c r="O10" s="263">
        <v>13</v>
      </c>
      <c r="P10" s="228">
        <f t="shared" si="9"/>
        <v>15</v>
      </c>
      <c r="Q10" s="229">
        <f t="shared" si="10"/>
        <v>5</v>
      </c>
      <c r="R10" s="262">
        <v>13.5</v>
      </c>
      <c r="S10" s="263">
        <v>7.5</v>
      </c>
      <c r="T10" s="228">
        <f t="shared" si="11"/>
        <v>10.5</v>
      </c>
      <c r="U10" s="229">
        <f t="shared" si="12"/>
        <v>6</v>
      </c>
      <c r="V10" s="262">
        <v>15</v>
      </c>
      <c r="W10" s="263">
        <v>6.75</v>
      </c>
      <c r="X10" s="228">
        <f t="shared" si="13"/>
        <v>10.875</v>
      </c>
      <c r="Y10" s="229">
        <f t="shared" si="14"/>
        <v>6</v>
      </c>
      <c r="Z10" s="232">
        <f t="shared" si="15"/>
        <v>12.125</v>
      </c>
      <c r="AA10" s="233">
        <f t="shared" si="16"/>
        <v>17</v>
      </c>
      <c r="AB10" s="263">
        <v>11.5</v>
      </c>
      <c r="AC10" s="234">
        <f t="shared" si="17"/>
        <v>11.5</v>
      </c>
      <c r="AD10" s="235">
        <f t="shared" si="18"/>
        <v>1</v>
      </c>
      <c r="AE10" s="262">
        <v>4.5</v>
      </c>
      <c r="AF10" s="263">
        <v>4.5</v>
      </c>
      <c r="AG10" s="228">
        <f t="shared" si="19"/>
        <v>4.5</v>
      </c>
      <c r="AH10" s="229">
        <f t="shared" si="20"/>
        <v>0</v>
      </c>
      <c r="AI10" s="262">
        <v>11</v>
      </c>
      <c r="AJ10" s="263">
        <v>4</v>
      </c>
      <c r="AK10" s="228">
        <f t="shared" si="21"/>
        <v>7.5</v>
      </c>
      <c r="AL10" s="229">
        <f t="shared" si="22"/>
        <v>0</v>
      </c>
      <c r="AM10" s="236">
        <f t="shared" si="23"/>
        <v>7.1</v>
      </c>
      <c r="AN10" s="237">
        <f t="shared" si="24"/>
        <v>1</v>
      </c>
      <c r="AO10" s="262">
        <v>10</v>
      </c>
      <c r="AP10" s="263">
        <v>1</v>
      </c>
      <c r="AQ10" s="228">
        <f t="shared" si="25"/>
        <v>5.5</v>
      </c>
      <c r="AR10" s="229">
        <f t="shared" si="26"/>
        <v>0</v>
      </c>
      <c r="AS10" s="263">
        <v>13</v>
      </c>
      <c r="AT10" s="234">
        <f t="shared" si="27"/>
        <v>13</v>
      </c>
      <c r="AU10" s="238">
        <f t="shared" si="28"/>
        <v>1</v>
      </c>
      <c r="AV10" s="236">
        <f t="shared" si="29"/>
        <v>9.25</v>
      </c>
      <c r="AW10" s="237">
        <f t="shared" si="30"/>
        <v>1</v>
      </c>
      <c r="AX10" s="263">
        <v>11</v>
      </c>
      <c r="AY10" s="263">
        <v>10.5</v>
      </c>
      <c r="AZ10" s="228">
        <f t="shared" si="31"/>
        <v>10.75</v>
      </c>
      <c r="BA10" s="229">
        <f t="shared" si="32"/>
        <v>1</v>
      </c>
      <c r="BB10" s="236">
        <f t="shared" si="33"/>
        <v>10.75</v>
      </c>
      <c r="BC10" s="237">
        <f t="shared" si="34"/>
        <v>1</v>
      </c>
      <c r="BD10" s="239">
        <f t="shared" si="35"/>
        <v>9.8214285714285712</v>
      </c>
      <c r="BE10" s="240">
        <f t="shared" si="36"/>
        <v>20</v>
      </c>
      <c r="BF10" s="263"/>
      <c r="BG10" s="263"/>
      <c r="BH10" s="264">
        <f t="shared" si="37"/>
        <v>0</v>
      </c>
      <c r="BI10" s="265">
        <f t="shared" si="38"/>
        <v>0</v>
      </c>
      <c r="BJ10" s="263"/>
      <c r="BK10" s="263"/>
      <c r="BL10" s="264">
        <f t="shared" si="39"/>
        <v>0</v>
      </c>
      <c r="BM10" s="265">
        <f t="shared" si="40"/>
        <v>0</v>
      </c>
      <c r="BN10" s="263"/>
      <c r="BO10" s="263"/>
      <c r="BP10" s="264">
        <f t="shared" si="41"/>
        <v>0</v>
      </c>
      <c r="BQ10" s="265">
        <f t="shared" si="42"/>
        <v>0</v>
      </c>
      <c r="BR10" s="266">
        <f t="shared" si="43"/>
        <v>0</v>
      </c>
      <c r="BS10" s="267">
        <f t="shared" si="44"/>
        <v>0</v>
      </c>
      <c r="BT10" s="263"/>
      <c r="BU10" s="263"/>
      <c r="BV10" s="264">
        <f t="shared" si="45"/>
        <v>0</v>
      </c>
      <c r="BW10" s="265">
        <f t="shared" si="46"/>
        <v>0</v>
      </c>
      <c r="BX10" s="263"/>
      <c r="BY10" s="263"/>
      <c r="BZ10" s="264">
        <f t="shared" si="47"/>
        <v>0</v>
      </c>
      <c r="CA10" s="265">
        <f t="shared" si="48"/>
        <v>0</v>
      </c>
      <c r="CB10" s="268">
        <f t="shared" si="49"/>
        <v>0</v>
      </c>
      <c r="CC10" s="267">
        <f t="shared" si="50"/>
        <v>0</v>
      </c>
      <c r="CD10" s="263"/>
      <c r="CE10" s="263"/>
      <c r="CF10" s="264">
        <f t="shared" si="51"/>
        <v>0</v>
      </c>
      <c r="CG10" s="265">
        <f t="shared" si="52"/>
        <v>0</v>
      </c>
      <c r="CH10" s="268">
        <f t="shared" si="53"/>
        <v>0</v>
      </c>
      <c r="CI10" s="267">
        <f t="shared" si="54"/>
        <v>0</v>
      </c>
      <c r="CJ10" s="263"/>
      <c r="CK10" s="269">
        <f t="shared" si="55"/>
        <v>0</v>
      </c>
      <c r="CL10" s="270">
        <f t="shared" si="56"/>
        <v>0</v>
      </c>
      <c r="CM10" s="268">
        <f t="shared" si="57"/>
        <v>0</v>
      </c>
      <c r="CN10" s="267">
        <f t="shared" si="58"/>
        <v>0</v>
      </c>
      <c r="CO10" s="65">
        <f t="shared" si="59"/>
        <v>0</v>
      </c>
      <c r="CP10" s="66">
        <f t="shared" si="60"/>
        <v>0</v>
      </c>
      <c r="CQ10" s="31">
        <f t="shared" si="61"/>
        <v>9.8214285714285712</v>
      </c>
      <c r="CR10" s="32">
        <f t="shared" si="62"/>
        <v>20</v>
      </c>
      <c r="CS10" s="33">
        <f t="shared" si="63"/>
        <v>0</v>
      </c>
      <c r="CT10" s="34">
        <f t="shared" si="64"/>
        <v>0</v>
      </c>
      <c r="CU10" s="67">
        <f t="shared" si="65"/>
        <v>4.9107142857142856</v>
      </c>
      <c r="CV10" s="35">
        <f t="shared" si="66"/>
        <v>20</v>
      </c>
      <c r="CW10" s="59">
        <f t="shared" si="67"/>
        <v>52</v>
      </c>
      <c r="CX10" s="43" t="str">
        <f t="shared" si="68"/>
        <v>مؤجل(ة)</v>
      </c>
      <c r="CY10" s="44"/>
      <c r="CZ10" s="50"/>
      <c r="DA10" s="46"/>
    </row>
    <row r="11" spans="2:105" ht="27.75" customHeight="1" thickBot="1">
      <c r="B11" s="1">
        <f t="shared" si="69"/>
        <v>6</v>
      </c>
      <c r="C11" s="324" t="s">
        <v>178</v>
      </c>
      <c r="D11" s="249" t="s">
        <v>179</v>
      </c>
      <c r="E11" s="47" t="s">
        <v>359</v>
      </c>
      <c r="F11" s="276">
        <v>34479</v>
      </c>
      <c r="G11" s="136" t="s">
        <v>746</v>
      </c>
      <c r="H11" s="131">
        <v>6.82</v>
      </c>
      <c r="I11" s="132">
        <v>15</v>
      </c>
      <c r="J11" s="133">
        <v>4</v>
      </c>
      <c r="K11" s="134">
        <v>16</v>
      </c>
      <c r="L11" s="53">
        <f t="shared" si="7"/>
        <v>5.41</v>
      </c>
      <c r="M11" s="58">
        <f t="shared" si="8"/>
        <v>31</v>
      </c>
      <c r="N11" s="262">
        <v>10</v>
      </c>
      <c r="O11" s="263">
        <v>10</v>
      </c>
      <c r="P11" s="228">
        <f t="shared" si="9"/>
        <v>10</v>
      </c>
      <c r="Q11" s="229">
        <f t="shared" si="10"/>
        <v>5</v>
      </c>
      <c r="R11" s="262">
        <v>10</v>
      </c>
      <c r="S11" s="263">
        <v>10</v>
      </c>
      <c r="T11" s="228">
        <f t="shared" si="11"/>
        <v>10</v>
      </c>
      <c r="U11" s="229">
        <f t="shared" si="12"/>
        <v>6</v>
      </c>
      <c r="V11" s="262">
        <v>10</v>
      </c>
      <c r="W11" s="263">
        <v>10</v>
      </c>
      <c r="X11" s="228">
        <f t="shared" si="13"/>
        <v>10</v>
      </c>
      <c r="Y11" s="229">
        <f t="shared" si="14"/>
        <v>6</v>
      </c>
      <c r="Z11" s="232">
        <f t="shared" si="15"/>
        <v>10</v>
      </c>
      <c r="AA11" s="233">
        <f t="shared" si="16"/>
        <v>17</v>
      </c>
      <c r="AB11" s="263">
        <v>10</v>
      </c>
      <c r="AC11" s="234">
        <f t="shared" si="17"/>
        <v>10</v>
      </c>
      <c r="AD11" s="235">
        <f t="shared" si="18"/>
        <v>1</v>
      </c>
      <c r="AE11" s="262">
        <v>11.5</v>
      </c>
      <c r="AF11" s="263">
        <v>11.5</v>
      </c>
      <c r="AG11" s="228">
        <f t="shared" si="19"/>
        <v>11.5</v>
      </c>
      <c r="AH11" s="229">
        <f t="shared" si="20"/>
        <v>3</v>
      </c>
      <c r="AI11" s="262">
        <v>10.130000000000001</v>
      </c>
      <c r="AJ11" s="263">
        <v>10.130000000000001</v>
      </c>
      <c r="AK11" s="228">
        <f t="shared" si="21"/>
        <v>10.130000000000001</v>
      </c>
      <c r="AL11" s="229">
        <f t="shared" si="22"/>
        <v>3</v>
      </c>
      <c r="AM11" s="236">
        <f t="shared" si="23"/>
        <v>10.652000000000001</v>
      </c>
      <c r="AN11" s="237">
        <f t="shared" si="24"/>
        <v>7</v>
      </c>
      <c r="AO11" s="262">
        <v>7.63</v>
      </c>
      <c r="AP11" s="263">
        <v>7.63</v>
      </c>
      <c r="AQ11" s="228">
        <f t="shared" si="25"/>
        <v>7.63</v>
      </c>
      <c r="AR11" s="229">
        <f t="shared" si="26"/>
        <v>0</v>
      </c>
      <c r="AS11" s="263">
        <v>10</v>
      </c>
      <c r="AT11" s="234">
        <f t="shared" si="27"/>
        <v>10</v>
      </c>
      <c r="AU11" s="238">
        <f t="shared" si="28"/>
        <v>1</v>
      </c>
      <c r="AV11" s="236">
        <f t="shared" si="29"/>
        <v>8.8149999999999995</v>
      </c>
      <c r="AW11" s="237">
        <f t="shared" si="30"/>
        <v>1</v>
      </c>
      <c r="AX11" s="263">
        <v>9.25</v>
      </c>
      <c r="AY11" s="263">
        <v>9.25</v>
      </c>
      <c r="AZ11" s="228">
        <f t="shared" si="31"/>
        <v>9.25</v>
      </c>
      <c r="BA11" s="229">
        <f t="shared" si="32"/>
        <v>0</v>
      </c>
      <c r="BB11" s="236">
        <f t="shared" si="33"/>
        <v>9.25</v>
      </c>
      <c r="BC11" s="237">
        <f t="shared" si="34"/>
        <v>0</v>
      </c>
      <c r="BD11" s="239">
        <f t="shared" si="35"/>
        <v>10.01</v>
      </c>
      <c r="BE11" s="240">
        <f t="shared" si="36"/>
        <v>30</v>
      </c>
      <c r="BF11" s="263"/>
      <c r="BG11" s="263"/>
      <c r="BH11" s="264">
        <f t="shared" si="37"/>
        <v>0</v>
      </c>
      <c r="BI11" s="265">
        <f t="shared" si="38"/>
        <v>0</v>
      </c>
      <c r="BJ11" s="263"/>
      <c r="BK11" s="263"/>
      <c r="BL11" s="264">
        <f t="shared" si="39"/>
        <v>0</v>
      </c>
      <c r="BM11" s="265">
        <f t="shared" si="40"/>
        <v>0</v>
      </c>
      <c r="BN11" s="263"/>
      <c r="BO11" s="263"/>
      <c r="BP11" s="264">
        <f t="shared" si="41"/>
        <v>0</v>
      </c>
      <c r="BQ11" s="265">
        <f t="shared" si="42"/>
        <v>0</v>
      </c>
      <c r="BR11" s="266">
        <f t="shared" si="43"/>
        <v>0</v>
      </c>
      <c r="BS11" s="267">
        <f t="shared" si="44"/>
        <v>0</v>
      </c>
      <c r="BT11" s="263"/>
      <c r="BU11" s="263"/>
      <c r="BV11" s="264">
        <f t="shared" si="45"/>
        <v>0</v>
      </c>
      <c r="BW11" s="265">
        <f t="shared" si="46"/>
        <v>0</v>
      </c>
      <c r="BX11" s="263"/>
      <c r="BY11" s="263"/>
      <c r="BZ11" s="264">
        <f t="shared" si="47"/>
        <v>0</v>
      </c>
      <c r="CA11" s="265">
        <f t="shared" si="48"/>
        <v>0</v>
      </c>
      <c r="CB11" s="268">
        <f t="shared" si="49"/>
        <v>0</v>
      </c>
      <c r="CC11" s="267">
        <f t="shared" si="50"/>
        <v>0</v>
      </c>
      <c r="CD11" s="263"/>
      <c r="CE11" s="263"/>
      <c r="CF11" s="264">
        <f t="shared" si="51"/>
        <v>0</v>
      </c>
      <c r="CG11" s="265">
        <f t="shared" si="52"/>
        <v>0</v>
      </c>
      <c r="CH11" s="268">
        <f t="shared" si="53"/>
        <v>0</v>
      </c>
      <c r="CI11" s="267">
        <f t="shared" si="54"/>
        <v>0</v>
      </c>
      <c r="CJ11" s="263"/>
      <c r="CK11" s="269">
        <f t="shared" si="55"/>
        <v>0</v>
      </c>
      <c r="CL11" s="270">
        <f t="shared" si="56"/>
        <v>0</v>
      </c>
      <c r="CM11" s="268">
        <f t="shared" si="57"/>
        <v>0</v>
      </c>
      <c r="CN11" s="267">
        <f t="shared" si="58"/>
        <v>0</v>
      </c>
      <c r="CO11" s="65">
        <f t="shared" si="59"/>
        <v>0</v>
      </c>
      <c r="CP11" s="66">
        <f t="shared" si="60"/>
        <v>0</v>
      </c>
      <c r="CQ11" s="31">
        <f t="shared" si="61"/>
        <v>10.01</v>
      </c>
      <c r="CR11" s="32">
        <f t="shared" si="62"/>
        <v>30</v>
      </c>
      <c r="CS11" s="33">
        <f t="shared" si="63"/>
        <v>0</v>
      </c>
      <c r="CT11" s="34">
        <f t="shared" si="64"/>
        <v>0</v>
      </c>
      <c r="CU11" s="67">
        <f t="shared" si="65"/>
        <v>5.0049999999999999</v>
      </c>
      <c r="CV11" s="35">
        <f t="shared" si="66"/>
        <v>30</v>
      </c>
      <c r="CW11" s="59">
        <f t="shared" si="67"/>
        <v>61</v>
      </c>
      <c r="CX11" s="43" t="str">
        <f t="shared" si="68"/>
        <v>مؤجل(ة)</v>
      </c>
      <c r="CY11" s="44"/>
      <c r="CZ11" s="50"/>
      <c r="DA11" s="46"/>
    </row>
    <row r="12" spans="2:105" ht="27.75" customHeight="1" thickBot="1">
      <c r="B12" s="1">
        <f t="shared" si="69"/>
        <v>7</v>
      </c>
      <c r="C12" s="324" t="s">
        <v>120</v>
      </c>
      <c r="D12" s="249" t="s">
        <v>528</v>
      </c>
      <c r="E12" s="47" t="s">
        <v>386</v>
      </c>
      <c r="F12" s="135">
        <v>34490</v>
      </c>
      <c r="G12" s="136" t="s">
        <v>746</v>
      </c>
      <c r="H12" s="131"/>
      <c r="I12" s="132">
        <v>8</v>
      </c>
      <c r="J12" s="133"/>
      <c r="K12" s="134">
        <v>8</v>
      </c>
      <c r="L12" s="53">
        <f t="shared" si="7"/>
        <v>0</v>
      </c>
      <c r="M12" s="58">
        <f t="shared" si="8"/>
        <v>16</v>
      </c>
      <c r="N12" s="262">
        <v>10</v>
      </c>
      <c r="O12" s="263">
        <v>10</v>
      </c>
      <c r="P12" s="228">
        <f t="shared" si="9"/>
        <v>10</v>
      </c>
      <c r="Q12" s="229">
        <f t="shared" si="10"/>
        <v>5</v>
      </c>
      <c r="R12" s="262">
        <v>11</v>
      </c>
      <c r="S12" s="263"/>
      <c r="T12" s="228">
        <f t="shared" si="11"/>
        <v>5.5</v>
      </c>
      <c r="U12" s="229">
        <f t="shared" si="12"/>
        <v>0</v>
      </c>
      <c r="V12" s="262">
        <v>10</v>
      </c>
      <c r="W12" s="263">
        <v>10</v>
      </c>
      <c r="X12" s="228">
        <f t="shared" si="13"/>
        <v>10</v>
      </c>
      <c r="Y12" s="229">
        <f t="shared" si="14"/>
        <v>6</v>
      </c>
      <c r="Z12" s="232">
        <f t="shared" si="15"/>
        <v>8.5</v>
      </c>
      <c r="AA12" s="233">
        <f t="shared" si="16"/>
        <v>11</v>
      </c>
      <c r="AB12" s="263">
        <v>5.5</v>
      </c>
      <c r="AC12" s="234">
        <f t="shared" si="17"/>
        <v>5.5</v>
      </c>
      <c r="AD12" s="235">
        <f t="shared" si="18"/>
        <v>0</v>
      </c>
      <c r="AE12" s="262">
        <v>0</v>
      </c>
      <c r="AF12" s="263">
        <v>0</v>
      </c>
      <c r="AG12" s="228">
        <f t="shared" si="19"/>
        <v>0</v>
      </c>
      <c r="AH12" s="229">
        <f t="shared" si="20"/>
        <v>0</v>
      </c>
      <c r="AI12" s="262">
        <v>5</v>
      </c>
      <c r="AJ12" s="263">
        <v>0</v>
      </c>
      <c r="AK12" s="228">
        <f t="shared" si="21"/>
        <v>2.5</v>
      </c>
      <c r="AL12" s="229">
        <f t="shared" si="22"/>
        <v>0</v>
      </c>
      <c r="AM12" s="236">
        <f t="shared" si="23"/>
        <v>2.1</v>
      </c>
      <c r="AN12" s="237">
        <f t="shared" si="24"/>
        <v>0</v>
      </c>
      <c r="AO12" s="262"/>
      <c r="AP12" s="263"/>
      <c r="AQ12" s="228">
        <f t="shared" si="25"/>
        <v>0</v>
      </c>
      <c r="AR12" s="229">
        <f t="shared" si="26"/>
        <v>0</v>
      </c>
      <c r="AS12" s="263">
        <v>10</v>
      </c>
      <c r="AT12" s="234">
        <f t="shared" si="27"/>
        <v>10</v>
      </c>
      <c r="AU12" s="238">
        <f t="shared" si="28"/>
        <v>1</v>
      </c>
      <c r="AV12" s="236">
        <f t="shared" si="29"/>
        <v>5</v>
      </c>
      <c r="AW12" s="237">
        <f t="shared" si="30"/>
        <v>1</v>
      </c>
      <c r="AX12" s="263">
        <v>11.13</v>
      </c>
      <c r="AY12" s="263">
        <v>11.13</v>
      </c>
      <c r="AZ12" s="228">
        <f t="shared" si="31"/>
        <v>11.13</v>
      </c>
      <c r="BA12" s="229">
        <f t="shared" si="32"/>
        <v>1</v>
      </c>
      <c r="BB12" s="236">
        <f t="shared" si="33"/>
        <v>11.13</v>
      </c>
      <c r="BC12" s="237">
        <f t="shared" si="34"/>
        <v>1</v>
      </c>
      <c r="BD12" s="239">
        <f t="shared" si="35"/>
        <v>5.9021428571428567</v>
      </c>
      <c r="BE12" s="240">
        <f t="shared" si="36"/>
        <v>13</v>
      </c>
      <c r="BF12" s="263"/>
      <c r="BG12" s="263"/>
      <c r="BH12" s="264">
        <f t="shared" si="37"/>
        <v>0</v>
      </c>
      <c r="BI12" s="265">
        <f t="shared" si="38"/>
        <v>0</v>
      </c>
      <c r="BJ12" s="263"/>
      <c r="BK12" s="263"/>
      <c r="BL12" s="264">
        <f t="shared" si="39"/>
        <v>0</v>
      </c>
      <c r="BM12" s="265">
        <f t="shared" si="40"/>
        <v>0</v>
      </c>
      <c r="BN12" s="263"/>
      <c r="BO12" s="263"/>
      <c r="BP12" s="264">
        <f t="shared" si="41"/>
        <v>0</v>
      </c>
      <c r="BQ12" s="265">
        <f t="shared" si="42"/>
        <v>0</v>
      </c>
      <c r="BR12" s="266">
        <f t="shared" si="43"/>
        <v>0</v>
      </c>
      <c r="BS12" s="267">
        <f t="shared" si="44"/>
        <v>0</v>
      </c>
      <c r="BT12" s="263"/>
      <c r="BU12" s="263"/>
      <c r="BV12" s="264">
        <f t="shared" si="45"/>
        <v>0</v>
      </c>
      <c r="BW12" s="265">
        <f t="shared" si="46"/>
        <v>0</v>
      </c>
      <c r="BX12" s="263"/>
      <c r="BY12" s="263"/>
      <c r="BZ12" s="264">
        <f t="shared" si="47"/>
        <v>0</v>
      </c>
      <c r="CA12" s="265">
        <f t="shared" si="48"/>
        <v>0</v>
      </c>
      <c r="CB12" s="268">
        <f t="shared" si="49"/>
        <v>0</v>
      </c>
      <c r="CC12" s="267">
        <f t="shared" si="50"/>
        <v>0</v>
      </c>
      <c r="CD12" s="263"/>
      <c r="CE12" s="263"/>
      <c r="CF12" s="264">
        <f t="shared" si="51"/>
        <v>0</v>
      </c>
      <c r="CG12" s="265">
        <f t="shared" si="52"/>
        <v>0</v>
      </c>
      <c r="CH12" s="268">
        <f t="shared" si="53"/>
        <v>0</v>
      </c>
      <c r="CI12" s="267">
        <f t="shared" si="54"/>
        <v>0</v>
      </c>
      <c r="CJ12" s="263"/>
      <c r="CK12" s="269">
        <f t="shared" si="55"/>
        <v>0</v>
      </c>
      <c r="CL12" s="270">
        <f t="shared" si="56"/>
        <v>0</v>
      </c>
      <c r="CM12" s="268">
        <f t="shared" si="57"/>
        <v>0</v>
      </c>
      <c r="CN12" s="267">
        <f t="shared" si="58"/>
        <v>0</v>
      </c>
      <c r="CO12" s="65">
        <f t="shared" si="59"/>
        <v>0</v>
      </c>
      <c r="CP12" s="66">
        <f t="shared" si="60"/>
        <v>0</v>
      </c>
      <c r="CQ12" s="31">
        <f t="shared" si="61"/>
        <v>5.9021428571428567</v>
      </c>
      <c r="CR12" s="32">
        <f t="shared" si="62"/>
        <v>13</v>
      </c>
      <c r="CS12" s="33">
        <f t="shared" si="63"/>
        <v>0</v>
      </c>
      <c r="CT12" s="34">
        <f t="shared" si="64"/>
        <v>0</v>
      </c>
      <c r="CU12" s="67">
        <f t="shared" si="65"/>
        <v>2.9510714285714283</v>
      </c>
      <c r="CV12" s="35">
        <f t="shared" si="66"/>
        <v>13</v>
      </c>
      <c r="CW12" s="59">
        <f t="shared" si="67"/>
        <v>29</v>
      </c>
      <c r="CX12" s="43" t="str">
        <f t="shared" si="68"/>
        <v>مؤجل(ة)</v>
      </c>
      <c r="CY12" s="44"/>
      <c r="CZ12" s="50"/>
      <c r="DA12" s="46"/>
    </row>
    <row r="13" spans="2:105" ht="27.75" customHeight="1" thickBot="1">
      <c r="B13" s="1">
        <f t="shared" si="69"/>
        <v>8</v>
      </c>
      <c r="C13" s="324" t="s">
        <v>519</v>
      </c>
      <c r="D13" s="249" t="s">
        <v>529</v>
      </c>
      <c r="E13" s="47" t="s">
        <v>741</v>
      </c>
      <c r="F13" s="135">
        <v>35118</v>
      </c>
      <c r="G13" s="136" t="s">
        <v>746</v>
      </c>
      <c r="H13" s="131">
        <v>8.6999999999999993</v>
      </c>
      <c r="I13" s="132">
        <v>17</v>
      </c>
      <c r="J13" s="133">
        <v>9.39</v>
      </c>
      <c r="K13" s="134">
        <v>17</v>
      </c>
      <c r="L13" s="53">
        <f t="shared" si="7"/>
        <v>9.0449999999999999</v>
      </c>
      <c r="M13" s="58">
        <f t="shared" si="8"/>
        <v>34</v>
      </c>
      <c r="N13" s="262">
        <v>12</v>
      </c>
      <c r="O13" s="263">
        <v>7</v>
      </c>
      <c r="P13" s="228">
        <f t="shared" si="9"/>
        <v>9.5</v>
      </c>
      <c r="Q13" s="229">
        <f t="shared" si="10"/>
        <v>0</v>
      </c>
      <c r="R13" s="262">
        <v>13.5</v>
      </c>
      <c r="S13" s="263">
        <v>12.5</v>
      </c>
      <c r="T13" s="228">
        <f t="shared" si="11"/>
        <v>13</v>
      </c>
      <c r="U13" s="229">
        <f t="shared" si="12"/>
        <v>6</v>
      </c>
      <c r="V13" s="262">
        <v>16</v>
      </c>
      <c r="W13" s="263">
        <v>7</v>
      </c>
      <c r="X13" s="228">
        <f t="shared" si="13"/>
        <v>11.5</v>
      </c>
      <c r="Y13" s="229">
        <f t="shared" si="14"/>
        <v>6</v>
      </c>
      <c r="Z13" s="232">
        <f t="shared" si="15"/>
        <v>11.333333333333334</v>
      </c>
      <c r="AA13" s="233">
        <f t="shared" si="16"/>
        <v>17</v>
      </c>
      <c r="AB13" s="263">
        <v>11.5</v>
      </c>
      <c r="AC13" s="234">
        <f t="shared" si="17"/>
        <v>11.5</v>
      </c>
      <c r="AD13" s="235">
        <f t="shared" si="18"/>
        <v>1</v>
      </c>
      <c r="AE13" s="262">
        <v>5.5</v>
      </c>
      <c r="AF13" s="263">
        <v>5.5</v>
      </c>
      <c r="AG13" s="228">
        <f t="shared" si="19"/>
        <v>5.5</v>
      </c>
      <c r="AH13" s="229">
        <f t="shared" si="20"/>
        <v>0</v>
      </c>
      <c r="AI13" s="262">
        <v>8</v>
      </c>
      <c r="AJ13" s="263">
        <v>3</v>
      </c>
      <c r="AK13" s="228">
        <f t="shared" si="21"/>
        <v>5.5</v>
      </c>
      <c r="AL13" s="229">
        <f t="shared" si="22"/>
        <v>0</v>
      </c>
      <c r="AM13" s="236">
        <f t="shared" si="23"/>
        <v>6.7</v>
      </c>
      <c r="AN13" s="237">
        <f t="shared" si="24"/>
        <v>1</v>
      </c>
      <c r="AO13" s="262"/>
      <c r="AP13" s="263">
        <v>4</v>
      </c>
      <c r="AQ13" s="228">
        <f t="shared" si="25"/>
        <v>2</v>
      </c>
      <c r="AR13" s="229">
        <f t="shared" si="26"/>
        <v>0</v>
      </c>
      <c r="AS13" s="263">
        <v>5</v>
      </c>
      <c r="AT13" s="234">
        <f t="shared" si="27"/>
        <v>5</v>
      </c>
      <c r="AU13" s="238">
        <f t="shared" si="28"/>
        <v>0</v>
      </c>
      <c r="AV13" s="236">
        <f t="shared" si="29"/>
        <v>3.5</v>
      </c>
      <c r="AW13" s="237">
        <f t="shared" si="30"/>
        <v>0</v>
      </c>
      <c r="AX13" s="263">
        <v>12</v>
      </c>
      <c r="AY13" s="263">
        <v>6</v>
      </c>
      <c r="AZ13" s="228">
        <f t="shared" si="31"/>
        <v>9</v>
      </c>
      <c r="BA13" s="229">
        <f t="shared" si="32"/>
        <v>0</v>
      </c>
      <c r="BB13" s="236">
        <f t="shared" si="33"/>
        <v>9</v>
      </c>
      <c r="BC13" s="237">
        <f t="shared" si="34"/>
        <v>0</v>
      </c>
      <c r="BD13" s="239">
        <f t="shared" si="35"/>
        <v>8.3928571428571423</v>
      </c>
      <c r="BE13" s="240">
        <f t="shared" si="36"/>
        <v>18</v>
      </c>
      <c r="BF13" s="263"/>
      <c r="BG13" s="263"/>
      <c r="BH13" s="264">
        <f t="shared" si="37"/>
        <v>0</v>
      </c>
      <c r="BI13" s="265">
        <f t="shared" si="38"/>
        <v>0</v>
      </c>
      <c r="BJ13" s="263"/>
      <c r="BK13" s="263"/>
      <c r="BL13" s="264">
        <f t="shared" si="39"/>
        <v>0</v>
      </c>
      <c r="BM13" s="265">
        <f t="shared" si="40"/>
        <v>0</v>
      </c>
      <c r="BN13" s="263"/>
      <c r="BO13" s="263"/>
      <c r="BP13" s="264">
        <f t="shared" si="41"/>
        <v>0</v>
      </c>
      <c r="BQ13" s="265">
        <f t="shared" si="42"/>
        <v>0</v>
      </c>
      <c r="BR13" s="266">
        <f t="shared" si="43"/>
        <v>0</v>
      </c>
      <c r="BS13" s="267">
        <f t="shared" si="44"/>
        <v>0</v>
      </c>
      <c r="BT13" s="263"/>
      <c r="BU13" s="263"/>
      <c r="BV13" s="264">
        <f t="shared" si="45"/>
        <v>0</v>
      </c>
      <c r="BW13" s="265">
        <f t="shared" si="46"/>
        <v>0</v>
      </c>
      <c r="BX13" s="263"/>
      <c r="BY13" s="263"/>
      <c r="BZ13" s="264">
        <f t="shared" si="47"/>
        <v>0</v>
      </c>
      <c r="CA13" s="265">
        <f t="shared" si="48"/>
        <v>0</v>
      </c>
      <c r="CB13" s="268">
        <f t="shared" si="49"/>
        <v>0</v>
      </c>
      <c r="CC13" s="267">
        <f t="shared" si="50"/>
        <v>0</v>
      </c>
      <c r="CD13" s="263"/>
      <c r="CE13" s="263"/>
      <c r="CF13" s="264">
        <f t="shared" si="51"/>
        <v>0</v>
      </c>
      <c r="CG13" s="265">
        <f t="shared" si="52"/>
        <v>0</v>
      </c>
      <c r="CH13" s="268">
        <f t="shared" si="53"/>
        <v>0</v>
      </c>
      <c r="CI13" s="267">
        <f t="shared" si="54"/>
        <v>0</v>
      </c>
      <c r="CJ13" s="263"/>
      <c r="CK13" s="269">
        <f t="shared" si="55"/>
        <v>0</v>
      </c>
      <c r="CL13" s="270">
        <f t="shared" si="56"/>
        <v>0</v>
      </c>
      <c r="CM13" s="268">
        <f t="shared" si="57"/>
        <v>0</v>
      </c>
      <c r="CN13" s="267">
        <f t="shared" si="58"/>
        <v>0</v>
      </c>
      <c r="CO13" s="65">
        <f t="shared" si="59"/>
        <v>0</v>
      </c>
      <c r="CP13" s="66">
        <f t="shared" si="60"/>
        <v>0</v>
      </c>
      <c r="CQ13" s="31">
        <f t="shared" si="61"/>
        <v>8.3928571428571423</v>
      </c>
      <c r="CR13" s="32">
        <f t="shared" si="62"/>
        <v>18</v>
      </c>
      <c r="CS13" s="33">
        <f t="shared" si="63"/>
        <v>0</v>
      </c>
      <c r="CT13" s="34">
        <f t="shared" si="64"/>
        <v>0</v>
      </c>
      <c r="CU13" s="67">
        <f t="shared" si="65"/>
        <v>4.1964285714285712</v>
      </c>
      <c r="CV13" s="35">
        <f t="shared" si="66"/>
        <v>18</v>
      </c>
      <c r="CW13" s="59">
        <f t="shared" si="67"/>
        <v>52</v>
      </c>
      <c r="CX13" s="43" t="str">
        <f t="shared" si="68"/>
        <v>مؤجل(ة)</v>
      </c>
      <c r="CY13" s="44"/>
      <c r="CZ13" s="50"/>
      <c r="DA13" s="46"/>
    </row>
    <row r="14" spans="2:105" ht="27.75" customHeight="1" thickBot="1">
      <c r="B14" s="1">
        <f t="shared" si="69"/>
        <v>9</v>
      </c>
      <c r="C14" s="324" t="s">
        <v>520</v>
      </c>
      <c r="D14" s="249" t="s">
        <v>530</v>
      </c>
      <c r="E14" s="47" t="s">
        <v>433</v>
      </c>
      <c r="F14" s="135">
        <v>34638</v>
      </c>
      <c r="G14" s="136" t="s">
        <v>746</v>
      </c>
      <c r="H14" s="131">
        <v>9.6300000000000008</v>
      </c>
      <c r="I14" s="132">
        <v>21</v>
      </c>
      <c r="J14" s="133">
        <v>9.89</v>
      </c>
      <c r="K14" s="134">
        <v>18</v>
      </c>
      <c r="L14" s="53">
        <f t="shared" si="7"/>
        <v>9.7600000000000016</v>
      </c>
      <c r="M14" s="58">
        <f t="shared" si="8"/>
        <v>39</v>
      </c>
      <c r="N14" s="262">
        <v>10.5</v>
      </c>
      <c r="O14" s="263">
        <v>10.5</v>
      </c>
      <c r="P14" s="228">
        <f t="shared" si="9"/>
        <v>10.5</v>
      </c>
      <c r="Q14" s="229">
        <f t="shared" si="10"/>
        <v>5</v>
      </c>
      <c r="R14" s="262">
        <v>10</v>
      </c>
      <c r="S14" s="263">
        <v>10</v>
      </c>
      <c r="T14" s="228">
        <f t="shared" si="11"/>
        <v>10</v>
      </c>
      <c r="U14" s="229">
        <f t="shared" si="12"/>
        <v>6</v>
      </c>
      <c r="V14" s="262">
        <v>12</v>
      </c>
      <c r="W14" s="263">
        <v>1.5</v>
      </c>
      <c r="X14" s="228">
        <f t="shared" si="13"/>
        <v>6.75</v>
      </c>
      <c r="Y14" s="229">
        <f t="shared" si="14"/>
        <v>0</v>
      </c>
      <c r="Z14" s="232">
        <f t="shared" si="15"/>
        <v>9.0833333333333339</v>
      </c>
      <c r="AA14" s="233">
        <f t="shared" si="16"/>
        <v>11</v>
      </c>
      <c r="AB14" s="263">
        <v>10</v>
      </c>
      <c r="AC14" s="234">
        <f t="shared" si="17"/>
        <v>10</v>
      </c>
      <c r="AD14" s="235">
        <f t="shared" si="18"/>
        <v>1</v>
      </c>
      <c r="AE14" s="262">
        <v>2.5</v>
      </c>
      <c r="AF14" s="263">
        <v>2.5</v>
      </c>
      <c r="AG14" s="228">
        <f t="shared" si="19"/>
        <v>2.5</v>
      </c>
      <c r="AH14" s="229">
        <f t="shared" si="20"/>
        <v>0</v>
      </c>
      <c r="AI14" s="262">
        <v>7</v>
      </c>
      <c r="AJ14" s="263">
        <v>0</v>
      </c>
      <c r="AK14" s="228">
        <f t="shared" si="21"/>
        <v>3.5</v>
      </c>
      <c r="AL14" s="229">
        <f t="shared" si="22"/>
        <v>0</v>
      </c>
      <c r="AM14" s="236">
        <f t="shared" si="23"/>
        <v>4.4000000000000004</v>
      </c>
      <c r="AN14" s="237">
        <f t="shared" si="24"/>
        <v>1</v>
      </c>
      <c r="AO14" s="262">
        <v>10</v>
      </c>
      <c r="AP14" s="263">
        <v>3</v>
      </c>
      <c r="AQ14" s="228">
        <f t="shared" si="25"/>
        <v>6.5</v>
      </c>
      <c r="AR14" s="229">
        <f t="shared" si="26"/>
        <v>0</v>
      </c>
      <c r="AS14" s="263">
        <v>1</v>
      </c>
      <c r="AT14" s="234">
        <f t="shared" si="27"/>
        <v>1</v>
      </c>
      <c r="AU14" s="238">
        <f t="shared" si="28"/>
        <v>0</v>
      </c>
      <c r="AV14" s="236">
        <f t="shared" si="29"/>
        <v>3.75</v>
      </c>
      <c r="AW14" s="237">
        <f t="shared" si="30"/>
        <v>0</v>
      </c>
      <c r="AX14" s="263">
        <v>11.63</v>
      </c>
      <c r="AY14" s="263">
        <v>11.63</v>
      </c>
      <c r="AZ14" s="228">
        <f t="shared" si="31"/>
        <v>11.63</v>
      </c>
      <c r="BA14" s="229">
        <f t="shared" si="32"/>
        <v>1</v>
      </c>
      <c r="BB14" s="236">
        <f t="shared" si="33"/>
        <v>11.63</v>
      </c>
      <c r="BC14" s="237">
        <f t="shared" si="34"/>
        <v>1</v>
      </c>
      <c r="BD14" s="239">
        <f t="shared" si="35"/>
        <v>6.8307142857142855</v>
      </c>
      <c r="BE14" s="240">
        <f t="shared" si="36"/>
        <v>13</v>
      </c>
      <c r="BF14" s="263"/>
      <c r="BG14" s="263"/>
      <c r="BH14" s="264">
        <f t="shared" si="37"/>
        <v>0</v>
      </c>
      <c r="BI14" s="265">
        <f t="shared" si="38"/>
        <v>0</v>
      </c>
      <c r="BJ14" s="263"/>
      <c r="BK14" s="263"/>
      <c r="BL14" s="264">
        <f t="shared" si="39"/>
        <v>0</v>
      </c>
      <c r="BM14" s="265">
        <f t="shared" si="40"/>
        <v>0</v>
      </c>
      <c r="BN14" s="263"/>
      <c r="BO14" s="263"/>
      <c r="BP14" s="264">
        <f t="shared" si="41"/>
        <v>0</v>
      </c>
      <c r="BQ14" s="265">
        <f t="shared" si="42"/>
        <v>0</v>
      </c>
      <c r="BR14" s="266">
        <f t="shared" si="43"/>
        <v>0</v>
      </c>
      <c r="BS14" s="267">
        <f t="shared" si="44"/>
        <v>0</v>
      </c>
      <c r="BT14" s="263"/>
      <c r="BU14" s="263"/>
      <c r="BV14" s="264">
        <f t="shared" si="45"/>
        <v>0</v>
      </c>
      <c r="BW14" s="265">
        <f t="shared" si="46"/>
        <v>0</v>
      </c>
      <c r="BX14" s="263"/>
      <c r="BY14" s="263"/>
      <c r="BZ14" s="264">
        <f t="shared" si="47"/>
        <v>0</v>
      </c>
      <c r="CA14" s="265">
        <f t="shared" si="48"/>
        <v>0</v>
      </c>
      <c r="CB14" s="268">
        <f t="shared" si="49"/>
        <v>0</v>
      </c>
      <c r="CC14" s="267">
        <f t="shared" si="50"/>
        <v>0</v>
      </c>
      <c r="CD14" s="263"/>
      <c r="CE14" s="263"/>
      <c r="CF14" s="264">
        <f t="shared" si="51"/>
        <v>0</v>
      </c>
      <c r="CG14" s="265">
        <f t="shared" si="52"/>
        <v>0</v>
      </c>
      <c r="CH14" s="268">
        <f t="shared" si="53"/>
        <v>0</v>
      </c>
      <c r="CI14" s="267">
        <f t="shared" si="54"/>
        <v>0</v>
      </c>
      <c r="CJ14" s="263"/>
      <c r="CK14" s="269">
        <f t="shared" si="55"/>
        <v>0</v>
      </c>
      <c r="CL14" s="270">
        <f t="shared" si="56"/>
        <v>0</v>
      </c>
      <c r="CM14" s="268">
        <f t="shared" si="57"/>
        <v>0</v>
      </c>
      <c r="CN14" s="267">
        <f t="shared" si="58"/>
        <v>0</v>
      </c>
      <c r="CO14" s="65">
        <f t="shared" si="59"/>
        <v>0</v>
      </c>
      <c r="CP14" s="66">
        <f t="shared" si="60"/>
        <v>0</v>
      </c>
      <c r="CQ14" s="31">
        <f t="shared" si="61"/>
        <v>6.8307142857142855</v>
      </c>
      <c r="CR14" s="32">
        <f t="shared" si="62"/>
        <v>13</v>
      </c>
      <c r="CS14" s="33">
        <f t="shared" si="63"/>
        <v>0</v>
      </c>
      <c r="CT14" s="34">
        <f t="shared" si="64"/>
        <v>0</v>
      </c>
      <c r="CU14" s="67">
        <f t="shared" si="65"/>
        <v>3.4153571428571428</v>
      </c>
      <c r="CV14" s="35">
        <f t="shared" si="66"/>
        <v>13</v>
      </c>
      <c r="CW14" s="59">
        <f t="shared" si="67"/>
        <v>52</v>
      </c>
      <c r="CX14" s="43" t="str">
        <f t="shared" si="68"/>
        <v>مؤجل(ة)</v>
      </c>
      <c r="CY14" s="44"/>
      <c r="CZ14" s="50"/>
      <c r="DA14" s="46"/>
    </row>
    <row r="15" spans="2:105" ht="27.75" customHeight="1" thickBot="1">
      <c r="B15" s="1">
        <f t="shared" si="69"/>
        <v>10</v>
      </c>
      <c r="C15" s="324" t="s">
        <v>126</v>
      </c>
      <c r="D15" s="249" t="s">
        <v>127</v>
      </c>
      <c r="E15" s="47" t="s">
        <v>343</v>
      </c>
      <c r="F15" s="135">
        <v>35352</v>
      </c>
      <c r="G15" s="136" t="s">
        <v>442</v>
      </c>
      <c r="H15" s="131">
        <v>8.7100000000000009</v>
      </c>
      <c r="I15" s="132">
        <v>16</v>
      </c>
      <c r="J15" s="133">
        <v>8.98</v>
      </c>
      <c r="K15" s="134">
        <v>15</v>
      </c>
      <c r="L15" s="53">
        <f t="shared" si="7"/>
        <v>8.8450000000000006</v>
      </c>
      <c r="M15" s="58">
        <f t="shared" si="8"/>
        <v>31</v>
      </c>
      <c r="N15" s="262">
        <v>10</v>
      </c>
      <c r="O15" s="263">
        <v>10</v>
      </c>
      <c r="P15" s="228">
        <f t="shared" si="9"/>
        <v>10</v>
      </c>
      <c r="Q15" s="229">
        <f t="shared" si="10"/>
        <v>5</v>
      </c>
      <c r="R15" s="262">
        <v>10</v>
      </c>
      <c r="S15" s="263">
        <v>3</v>
      </c>
      <c r="T15" s="228">
        <f t="shared" si="11"/>
        <v>6.5</v>
      </c>
      <c r="U15" s="229">
        <f t="shared" si="12"/>
        <v>0</v>
      </c>
      <c r="V15" s="262">
        <v>13</v>
      </c>
      <c r="W15" s="263">
        <v>5.5</v>
      </c>
      <c r="X15" s="228">
        <f t="shared" si="13"/>
        <v>9.25</v>
      </c>
      <c r="Y15" s="229">
        <f t="shared" si="14"/>
        <v>0</v>
      </c>
      <c r="Z15" s="232">
        <f t="shared" si="15"/>
        <v>8.5833333333333339</v>
      </c>
      <c r="AA15" s="233">
        <f t="shared" si="16"/>
        <v>5</v>
      </c>
      <c r="AB15" s="263">
        <v>3.5</v>
      </c>
      <c r="AC15" s="234">
        <f t="shared" si="17"/>
        <v>3.5</v>
      </c>
      <c r="AD15" s="235">
        <f t="shared" si="18"/>
        <v>0</v>
      </c>
      <c r="AE15" s="262">
        <v>3.5</v>
      </c>
      <c r="AF15" s="263">
        <v>3.5</v>
      </c>
      <c r="AG15" s="228">
        <f t="shared" si="19"/>
        <v>3.5</v>
      </c>
      <c r="AH15" s="229">
        <f t="shared" si="20"/>
        <v>0</v>
      </c>
      <c r="AI15" s="262">
        <v>5</v>
      </c>
      <c r="AJ15" s="263">
        <v>0</v>
      </c>
      <c r="AK15" s="228">
        <f t="shared" si="21"/>
        <v>2.5</v>
      </c>
      <c r="AL15" s="229">
        <f t="shared" si="22"/>
        <v>0</v>
      </c>
      <c r="AM15" s="236">
        <f t="shared" si="23"/>
        <v>3.1</v>
      </c>
      <c r="AN15" s="237">
        <f t="shared" si="24"/>
        <v>0</v>
      </c>
      <c r="AO15" s="262"/>
      <c r="AP15" s="263">
        <v>3</v>
      </c>
      <c r="AQ15" s="228">
        <f t="shared" si="25"/>
        <v>1.5</v>
      </c>
      <c r="AR15" s="229">
        <f t="shared" si="26"/>
        <v>0</v>
      </c>
      <c r="AS15" s="263">
        <v>6.5</v>
      </c>
      <c r="AT15" s="234">
        <f t="shared" si="27"/>
        <v>6.5</v>
      </c>
      <c r="AU15" s="238">
        <f t="shared" si="28"/>
        <v>0</v>
      </c>
      <c r="AV15" s="236">
        <f t="shared" si="29"/>
        <v>4</v>
      </c>
      <c r="AW15" s="237">
        <f t="shared" si="30"/>
        <v>0</v>
      </c>
      <c r="AX15" s="263">
        <v>10</v>
      </c>
      <c r="AY15" s="263">
        <v>8</v>
      </c>
      <c r="AZ15" s="228">
        <f t="shared" si="31"/>
        <v>9</v>
      </c>
      <c r="BA15" s="229">
        <f t="shared" si="32"/>
        <v>0</v>
      </c>
      <c r="BB15" s="236">
        <f t="shared" si="33"/>
        <v>9</v>
      </c>
      <c r="BC15" s="237">
        <f t="shared" si="34"/>
        <v>0</v>
      </c>
      <c r="BD15" s="239">
        <f t="shared" si="35"/>
        <v>6</v>
      </c>
      <c r="BE15" s="240">
        <f t="shared" si="36"/>
        <v>5</v>
      </c>
      <c r="BF15" s="263"/>
      <c r="BG15" s="263"/>
      <c r="BH15" s="264">
        <f t="shared" si="37"/>
        <v>0</v>
      </c>
      <c r="BI15" s="265">
        <f t="shared" si="38"/>
        <v>0</v>
      </c>
      <c r="BJ15" s="263"/>
      <c r="BK15" s="263"/>
      <c r="BL15" s="264">
        <f t="shared" si="39"/>
        <v>0</v>
      </c>
      <c r="BM15" s="265">
        <f t="shared" si="40"/>
        <v>0</v>
      </c>
      <c r="BN15" s="263"/>
      <c r="BO15" s="263"/>
      <c r="BP15" s="264">
        <f t="shared" si="41"/>
        <v>0</v>
      </c>
      <c r="BQ15" s="265">
        <f t="shared" si="42"/>
        <v>0</v>
      </c>
      <c r="BR15" s="266">
        <f t="shared" si="43"/>
        <v>0</v>
      </c>
      <c r="BS15" s="267">
        <f t="shared" si="44"/>
        <v>0</v>
      </c>
      <c r="BT15" s="263"/>
      <c r="BU15" s="263"/>
      <c r="BV15" s="264">
        <f t="shared" si="45"/>
        <v>0</v>
      </c>
      <c r="BW15" s="265">
        <f t="shared" si="46"/>
        <v>0</v>
      </c>
      <c r="BX15" s="263"/>
      <c r="BY15" s="263"/>
      <c r="BZ15" s="264">
        <f t="shared" si="47"/>
        <v>0</v>
      </c>
      <c r="CA15" s="265">
        <f t="shared" si="48"/>
        <v>0</v>
      </c>
      <c r="CB15" s="268">
        <f t="shared" si="49"/>
        <v>0</v>
      </c>
      <c r="CC15" s="267">
        <f t="shared" si="50"/>
        <v>0</v>
      </c>
      <c r="CD15" s="263"/>
      <c r="CE15" s="263"/>
      <c r="CF15" s="264">
        <f t="shared" si="51"/>
        <v>0</v>
      </c>
      <c r="CG15" s="265">
        <f t="shared" si="52"/>
        <v>0</v>
      </c>
      <c r="CH15" s="268">
        <f t="shared" si="53"/>
        <v>0</v>
      </c>
      <c r="CI15" s="267">
        <f t="shared" si="54"/>
        <v>0</v>
      </c>
      <c r="CJ15" s="263"/>
      <c r="CK15" s="269">
        <f t="shared" si="55"/>
        <v>0</v>
      </c>
      <c r="CL15" s="270">
        <f t="shared" si="56"/>
        <v>0</v>
      </c>
      <c r="CM15" s="268">
        <f t="shared" si="57"/>
        <v>0</v>
      </c>
      <c r="CN15" s="267">
        <f t="shared" si="58"/>
        <v>0</v>
      </c>
      <c r="CO15" s="65">
        <f t="shared" si="59"/>
        <v>0</v>
      </c>
      <c r="CP15" s="66">
        <f t="shared" si="60"/>
        <v>0</v>
      </c>
      <c r="CQ15" s="31">
        <f t="shared" si="61"/>
        <v>6</v>
      </c>
      <c r="CR15" s="32">
        <f t="shared" si="62"/>
        <v>5</v>
      </c>
      <c r="CS15" s="33">
        <f t="shared" si="63"/>
        <v>0</v>
      </c>
      <c r="CT15" s="34">
        <f t="shared" si="64"/>
        <v>0</v>
      </c>
      <c r="CU15" s="67">
        <f t="shared" si="65"/>
        <v>3</v>
      </c>
      <c r="CV15" s="35">
        <f t="shared" si="66"/>
        <v>5</v>
      </c>
      <c r="CW15" s="59">
        <f t="shared" si="67"/>
        <v>36</v>
      </c>
      <c r="CX15" s="43" t="str">
        <f t="shared" si="68"/>
        <v>مؤجل(ة)</v>
      </c>
      <c r="CY15" s="44"/>
      <c r="CZ15" s="51"/>
      <c r="DA15" s="46"/>
    </row>
    <row r="16" spans="2:105" ht="27.75" customHeight="1" thickBot="1">
      <c r="B16" s="1">
        <f t="shared" si="69"/>
        <v>11</v>
      </c>
      <c r="C16" s="324" t="s">
        <v>531</v>
      </c>
      <c r="D16" s="249" t="s">
        <v>743</v>
      </c>
      <c r="E16" s="47" t="s">
        <v>742</v>
      </c>
      <c r="F16" s="135">
        <v>35426</v>
      </c>
      <c r="G16" s="52" t="s">
        <v>746</v>
      </c>
      <c r="H16" s="131">
        <v>7.8</v>
      </c>
      <c r="I16" s="132">
        <v>12</v>
      </c>
      <c r="J16" s="133">
        <v>7.93</v>
      </c>
      <c r="K16" s="134">
        <v>18</v>
      </c>
      <c r="L16" s="53">
        <f t="shared" si="7"/>
        <v>7.8650000000000002</v>
      </c>
      <c r="M16" s="58">
        <f t="shared" si="8"/>
        <v>30</v>
      </c>
      <c r="N16" s="262">
        <v>9</v>
      </c>
      <c r="O16" s="263">
        <v>4</v>
      </c>
      <c r="P16" s="228">
        <f t="shared" si="9"/>
        <v>6.5</v>
      </c>
      <c r="Q16" s="229">
        <f t="shared" si="10"/>
        <v>0</v>
      </c>
      <c r="R16" s="262">
        <v>11</v>
      </c>
      <c r="S16" s="263">
        <v>4</v>
      </c>
      <c r="T16" s="228">
        <f t="shared" si="11"/>
        <v>7.5</v>
      </c>
      <c r="U16" s="229">
        <f t="shared" si="12"/>
        <v>0</v>
      </c>
      <c r="V16" s="262">
        <v>12.5</v>
      </c>
      <c r="W16" s="263">
        <v>5</v>
      </c>
      <c r="X16" s="228">
        <f t="shared" si="13"/>
        <v>8.75</v>
      </c>
      <c r="Y16" s="229">
        <f t="shared" si="14"/>
        <v>0</v>
      </c>
      <c r="Z16" s="232">
        <f t="shared" si="15"/>
        <v>7.583333333333333</v>
      </c>
      <c r="AA16" s="233">
        <f t="shared" si="16"/>
        <v>0</v>
      </c>
      <c r="AB16" s="263">
        <v>5</v>
      </c>
      <c r="AC16" s="234">
        <f t="shared" si="17"/>
        <v>5</v>
      </c>
      <c r="AD16" s="235">
        <f t="shared" si="18"/>
        <v>0</v>
      </c>
      <c r="AE16" s="262">
        <v>0.5</v>
      </c>
      <c r="AF16" s="263">
        <v>0.5</v>
      </c>
      <c r="AG16" s="228">
        <f t="shared" si="19"/>
        <v>0.5</v>
      </c>
      <c r="AH16" s="229">
        <f t="shared" si="20"/>
        <v>0</v>
      </c>
      <c r="AI16" s="262">
        <v>7</v>
      </c>
      <c r="AJ16" s="263">
        <v>0</v>
      </c>
      <c r="AK16" s="228">
        <f t="shared" si="21"/>
        <v>3.5</v>
      </c>
      <c r="AL16" s="229">
        <f t="shared" si="22"/>
        <v>0</v>
      </c>
      <c r="AM16" s="236">
        <f t="shared" si="23"/>
        <v>2.6</v>
      </c>
      <c r="AN16" s="237">
        <f t="shared" si="24"/>
        <v>0</v>
      </c>
      <c r="AO16" s="262">
        <v>10</v>
      </c>
      <c r="AP16" s="263">
        <v>3</v>
      </c>
      <c r="AQ16" s="228">
        <f t="shared" si="25"/>
        <v>6.5</v>
      </c>
      <c r="AR16" s="229">
        <f t="shared" si="26"/>
        <v>0</v>
      </c>
      <c r="AS16" s="263">
        <v>0</v>
      </c>
      <c r="AT16" s="234">
        <f t="shared" si="27"/>
        <v>0</v>
      </c>
      <c r="AU16" s="238">
        <f t="shared" si="28"/>
        <v>0</v>
      </c>
      <c r="AV16" s="236">
        <f t="shared" si="29"/>
        <v>3.25</v>
      </c>
      <c r="AW16" s="237">
        <f t="shared" si="30"/>
        <v>0</v>
      </c>
      <c r="AX16" s="263">
        <v>5</v>
      </c>
      <c r="AY16" s="263">
        <v>11</v>
      </c>
      <c r="AZ16" s="228">
        <f t="shared" si="31"/>
        <v>8</v>
      </c>
      <c r="BA16" s="229">
        <f t="shared" si="32"/>
        <v>0</v>
      </c>
      <c r="BB16" s="236">
        <f t="shared" si="33"/>
        <v>8</v>
      </c>
      <c r="BC16" s="237">
        <f t="shared" si="34"/>
        <v>0</v>
      </c>
      <c r="BD16" s="239">
        <f t="shared" si="35"/>
        <v>5.2142857142857144</v>
      </c>
      <c r="BE16" s="240">
        <f t="shared" si="36"/>
        <v>0</v>
      </c>
      <c r="BF16" s="263"/>
      <c r="BG16" s="263"/>
      <c r="BH16" s="264">
        <f t="shared" si="37"/>
        <v>0</v>
      </c>
      <c r="BI16" s="265">
        <f t="shared" si="38"/>
        <v>0</v>
      </c>
      <c r="BJ16" s="263"/>
      <c r="BK16" s="263"/>
      <c r="BL16" s="264">
        <f t="shared" si="39"/>
        <v>0</v>
      </c>
      <c r="BM16" s="265">
        <f t="shared" si="40"/>
        <v>0</v>
      </c>
      <c r="BN16" s="263"/>
      <c r="BO16" s="263"/>
      <c r="BP16" s="264">
        <f t="shared" si="41"/>
        <v>0</v>
      </c>
      <c r="BQ16" s="265">
        <f t="shared" si="42"/>
        <v>0</v>
      </c>
      <c r="BR16" s="266">
        <f t="shared" si="43"/>
        <v>0</v>
      </c>
      <c r="BS16" s="267">
        <f t="shared" si="44"/>
        <v>0</v>
      </c>
      <c r="BT16" s="263"/>
      <c r="BU16" s="263"/>
      <c r="BV16" s="264">
        <f t="shared" si="45"/>
        <v>0</v>
      </c>
      <c r="BW16" s="265">
        <f t="shared" si="46"/>
        <v>0</v>
      </c>
      <c r="BX16" s="263"/>
      <c r="BY16" s="263"/>
      <c r="BZ16" s="264">
        <f t="shared" si="47"/>
        <v>0</v>
      </c>
      <c r="CA16" s="265">
        <f t="shared" si="48"/>
        <v>0</v>
      </c>
      <c r="CB16" s="268">
        <f t="shared" si="49"/>
        <v>0</v>
      </c>
      <c r="CC16" s="267">
        <f t="shared" si="50"/>
        <v>0</v>
      </c>
      <c r="CD16" s="263"/>
      <c r="CE16" s="263"/>
      <c r="CF16" s="264">
        <f t="shared" si="51"/>
        <v>0</v>
      </c>
      <c r="CG16" s="265">
        <f t="shared" si="52"/>
        <v>0</v>
      </c>
      <c r="CH16" s="268">
        <f t="shared" si="53"/>
        <v>0</v>
      </c>
      <c r="CI16" s="267">
        <f t="shared" si="54"/>
        <v>0</v>
      </c>
      <c r="CJ16" s="263"/>
      <c r="CK16" s="269">
        <f t="shared" si="55"/>
        <v>0</v>
      </c>
      <c r="CL16" s="270">
        <f t="shared" si="56"/>
        <v>0</v>
      </c>
      <c r="CM16" s="268">
        <f t="shared" si="57"/>
        <v>0</v>
      </c>
      <c r="CN16" s="267">
        <f t="shared" si="58"/>
        <v>0</v>
      </c>
      <c r="CO16" s="65">
        <f t="shared" si="59"/>
        <v>0</v>
      </c>
      <c r="CP16" s="66">
        <f t="shared" si="60"/>
        <v>0</v>
      </c>
      <c r="CQ16" s="31">
        <f t="shared" si="61"/>
        <v>5.2142857142857144</v>
      </c>
      <c r="CR16" s="32">
        <f t="shared" si="62"/>
        <v>0</v>
      </c>
      <c r="CS16" s="33">
        <f t="shared" si="63"/>
        <v>0</v>
      </c>
      <c r="CT16" s="34">
        <f t="shared" si="64"/>
        <v>0</v>
      </c>
      <c r="CU16" s="67">
        <f t="shared" si="65"/>
        <v>2.6071428571428572</v>
      </c>
      <c r="CV16" s="35">
        <f t="shared" si="66"/>
        <v>0</v>
      </c>
      <c r="CW16" s="59">
        <f t="shared" si="67"/>
        <v>30</v>
      </c>
      <c r="CX16" s="43" t="str">
        <f t="shared" si="68"/>
        <v>مؤجل(ة)</v>
      </c>
      <c r="CY16" s="44"/>
      <c r="CZ16" s="50"/>
      <c r="DA16" s="46"/>
    </row>
    <row r="17" spans="2:105" ht="27.75" customHeight="1" thickBot="1">
      <c r="B17" s="1">
        <f t="shared" si="69"/>
        <v>12</v>
      </c>
      <c r="C17" s="323" t="s">
        <v>187</v>
      </c>
      <c r="D17" s="249" t="s">
        <v>188</v>
      </c>
      <c r="E17" s="47" t="s">
        <v>364</v>
      </c>
      <c r="F17" s="135">
        <v>34633</v>
      </c>
      <c r="G17" s="136" t="s">
        <v>416</v>
      </c>
      <c r="H17" s="131">
        <v>8.3800000000000008</v>
      </c>
      <c r="I17" s="132">
        <v>18</v>
      </c>
      <c r="J17" s="133">
        <v>8.2899999999999991</v>
      </c>
      <c r="K17" s="134">
        <v>16</v>
      </c>
      <c r="L17" s="53">
        <f t="shared" si="7"/>
        <v>8.3350000000000009</v>
      </c>
      <c r="M17" s="58">
        <f t="shared" si="8"/>
        <v>34</v>
      </c>
      <c r="N17" s="262">
        <v>10</v>
      </c>
      <c r="O17" s="263">
        <v>10</v>
      </c>
      <c r="P17" s="228">
        <f t="shared" si="9"/>
        <v>10</v>
      </c>
      <c r="Q17" s="229">
        <f t="shared" si="10"/>
        <v>5</v>
      </c>
      <c r="R17" s="262">
        <v>11</v>
      </c>
      <c r="S17" s="263"/>
      <c r="T17" s="228">
        <f t="shared" si="11"/>
        <v>5.5</v>
      </c>
      <c r="U17" s="229">
        <f t="shared" si="12"/>
        <v>0</v>
      </c>
      <c r="V17" s="262">
        <v>10</v>
      </c>
      <c r="W17" s="263">
        <v>10</v>
      </c>
      <c r="X17" s="228">
        <f t="shared" si="13"/>
        <v>10</v>
      </c>
      <c r="Y17" s="229">
        <f t="shared" si="14"/>
        <v>6</v>
      </c>
      <c r="Z17" s="232">
        <f t="shared" si="15"/>
        <v>8.5</v>
      </c>
      <c r="AA17" s="233">
        <f t="shared" si="16"/>
        <v>11</v>
      </c>
      <c r="AB17" s="263">
        <v>0</v>
      </c>
      <c r="AC17" s="234">
        <f t="shared" si="17"/>
        <v>0</v>
      </c>
      <c r="AD17" s="235">
        <f t="shared" si="18"/>
        <v>0</v>
      </c>
      <c r="AE17" s="262">
        <v>13</v>
      </c>
      <c r="AF17" s="263">
        <v>13</v>
      </c>
      <c r="AG17" s="228">
        <f t="shared" si="19"/>
        <v>13</v>
      </c>
      <c r="AH17" s="229">
        <f t="shared" si="20"/>
        <v>3</v>
      </c>
      <c r="AI17" s="262">
        <v>5</v>
      </c>
      <c r="AJ17" s="263">
        <v>0</v>
      </c>
      <c r="AK17" s="228">
        <f t="shared" si="21"/>
        <v>2.5</v>
      </c>
      <c r="AL17" s="229">
        <f t="shared" si="22"/>
        <v>0</v>
      </c>
      <c r="AM17" s="236">
        <f t="shared" si="23"/>
        <v>6.2</v>
      </c>
      <c r="AN17" s="237">
        <f t="shared" si="24"/>
        <v>3</v>
      </c>
      <c r="AO17" s="262"/>
      <c r="AP17" s="263"/>
      <c r="AQ17" s="228">
        <f t="shared" si="25"/>
        <v>0</v>
      </c>
      <c r="AR17" s="229">
        <f t="shared" si="26"/>
        <v>0</v>
      </c>
      <c r="AS17" s="263">
        <v>0</v>
      </c>
      <c r="AT17" s="234">
        <f t="shared" si="27"/>
        <v>0</v>
      </c>
      <c r="AU17" s="238">
        <f t="shared" si="28"/>
        <v>0</v>
      </c>
      <c r="AV17" s="236">
        <f t="shared" si="29"/>
        <v>0</v>
      </c>
      <c r="AW17" s="237">
        <f t="shared" si="30"/>
        <v>0</v>
      </c>
      <c r="AX17" s="263"/>
      <c r="AY17" s="263"/>
      <c r="AZ17" s="228">
        <f t="shared" si="31"/>
        <v>0</v>
      </c>
      <c r="BA17" s="229">
        <f t="shared" si="32"/>
        <v>0</v>
      </c>
      <c r="BB17" s="236">
        <f t="shared" si="33"/>
        <v>0</v>
      </c>
      <c r="BC17" s="237">
        <f t="shared" si="34"/>
        <v>0</v>
      </c>
      <c r="BD17" s="239">
        <f t="shared" si="35"/>
        <v>5.8571428571428568</v>
      </c>
      <c r="BE17" s="240">
        <f t="shared" si="36"/>
        <v>14</v>
      </c>
      <c r="BF17" s="263"/>
      <c r="BG17" s="263"/>
      <c r="BH17" s="264">
        <f t="shared" si="37"/>
        <v>0</v>
      </c>
      <c r="BI17" s="265">
        <f t="shared" si="38"/>
        <v>0</v>
      </c>
      <c r="BJ17" s="263"/>
      <c r="BK17" s="263"/>
      <c r="BL17" s="264">
        <f t="shared" si="39"/>
        <v>0</v>
      </c>
      <c r="BM17" s="265">
        <f t="shared" si="40"/>
        <v>0</v>
      </c>
      <c r="BN17" s="263"/>
      <c r="BO17" s="263"/>
      <c r="BP17" s="264">
        <f t="shared" si="41"/>
        <v>0</v>
      </c>
      <c r="BQ17" s="265">
        <f t="shared" si="42"/>
        <v>0</v>
      </c>
      <c r="BR17" s="266">
        <f t="shared" si="43"/>
        <v>0</v>
      </c>
      <c r="BS17" s="267">
        <f t="shared" si="44"/>
        <v>0</v>
      </c>
      <c r="BT17" s="263"/>
      <c r="BU17" s="263"/>
      <c r="BV17" s="264">
        <f t="shared" si="45"/>
        <v>0</v>
      </c>
      <c r="BW17" s="265">
        <f t="shared" si="46"/>
        <v>0</v>
      </c>
      <c r="BX17" s="263"/>
      <c r="BY17" s="263"/>
      <c r="BZ17" s="264">
        <f t="shared" si="47"/>
        <v>0</v>
      </c>
      <c r="CA17" s="265">
        <f t="shared" si="48"/>
        <v>0</v>
      </c>
      <c r="CB17" s="268">
        <f t="shared" si="49"/>
        <v>0</v>
      </c>
      <c r="CC17" s="267">
        <f t="shared" si="50"/>
        <v>0</v>
      </c>
      <c r="CD17" s="263"/>
      <c r="CE17" s="263"/>
      <c r="CF17" s="264">
        <f t="shared" si="51"/>
        <v>0</v>
      </c>
      <c r="CG17" s="265">
        <f t="shared" si="52"/>
        <v>0</v>
      </c>
      <c r="CH17" s="268">
        <f t="shared" si="53"/>
        <v>0</v>
      </c>
      <c r="CI17" s="267">
        <f t="shared" si="54"/>
        <v>0</v>
      </c>
      <c r="CJ17" s="263"/>
      <c r="CK17" s="269">
        <f t="shared" si="55"/>
        <v>0</v>
      </c>
      <c r="CL17" s="270">
        <f t="shared" si="56"/>
        <v>0</v>
      </c>
      <c r="CM17" s="268">
        <f t="shared" si="57"/>
        <v>0</v>
      </c>
      <c r="CN17" s="267">
        <f t="shared" si="58"/>
        <v>0</v>
      </c>
      <c r="CO17" s="65">
        <f t="shared" si="59"/>
        <v>0</v>
      </c>
      <c r="CP17" s="66">
        <f t="shared" si="60"/>
        <v>0</v>
      </c>
      <c r="CQ17" s="31">
        <f t="shared" si="61"/>
        <v>5.8571428571428568</v>
      </c>
      <c r="CR17" s="32">
        <f t="shared" si="62"/>
        <v>14</v>
      </c>
      <c r="CS17" s="33">
        <f t="shared" si="63"/>
        <v>0</v>
      </c>
      <c r="CT17" s="34">
        <f t="shared" si="64"/>
        <v>0</v>
      </c>
      <c r="CU17" s="67">
        <f t="shared" si="65"/>
        <v>2.9285714285714284</v>
      </c>
      <c r="CV17" s="35">
        <f t="shared" si="66"/>
        <v>14</v>
      </c>
      <c r="CW17" s="59">
        <f t="shared" si="67"/>
        <v>48</v>
      </c>
      <c r="CX17" s="43" t="str">
        <f t="shared" si="68"/>
        <v>مؤجل(ة)</v>
      </c>
      <c r="CY17" s="44"/>
      <c r="CZ17" s="50"/>
      <c r="DA17" s="46"/>
    </row>
    <row r="18" spans="2:105" ht="27.75" customHeight="1" thickBot="1">
      <c r="B18" s="1">
        <f t="shared" si="69"/>
        <v>13</v>
      </c>
      <c r="C18" s="323" t="s">
        <v>532</v>
      </c>
      <c r="D18" s="249" t="s">
        <v>533</v>
      </c>
      <c r="E18" s="47" t="s">
        <v>744</v>
      </c>
      <c r="F18" s="135">
        <v>36149</v>
      </c>
      <c r="G18" s="136" t="s">
        <v>746</v>
      </c>
      <c r="H18" s="131">
        <v>9.68</v>
      </c>
      <c r="I18" s="132">
        <v>24</v>
      </c>
      <c r="J18" s="133"/>
      <c r="K18" s="134">
        <v>10</v>
      </c>
      <c r="L18" s="53">
        <f t="shared" si="7"/>
        <v>4.84</v>
      </c>
      <c r="M18" s="58">
        <f t="shared" si="8"/>
        <v>34</v>
      </c>
      <c r="N18" s="262">
        <v>11</v>
      </c>
      <c r="O18" s="263">
        <v>4</v>
      </c>
      <c r="P18" s="228">
        <f t="shared" si="9"/>
        <v>7.5</v>
      </c>
      <c r="Q18" s="229">
        <f t="shared" si="10"/>
        <v>0</v>
      </c>
      <c r="R18" s="262">
        <v>14</v>
      </c>
      <c r="S18" s="263">
        <v>7.5</v>
      </c>
      <c r="T18" s="228">
        <f t="shared" si="11"/>
        <v>10.75</v>
      </c>
      <c r="U18" s="229">
        <f t="shared" si="12"/>
        <v>6</v>
      </c>
      <c r="V18" s="262">
        <v>17</v>
      </c>
      <c r="W18" s="263">
        <v>5</v>
      </c>
      <c r="X18" s="228">
        <f t="shared" si="13"/>
        <v>11</v>
      </c>
      <c r="Y18" s="229">
        <f t="shared" si="14"/>
        <v>6</v>
      </c>
      <c r="Z18" s="232">
        <f t="shared" si="15"/>
        <v>9.75</v>
      </c>
      <c r="AA18" s="233">
        <f t="shared" si="16"/>
        <v>12</v>
      </c>
      <c r="AB18" s="263">
        <v>10</v>
      </c>
      <c r="AC18" s="234">
        <f t="shared" si="17"/>
        <v>10</v>
      </c>
      <c r="AD18" s="235">
        <f t="shared" si="18"/>
        <v>1</v>
      </c>
      <c r="AE18" s="262">
        <v>6.75</v>
      </c>
      <c r="AF18" s="263">
        <v>6.75</v>
      </c>
      <c r="AG18" s="228">
        <f t="shared" si="19"/>
        <v>6.75</v>
      </c>
      <c r="AH18" s="229">
        <f t="shared" si="20"/>
        <v>0</v>
      </c>
      <c r="AI18" s="262">
        <v>13</v>
      </c>
      <c r="AJ18" s="263">
        <v>1</v>
      </c>
      <c r="AK18" s="228">
        <f t="shared" si="21"/>
        <v>7</v>
      </c>
      <c r="AL18" s="229">
        <f t="shared" si="22"/>
        <v>0</v>
      </c>
      <c r="AM18" s="236">
        <f t="shared" si="23"/>
        <v>7.5</v>
      </c>
      <c r="AN18" s="237">
        <f t="shared" si="24"/>
        <v>1</v>
      </c>
      <c r="AO18" s="262">
        <v>10.5</v>
      </c>
      <c r="AP18" s="263">
        <v>1</v>
      </c>
      <c r="AQ18" s="228">
        <f t="shared" si="25"/>
        <v>5.75</v>
      </c>
      <c r="AR18" s="229">
        <f t="shared" si="26"/>
        <v>0</v>
      </c>
      <c r="AS18" s="263">
        <v>10</v>
      </c>
      <c r="AT18" s="234">
        <f t="shared" si="27"/>
        <v>10</v>
      </c>
      <c r="AU18" s="238">
        <f t="shared" si="28"/>
        <v>1</v>
      </c>
      <c r="AV18" s="236">
        <f t="shared" si="29"/>
        <v>7.875</v>
      </c>
      <c r="AW18" s="237">
        <f t="shared" si="30"/>
        <v>1</v>
      </c>
      <c r="AX18" s="263">
        <v>15</v>
      </c>
      <c r="AY18" s="263">
        <v>9.5</v>
      </c>
      <c r="AZ18" s="228">
        <f t="shared" si="31"/>
        <v>12.25</v>
      </c>
      <c r="BA18" s="229">
        <f t="shared" si="32"/>
        <v>1</v>
      </c>
      <c r="BB18" s="236">
        <f t="shared" si="33"/>
        <v>12.25</v>
      </c>
      <c r="BC18" s="237">
        <f t="shared" si="34"/>
        <v>1</v>
      </c>
      <c r="BD18" s="239">
        <f t="shared" si="35"/>
        <v>8.8571428571428577</v>
      </c>
      <c r="BE18" s="240">
        <f t="shared" si="36"/>
        <v>15</v>
      </c>
      <c r="BF18" s="263"/>
      <c r="BG18" s="263"/>
      <c r="BH18" s="264">
        <f t="shared" si="37"/>
        <v>0</v>
      </c>
      <c r="BI18" s="265">
        <f t="shared" si="38"/>
        <v>0</v>
      </c>
      <c r="BJ18" s="263"/>
      <c r="BK18" s="263"/>
      <c r="BL18" s="264">
        <f t="shared" si="39"/>
        <v>0</v>
      </c>
      <c r="BM18" s="265">
        <f t="shared" si="40"/>
        <v>0</v>
      </c>
      <c r="BN18" s="263"/>
      <c r="BO18" s="263"/>
      <c r="BP18" s="264">
        <f t="shared" si="41"/>
        <v>0</v>
      </c>
      <c r="BQ18" s="265">
        <f t="shared" si="42"/>
        <v>0</v>
      </c>
      <c r="BR18" s="266">
        <f t="shared" si="43"/>
        <v>0</v>
      </c>
      <c r="BS18" s="267">
        <f t="shared" si="44"/>
        <v>0</v>
      </c>
      <c r="BT18" s="263"/>
      <c r="BU18" s="263"/>
      <c r="BV18" s="264">
        <f t="shared" si="45"/>
        <v>0</v>
      </c>
      <c r="BW18" s="265">
        <f t="shared" si="46"/>
        <v>0</v>
      </c>
      <c r="BX18" s="263"/>
      <c r="BY18" s="263"/>
      <c r="BZ18" s="264">
        <f t="shared" si="47"/>
        <v>0</v>
      </c>
      <c r="CA18" s="265">
        <f t="shared" si="48"/>
        <v>0</v>
      </c>
      <c r="CB18" s="268">
        <f t="shared" si="49"/>
        <v>0</v>
      </c>
      <c r="CC18" s="267">
        <f t="shared" si="50"/>
        <v>0</v>
      </c>
      <c r="CD18" s="263"/>
      <c r="CE18" s="263"/>
      <c r="CF18" s="264">
        <f t="shared" si="51"/>
        <v>0</v>
      </c>
      <c r="CG18" s="265">
        <f t="shared" si="52"/>
        <v>0</v>
      </c>
      <c r="CH18" s="268">
        <f t="shared" si="53"/>
        <v>0</v>
      </c>
      <c r="CI18" s="267">
        <f t="shared" si="54"/>
        <v>0</v>
      </c>
      <c r="CJ18" s="263"/>
      <c r="CK18" s="269">
        <f t="shared" si="55"/>
        <v>0</v>
      </c>
      <c r="CL18" s="270">
        <f t="shared" si="56"/>
        <v>0</v>
      </c>
      <c r="CM18" s="268">
        <f t="shared" si="57"/>
        <v>0</v>
      </c>
      <c r="CN18" s="267">
        <f t="shared" si="58"/>
        <v>0</v>
      </c>
      <c r="CO18" s="65">
        <f t="shared" si="59"/>
        <v>0</v>
      </c>
      <c r="CP18" s="66">
        <f t="shared" si="60"/>
        <v>0</v>
      </c>
      <c r="CQ18" s="31">
        <f t="shared" si="61"/>
        <v>8.8571428571428577</v>
      </c>
      <c r="CR18" s="32">
        <f t="shared" si="62"/>
        <v>15</v>
      </c>
      <c r="CS18" s="33">
        <f t="shared" si="63"/>
        <v>0</v>
      </c>
      <c r="CT18" s="34">
        <f t="shared" si="64"/>
        <v>0</v>
      </c>
      <c r="CU18" s="67">
        <f t="shared" si="65"/>
        <v>4.4285714285714288</v>
      </c>
      <c r="CV18" s="35">
        <f t="shared" si="66"/>
        <v>15</v>
      </c>
      <c r="CW18" s="59">
        <f t="shared" si="67"/>
        <v>49</v>
      </c>
      <c r="CX18" s="43" t="str">
        <f t="shared" si="68"/>
        <v>مؤجل(ة)</v>
      </c>
      <c r="CY18" s="44"/>
      <c r="CZ18" s="50"/>
      <c r="DA18" s="46"/>
    </row>
    <row r="19" spans="2:105" ht="27.75" customHeight="1" thickBot="1">
      <c r="B19" s="1">
        <f t="shared" si="69"/>
        <v>14</v>
      </c>
      <c r="C19" s="324" t="s">
        <v>246</v>
      </c>
      <c r="D19" s="249" t="s">
        <v>534</v>
      </c>
      <c r="E19" s="47" t="s">
        <v>436</v>
      </c>
      <c r="F19" s="135">
        <v>34745</v>
      </c>
      <c r="G19" s="136" t="s">
        <v>746</v>
      </c>
      <c r="H19" s="131"/>
      <c r="I19" s="132"/>
      <c r="J19" s="133"/>
      <c r="K19" s="134"/>
      <c r="L19" s="53">
        <f t="shared" si="7"/>
        <v>0</v>
      </c>
      <c r="M19" s="58">
        <f t="shared" si="8"/>
        <v>0</v>
      </c>
      <c r="N19" s="262">
        <v>10.5</v>
      </c>
      <c r="O19" s="263">
        <v>10.5</v>
      </c>
      <c r="P19" s="228">
        <f t="shared" si="9"/>
        <v>10.5</v>
      </c>
      <c r="Q19" s="229">
        <f t="shared" si="10"/>
        <v>5</v>
      </c>
      <c r="R19" s="262">
        <v>10</v>
      </c>
      <c r="S19" s="263">
        <v>10</v>
      </c>
      <c r="T19" s="228">
        <f t="shared" si="11"/>
        <v>10</v>
      </c>
      <c r="U19" s="229">
        <f t="shared" si="12"/>
        <v>6</v>
      </c>
      <c r="V19" s="262">
        <v>10.130000000000001</v>
      </c>
      <c r="W19" s="263">
        <v>10.130000000000001</v>
      </c>
      <c r="X19" s="228">
        <f t="shared" si="13"/>
        <v>10.130000000000001</v>
      </c>
      <c r="Y19" s="229">
        <f t="shared" si="14"/>
        <v>6</v>
      </c>
      <c r="Z19" s="232">
        <f t="shared" si="15"/>
        <v>10.210000000000001</v>
      </c>
      <c r="AA19" s="233">
        <f t="shared" si="16"/>
        <v>17</v>
      </c>
      <c r="AB19" s="263">
        <v>10.5</v>
      </c>
      <c r="AC19" s="234">
        <f t="shared" si="17"/>
        <v>10.5</v>
      </c>
      <c r="AD19" s="235">
        <f t="shared" si="18"/>
        <v>1</v>
      </c>
      <c r="AE19" s="262">
        <v>5</v>
      </c>
      <c r="AF19" s="263">
        <v>5</v>
      </c>
      <c r="AG19" s="228">
        <f t="shared" si="19"/>
        <v>5</v>
      </c>
      <c r="AH19" s="229">
        <f t="shared" si="20"/>
        <v>0</v>
      </c>
      <c r="AI19" s="262">
        <v>12</v>
      </c>
      <c r="AJ19" s="263">
        <v>4</v>
      </c>
      <c r="AK19" s="228">
        <f t="shared" si="21"/>
        <v>8</v>
      </c>
      <c r="AL19" s="229">
        <f t="shared" si="22"/>
        <v>0</v>
      </c>
      <c r="AM19" s="236">
        <f t="shared" si="23"/>
        <v>7.3</v>
      </c>
      <c r="AN19" s="237">
        <f t="shared" si="24"/>
        <v>1</v>
      </c>
      <c r="AO19" s="262">
        <v>11.5</v>
      </c>
      <c r="AP19" s="263">
        <v>11.5</v>
      </c>
      <c r="AQ19" s="228">
        <f t="shared" si="25"/>
        <v>11.5</v>
      </c>
      <c r="AR19" s="229">
        <f t="shared" si="26"/>
        <v>4</v>
      </c>
      <c r="AS19" s="263"/>
      <c r="AT19" s="234">
        <f t="shared" si="27"/>
        <v>0</v>
      </c>
      <c r="AU19" s="238">
        <f t="shared" si="28"/>
        <v>0</v>
      </c>
      <c r="AV19" s="236">
        <f t="shared" si="29"/>
        <v>5.75</v>
      </c>
      <c r="AW19" s="237">
        <f t="shared" si="30"/>
        <v>4</v>
      </c>
      <c r="AX19" s="263">
        <v>11</v>
      </c>
      <c r="AY19" s="263">
        <v>3</v>
      </c>
      <c r="AZ19" s="228">
        <f t="shared" si="31"/>
        <v>7</v>
      </c>
      <c r="BA19" s="229">
        <f t="shared" si="32"/>
        <v>0</v>
      </c>
      <c r="BB19" s="236">
        <f t="shared" si="33"/>
        <v>7</v>
      </c>
      <c r="BC19" s="237">
        <f t="shared" si="34"/>
        <v>0</v>
      </c>
      <c r="BD19" s="239">
        <f t="shared" si="35"/>
        <v>8.3042857142857152</v>
      </c>
      <c r="BE19" s="240">
        <f t="shared" si="36"/>
        <v>22</v>
      </c>
      <c r="BF19" s="263"/>
      <c r="BG19" s="263"/>
      <c r="BH19" s="264">
        <f t="shared" si="37"/>
        <v>0</v>
      </c>
      <c r="BI19" s="265">
        <f t="shared" si="38"/>
        <v>0</v>
      </c>
      <c r="BJ19" s="263"/>
      <c r="BK19" s="263"/>
      <c r="BL19" s="264">
        <f t="shared" si="39"/>
        <v>0</v>
      </c>
      <c r="BM19" s="265">
        <f t="shared" si="40"/>
        <v>0</v>
      </c>
      <c r="BN19" s="263"/>
      <c r="BO19" s="263"/>
      <c r="BP19" s="264">
        <f t="shared" si="41"/>
        <v>0</v>
      </c>
      <c r="BQ19" s="265">
        <f t="shared" si="42"/>
        <v>0</v>
      </c>
      <c r="BR19" s="266">
        <f t="shared" si="43"/>
        <v>0</v>
      </c>
      <c r="BS19" s="267">
        <f t="shared" si="44"/>
        <v>0</v>
      </c>
      <c r="BT19" s="263"/>
      <c r="BU19" s="263"/>
      <c r="BV19" s="264">
        <f t="shared" si="45"/>
        <v>0</v>
      </c>
      <c r="BW19" s="265">
        <f t="shared" si="46"/>
        <v>0</v>
      </c>
      <c r="BX19" s="263"/>
      <c r="BY19" s="263"/>
      <c r="BZ19" s="264">
        <f t="shared" si="47"/>
        <v>0</v>
      </c>
      <c r="CA19" s="265">
        <f t="shared" si="48"/>
        <v>0</v>
      </c>
      <c r="CB19" s="268">
        <f t="shared" si="49"/>
        <v>0</v>
      </c>
      <c r="CC19" s="267">
        <f t="shared" si="50"/>
        <v>0</v>
      </c>
      <c r="CD19" s="263"/>
      <c r="CE19" s="263"/>
      <c r="CF19" s="264">
        <f t="shared" si="51"/>
        <v>0</v>
      </c>
      <c r="CG19" s="265">
        <f t="shared" si="52"/>
        <v>0</v>
      </c>
      <c r="CH19" s="268">
        <f t="shared" si="53"/>
        <v>0</v>
      </c>
      <c r="CI19" s="267">
        <f t="shared" si="54"/>
        <v>0</v>
      </c>
      <c r="CJ19" s="263"/>
      <c r="CK19" s="269">
        <f t="shared" si="55"/>
        <v>0</v>
      </c>
      <c r="CL19" s="270">
        <f t="shared" si="56"/>
        <v>0</v>
      </c>
      <c r="CM19" s="268">
        <f t="shared" si="57"/>
        <v>0</v>
      </c>
      <c r="CN19" s="267">
        <f t="shared" si="58"/>
        <v>0</v>
      </c>
      <c r="CO19" s="65">
        <f t="shared" si="59"/>
        <v>0</v>
      </c>
      <c r="CP19" s="66">
        <f t="shared" si="60"/>
        <v>0</v>
      </c>
      <c r="CQ19" s="31">
        <f t="shared" si="61"/>
        <v>8.3042857142857152</v>
      </c>
      <c r="CR19" s="32">
        <f t="shared" si="62"/>
        <v>22</v>
      </c>
      <c r="CS19" s="33">
        <f t="shared" si="63"/>
        <v>0</v>
      </c>
      <c r="CT19" s="34">
        <f t="shared" si="64"/>
        <v>0</v>
      </c>
      <c r="CU19" s="67">
        <f t="shared" si="65"/>
        <v>4.1521428571428576</v>
      </c>
      <c r="CV19" s="35">
        <f t="shared" si="66"/>
        <v>22</v>
      </c>
      <c r="CW19" s="59">
        <f t="shared" si="67"/>
        <v>22</v>
      </c>
      <c r="CX19" s="43" t="str">
        <f t="shared" si="68"/>
        <v>مؤجل(ة)</v>
      </c>
      <c r="CY19" s="44"/>
      <c r="CZ19" s="50"/>
      <c r="DA19" s="46"/>
    </row>
    <row r="20" spans="2:105" ht="27.75" customHeight="1" thickBot="1">
      <c r="B20" s="1">
        <f t="shared" si="69"/>
        <v>15</v>
      </c>
      <c r="C20" s="324" t="s">
        <v>535</v>
      </c>
      <c r="D20" s="249" t="s">
        <v>536</v>
      </c>
      <c r="E20" s="47" t="s">
        <v>759</v>
      </c>
      <c r="F20" s="135">
        <v>35991</v>
      </c>
      <c r="G20" s="136" t="s">
        <v>746</v>
      </c>
      <c r="H20" s="131">
        <v>10.67</v>
      </c>
      <c r="I20" s="132">
        <v>30</v>
      </c>
      <c r="J20" s="133">
        <v>10.3</v>
      </c>
      <c r="K20" s="134">
        <v>30</v>
      </c>
      <c r="L20" s="53">
        <f t="shared" si="7"/>
        <v>10.484999999999999</v>
      </c>
      <c r="M20" s="58">
        <f t="shared" si="8"/>
        <v>60</v>
      </c>
      <c r="N20" s="262">
        <v>10</v>
      </c>
      <c r="O20" s="263">
        <v>19</v>
      </c>
      <c r="P20" s="228">
        <f t="shared" si="9"/>
        <v>14.5</v>
      </c>
      <c r="Q20" s="229">
        <f t="shared" si="10"/>
        <v>5</v>
      </c>
      <c r="R20" s="262">
        <v>13.5</v>
      </c>
      <c r="S20" s="263">
        <v>5.5</v>
      </c>
      <c r="T20" s="228">
        <f t="shared" si="11"/>
        <v>9.5</v>
      </c>
      <c r="U20" s="229">
        <f t="shared" si="12"/>
        <v>0</v>
      </c>
      <c r="V20" s="262">
        <v>16.5</v>
      </c>
      <c r="W20" s="263">
        <v>5</v>
      </c>
      <c r="X20" s="228">
        <f t="shared" si="13"/>
        <v>10.75</v>
      </c>
      <c r="Y20" s="229">
        <f t="shared" si="14"/>
        <v>6</v>
      </c>
      <c r="Z20" s="232">
        <f t="shared" si="15"/>
        <v>11.583333333333334</v>
      </c>
      <c r="AA20" s="233">
        <f t="shared" si="16"/>
        <v>17</v>
      </c>
      <c r="AB20" s="263">
        <v>14.5</v>
      </c>
      <c r="AC20" s="234">
        <f t="shared" si="17"/>
        <v>14.5</v>
      </c>
      <c r="AD20" s="235">
        <f t="shared" si="18"/>
        <v>1</v>
      </c>
      <c r="AE20" s="262">
        <v>10.75</v>
      </c>
      <c r="AF20" s="263">
        <v>10.75</v>
      </c>
      <c r="AG20" s="228">
        <f t="shared" si="19"/>
        <v>10.75</v>
      </c>
      <c r="AH20" s="229">
        <f t="shared" si="20"/>
        <v>3</v>
      </c>
      <c r="AI20" s="262">
        <v>14</v>
      </c>
      <c r="AJ20" s="263">
        <v>6</v>
      </c>
      <c r="AK20" s="228">
        <f t="shared" si="21"/>
        <v>10</v>
      </c>
      <c r="AL20" s="229">
        <f t="shared" si="22"/>
        <v>3</v>
      </c>
      <c r="AM20" s="236">
        <f t="shared" si="23"/>
        <v>11.2</v>
      </c>
      <c r="AN20" s="237">
        <f t="shared" si="24"/>
        <v>7</v>
      </c>
      <c r="AO20" s="262">
        <v>10.5</v>
      </c>
      <c r="AP20" s="263">
        <v>4</v>
      </c>
      <c r="AQ20" s="228">
        <f t="shared" si="25"/>
        <v>7.25</v>
      </c>
      <c r="AR20" s="229">
        <f t="shared" si="26"/>
        <v>0</v>
      </c>
      <c r="AS20" s="263">
        <v>9</v>
      </c>
      <c r="AT20" s="234">
        <f t="shared" si="27"/>
        <v>9</v>
      </c>
      <c r="AU20" s="238">
        <f t="shared" si="28"/>
        <v>0</v>
      </c>
      <c r="AV20" s="236">
        <f t="shared" si="29"/>
        <v>8.125</v>
      </c>
      <c r="AW20" s="237">
        <f t="shared" si="30"/>
        <v>0</v>
      </c>
      <c r="AX20" s="263">
        <v>15</v>
      </c>
      <c r="AY20" s="263">
        <v>9</v>
      </c>
      <c r="AZ20" s="228">
        <f t="shared" si="31"/>
        <v>12</v>
      </c>
      <c r="BA20" s="229">
        <f t="shared" si="32"/>
        <v>1</v>
      </c>
      <c r="BB20" s="236">
        <f t="shared" si="33"/>
        <v>12</v>
      </c>
      <c r="BC20" s="237">
        <f t="shared" si="34"/>
        <v>1</v>
      </c>
      <c r="BD20" s="239">
        <f t="shared" si="35"/>
        <v>10.982142857142858</v>
      </c>
      <c r="BE20" s="240">
        <f t="shared" si="36"/>
        <v>30</v>
      </c>
      <c r="BF20" s="263"/>
      <c r="BG20" s="263"/>
      <c r="BH20" s="264">
        <f t="shared" si="37"/>
        <v>0</v>
      </c>
      <c r="BI20" s="265">
        <f t="shared" si="38"/>
        <v>0</v>
      </c>
      <c r="BJ20" s="263"/>
      <c r="BK20" s="263"/>
      <c r="BL20" s="264">
        <f t="shared" si="39"/>
        <v>0</v>
      </c>
      <c r="BM20" s="265">
        <f t="shared" si="40"/>
        <v>0</v>
      </c>
      <c r="BN20" s="263"/>
      <c r="BO20" s="263"/>
      <c r="BP20" s="264">
        <f t="shared" si="41"/>
        <v>0</v>
      </c>
      <c r="BQ20" s="265">
        <f t="shared" si="42"/>
        <v>0</v>
      </c>
      <c r="BR20" s="266">
        <f t="shared" si="43"/>
        <v>0</v>
      </c>
      <c r="BS20" s="267">
        <f t="shared" si="44"/>
        <v>0</v>
      </c>
      <c r="BT20" s="263"/>
      <c r="BU20" s="263"/>
      <c r="BV20" s="264">
        <f t="shared" si="45"/>
        <v>0</v>
      </c>
      <c r="BW20" s="265">
        <f t="shared" si="46"/>
        <v>0</v>
      </c>
      <c r="BX20" s="263"/>
      <c r="BY20" s="263"/>
      <c r="BZ20" s="264">
        <f t="shared" si="47"/>
        <v>0</v>
      </c>
      <c r="CA20" s="265">
        <f t="shared" si="48"/>
        <v>0</v>
      </c>
      <c r="CB20" s="268">
        <f t="shared" si="49"/>
        <v>0</v>
      </c>
      <c r="CC20" s="267">
        <f t="shared" si="50"/>
        <v>0</v>
      </c>
      <c r="CD20" s="263"/>
      <c r="CE20" s="263"/>
      <c r="CF20" s="264">
        <f t="shared" si="51"/>
        <v>0</v>
      </c>
      <c r="CG20" s="265">
        <f t="shared" si="52"/>
        <v>0</v>
      </c>
      <c r="CH20" s="268">
        <f t="shared" si="53"/>
        <v>0</v>
      </c>
      <c r="CI20" s="267">
        <f t="shared" si="54"/>
        <v>0</v>
      </c>
      <c r="CJ20" s="263"/>
      <c r="CK20" s="269">
        <f t="shared" si="55"/>
        <v>0</v>
      </c>
      <c r="CL20" s="270">
        <f t="shared" si="56"/>
        <v>0</v>
      </c>
      <c r="CM20" s="268">
        <f t="shared" si="57"/>
        <v>0</v>
      </c>
      <c r="CN20" s="267">
        <f t="shared" si="58"/>
        <v>0</v>
      </c>
      <c r="CO20" s="65">
        <f t="shared" si="59"/>
        <v>0</v>
      </c>
      <c r="CP20" s="66">
        <f t="shared" si="60"/>
        <v>0</v>
      </c>
      <c r="CQ20" s="31">
        <f t="shared" si="61"/>
        <v>10.982142857142858</v>
      </c>
      <c r="CR20" s="32">
        <f t="shared" si="62"/>
        <v>30</v>
      </c>
      <c r="CS20" s="33">
        <f t="shared" si="63"/>
        <v>0</v>
      </c>
      <c r="CT20" s="34">
        <f t="shared" si="64"/>
        <v>0</v>
      </c>
      <c r="CU20" s="67">
        <f t="shared" si="65"/>
        <v>5.4910714285714288</v>
      </c>
      <c r="CV20" s="35">
        <f t="shared" si="66"/>
        <v>30</v>
      </c>
      <c r="CW20" s="59">
        <f t="shared" si="67"/>
        <v>90</v>
      </c>
      <c r="CX20" s="43" t="str">
        <f t="shared" si="68"/>
        <v>مؤجل(ة)</v>
      </c>
      <c r="CY20" s="44"/>
      <c r="CZ20" s="50"/>
      <c r="DA20" s="46"/>
    </row>
    <row r="21" spans="2:105" ht="27.75" customHeight="1" thickBot="1">
      <c r="B21" s="1">
        <f t="shared" si="69"/>
        <v>16</v>
      </c>
      <c r="C21" s="323" t="s">
        <v>537</v>
      </c>
      <c r="D21" s="249" t="s">
        <v>538</v>
      </c>
      <c r="E21" s="47" t="s">
        <v>441</v>
      </c>
      <c r="F21" s="135">
        <v>34719</v>
      </c>
      <c r="G21" s="136" t="s">
        <v>787</v>
      </c>
      <c r="H21" s="131"/>
      <c r="I21" s="132"/>
      <c r="J21" s="133"/>
      <c r="K21" s="134"/>
      <c r="L21" s="53">
        <f t="shared" si="7"/>
        <v>0</v>
      </c>
      <c r="M21" s="58">
        <f t="shared" si="8"/>
        <v>0</v>
      </c>
      <c r="N21" s="262"/>
      <c r="O21" s="263"/>
      <c r="P21" s="228">
        <f t="shared" si="9"/>
        <v>0</v>
      </c>
      <c r="Q21" s="229">
        <f t="shared" si="10"/>
        <v>0</v>
      </c>
      <c r="R21" s="262"/>
      <c r="S21" s="263"/>
      <c r="T21" s="228">
        <f t="shared" si="11"/>
        <v>0</v>
      </c>
      <c r="U21" s="229">
        <f t="shared" si="12"/>
        <v>0</v>
      </c>
      <c r="V21" s="262">
        <v>10</v>
      </c>
      <c r="W21" s="263"/>
      <c r="X21" s="228">
        <f t="shared" si="13"/>
        <v>5</v>
      </c>
      <c r="Y21" s="229">
        <f t="shared" si="14"/>
        <v>0</v>
      </c>
      <c r="Z21" s="232">
        <f t="shared" si="15"/>
        <v>1.6666666666666667</v>
      </c>
      <c r="AA21" s="233">
        <f t="shared" si="16"/>
        <v>0</v>
      </c>
      <c r="AB21" s="263"/>
      <c r="AC21" s="234">
        <f t="shared" si="17"/>
        <v>0</v>
      </c>
      <c r="AD21" s="235">
        <f t="shared" si="18"/>
        <v>0</v>
      </c>
      <c r="AE21" s="262"/>
      <c r="AF21" s="263"/>
      <c r="AG21" s="228">
        <f t="shared" si="19"/>
        <v>0</v>
      </c>
      <c r="AH21" s="229">
        <f t="shared" si="20"/>
        <v>0</v>
      </c>
      <c r="AI21" s="262"/>
      <c r="AJ21" s="263"/>
      <c r="AK21" s="228">
        <f t="shared" si="21"/>
        <v>0</v>
      </c>
      <c r="AL21" s="229">
        <f t="shared" si="22"/>
        <v>0</v>
      </c>
      <c r="AM21" s="236">
        <f t="shared" si="23"/>
        <v>0</v>
      </c>
      <c r="AN21" s="237">
        <f t="shared" si="24"/>
        <v>0</v>
      </c>
      <c r="AO21" s="262"/>
      <c r="AP21" s="263"/>
      <c r="AQ21" s="228">
        <f t="shared" si="25"/>
        <v>0</v>
      </c>
      <c r="AR21" s="229">
        <f t="shared" si="26"/>
        <v>0</v>
      </c>
      <c r="AS21" s="263"/>
      <c r="AT21" s="234">
        <f t="shared" si="27"/>
        <v>0</v>
      </c>
      <c r="AU21" s="238">
        <f t="shared" si="28"/>
        <v>0</v>
      </c>
      <c r="AV21" s="236">
        <f t="shared" si="29"/>
        <v>0</v>
      </c>
      <c r="AW21" s="237">
        <f t="shared" si="30"/>
        <v>0</v>
      </c>
      <c r="AX21" s="263">
        <v>11.25</v>
      </c>
      <c r="AY21" s="263">
        <v>11.25</v>
      </c>
      <c r="AZ21" s="228">
        <f t="shared" si="31"/>
        <v>11.25</v>
      </c>
      <c r="BA21" s="229">
        <f t="shared" si="32"/>
        <v>1</v>
      </c>
      <c r="BB21" s="236">
        <f t="shared" si="33"/>
        <v>11.25</v>
      </c>
      <c r="BC21" s="237">
        <f t="shared" si="34"/>
        <v>1</v>
      </c>
      <c r="BD21" s="239">
        <f t="shared" si="35"/>
        <v>1.5178571428571428</v>
      </c>
      <c r="BE21" s="240">
        <f t="shared" si="36"/>
        <v>1</v>
      </c>
      <c r="BF21" s="263"/>
      <c r="BG21" s="263"/>
      <c r="BH21" s="264">
        <f t="shared" si="37"/>
        <v>0</v>
      </c>
      <c r="BI21" s="265">
        <f t="shared" si="38"/>
        <v>0</v>
      </c>
      <c r="BJ21" s="263"/>
      <c r="BK21" s="263"/>
      <c r="BL21" s="264">
        <f t="shared" si="39"/>
        <v>0</v>
      </c>
      <c r="BM21" s="265">
        <f t="shared" si="40"/>
        <v>0</v>
      </c>
      <c r="BN21" s="263"/>
      <c r="BO21" s="263"/>
      <c r="BP21" s="264">
        <f t="shared" si="41"/>
        <v>0</v>
      </c>
      <c r="BQ21" s="265">
        <f t="shared" si="42"/>
        <v>0</v>
      </c>
      <c r="BR21" s="266">
        <f t="shared" si="43"/>
        <v>0</v>
      </c>
      <c r="BS21" s="267">
        <f t="shared" si="44"/>
        <v>0</v>
      </c>
      <c r="BT21" s="263"/>
      <c r="BU21" s="263"/>
      <c r="BV21" s="264">
        <f t="shared" si="45"/>
        <v>0</v>
      </c>
      <c r="BW21" s="265">
        <f t="shared" si="46"/>
        <v>0</v>
      </c>
      <c r="BX21" s="263"/>
      <c r="BY21" s="263"/>
      <c r="BZ21" s="264">
        <f t="shared" si="47"/>
        <v>0</v>
      </c>
      <c r="CA21" s="265">
        <f t="shared" si="48"/>
        <v>0</v>
      </c>
      <c r="CB21" s="268">
        <f t="shared" si="49"/>
        <v>0</v>
      </c>
      <c r="CC21" s="267">
        <f t="shared" si="50"/>
        <v>0</v>
      </c>
      <c r="CD21" s="263"/>
      <c r="CE21" s="263"/>
      <c r="CF21" s="264">
        <f t="shared" si="51"/>
        <v>0</v>
      </c>
      <c r="CG21" s="265">
        <f t="shared" si="52"/>
        <v>0</v>
      </c>
      <c r="CH21" s="268">
        <f t="shared" si="53"/>
        <v>0</v>
      </c>
      <c r="CI21" s="267">
        <f t="shared" si="54"/>
        <v>0</v>
      </c>
      <c r="CJ21" s="263"/>
      <c r="CK21" s="269">
        <f t="shared" si="55"/>
        <v>0</v>
      </c>
      <c r="CL21" s="270">
        <f t="shared" si="56"/>
        <v>0</v>
      </c>
      <c r="CM21" s="268">
        <f t="shared" si="57"/>
        <v>0</v>
      </c>
      <c r="CN21" s="267">
        <f t="shared" si="58"/>
        <v>0</v>
      </c>
      <c r="CO21" s="65">
        <f t="shared" si="59"/>
        <v>0</v>
      </c>
      <c r="CP21" s="66">
        <f t="shared" si="60"/>
        <v>0</v>
      </c>
      <c r="CQ21" s="31">
        <f t="shared" si="61"/>
        <v>1.5178571428571428</v>
      </c>
      <c r="CR21" s="32">
        <f t="shared" si="62"/>
        <v>1</v>
      </c>
      <c r="CS21" s="33">
        <f t="shared" si="63"/>
        <v>0</v>
      </c>
      <c r="CT21" s="34">
        <f t="shared" si="64"/>
        <v>0</v>
      </c>
      <c r="CU21" s="67">
        <f t="shared" si="65"/>
        <v>0.7589285714285714</v>
      </c>
      <c r="CV21" s="35">
        <f t="shared" si="66"/>
        <v>1</v>
      </c>
      <c r="CW21" s="59">
        <f t="shared" si="67"/>
        <v>1</v>
      </c>
      <c r="CX21" s="43" t="str">
        <f t="shared" si="68"/>
        <v>مؤجل(ة)</v>
      </c>
      <c r="CZ21" s="51"/>
      <c r="DA21" s="46"/>
    </row>
    <row r="22" spans="2:105" ht="27.75" customHeight="1" thickBot="1">
      <c r="B22" s="1">
        <f t="shared" si="69"/>
        <v>17</v>
      </c>
      <c r="C22" s="323" t="s">
        <v>539</v>
      </c>
      <c r="D22" s="249" t="s">
        <v>540</v>
      </c>
      <c r="E22" s="47"/>
      <c r="F22" s="135"/>
      <c r="G22" s="136"/>
      <c r="H22" s="131"/>
      <c r="I22" s="132"/>
      <c r="J22" s="133"/>
      <c r="K22" s="134"/>
      <c r="L22" s="53">
        <f t="shared" si="7"/>
        <v>0</v>
      </c>
      <c r="M22" s="58">
        <f t="shared" si="8"/>
        <v>0</v>
      </c>
      <c r="N22" s="262">
        <v>10.5</v>
      </c>
      <c r="O22" s="263">
        <v>10.5</v>
      </c>
      <c r="P22" s="228">
        <f t="shared" si="9"/>
        <v>10.5</v>
      </c>
      <c r="Q22" s="229">
        <f t="shared" si="10"/>
        <v>5</v>
      </c>
      <c r="R22" s="262">
        <v>12.75</v>
      </c>
      <c r="S22" s="263">
        <v>12.75</v>
      </c>
      <c r="T22" s="228">
        <f t="shared" si="11"/>
        <v>12.75</v>
      </c>
      <c r="U22" s="229">
        <f t="shared" si="12"/>
        <v>6</v>
      </c>
      <c r="V22" s="262">
        <v>10</v>
      </c>
      <c r="W22" s="263">
        <v>10</v>
      </c>
      <c r="X22" s="228">
        <f t="shared" si="13"/>
        <v>10</v>
      </c>
      <c r="Y22" s="229">
        <f t="shared" si="14"/>
        <v>6</v>
      </c>
      <c r="Z22" s="232">
        <f t="shared" si="15"/>
        <v>11.083333333333334</v>
      </c>
      <c r="AA22" s="233">
        <f t="shared" si="16"/>
        <v>17</v>
      </c>
      <c r="AB22" s="263"/>
      <c r="AC22" s="234">
        <f t="shared" si="17"/>
        <v>0</v>
      </c>
      <c r="AD22" s="235">
        <f t="shared" si="18"/>
        <v>0</v>
      </c>
      <c r="AE22" s="262"/>
      <c r="AF22" s="263"/>
      <c r="AG22" s="228">
        <f t="shared" si="19"/>
        <v>0</v>
      </c>
      <c r="AH22" s="229">
        <f t="shared" si="20"/>
        <v>0</v>
      </c>
      <c r="AI22" s="262"/>
      <c r="AJ22" s="263"/>
      <c r="AK22" s="228">
        <f t="shared" si="21"/>
        <v>0</v>
      </c>
      <c r="AL22" s="229">
        <f t="shared" si="22"/>
        <v>0</v>
      </c>
      <c r="AM22" s="236">
        <f t="shared" si="23"/>
        <v>0</v>
      </c>
      <c r="AN22" s="237">
        <f t="shared" si="24"/>
        <v>0</v>
      </c>
      <c r="AO22" s="262"/>
      <c r="AP22" s="263"/>
      <c r="AQ22" s="228">
        <f t="shared" si="25"/>
        <v>0</v>
      </c>
      <c r="AR22" s="229">
        <f t="shared" si="26"/>
        <v>0</v>
      </c>
      <c r="AS22" s="263">
        <v>10</v>
      </c>
      <c r="AT22" s="234">
        <f t="shared" si="27"/>
        <v>10</v>
      </c>
      <c r="AU22" s="238">
        <f t="shared" si="28"/>
        <v>1</v>
      </c>
      <c r="AV22" s="236">
        <f t="shared" si="29"/>
        <v>5</v>
      </c>
      <c r="AW22" s="237">
        <f t="shared" si="30"/>
        <v>1</v>
      </c>
      <c r="AX22" s="263"/>
      <c r="AY22" s="263"/>
      <c r="AZ22" s="228">
        <f t="shared" si="31"/>
        <v>0</v>
      </c>
      <c r="BA22" s="229">
        <f t="shared" si="32"/>
        <v>0</v>
      </c>
      <c r="BB22" s="236">
        <f t="shared" si="33"/>
        <v>0</v>
      </c>
      <c r="BC22" s="237">
        <f t="shared" si="34"/>
        <v>0</v>
      </c>
      <c r="BD22" s="239">
        <f t="shared" si="35"/>
        <v>5.4642857142857144</v>
      </c>
      <c r="BE22" s="240">
        <f t="shared" si="36"/>
        <v>18</v>
      </c>
      <c r="BF22" s="263"/>
      <c r="BG22" s="263"/>
      <c r="BH22" s="264">
        <f t="shared" si="37"/>
        <v>0</v>
      </c>
      <c r="BI22" s="265">
        <f t="shared" si="38"/>
        <v>0</v>
      </c>
      <c r="BJ22" s="263"/>
      <c r="BK22" s="263"/>
      <c r="BL22" s="264">
        <f t="shared" si="39"/>
        <v>0</v>
      </c>
      <c r="BM22" s="265">
        <f t="shared" si="40"/>
        <v>0</v>
      </c>
      <c r="BN22" s="263"/>
      <c r="BO22" s="263"/>
      <c r="BP22" s="264">
        <f t="shared" si="41"/>
        <v>0</v>
      </c>
      <c r="BQ22" s="265">
        <f t="shared" si="42"/>
        <v>0</v>
      </c>
      <c r="BR22" s="266">
        <f t="shared" si="43"/>
        <v>0</v>
      </c>
      <c r="BS22" s="267">
        <f t="shared" si="44"/>
        <v>0</v>
      </c>
      <c r="BT22" s="263"/>
      <c r="BU22" s="263"/>
      <c r="BV22" s="264">
        <f t="shared" si="45"/>
        <v>0</v>
      </c>
      <c r="BW22" s="265">
        <f t="shared" si="46"/>
        <v>0</v>
      </c>
      <c r="BX22" s="263"/>
      <c r="BY22" s="263"/>
      <c r="BZ22" s="264">
        <f t="shared" si="47"/>
        <v>0</v>
      </c>
      <c r="CA22" s="265">
        <f t="shared" si="48"/>
        <v>0</v>
      </c>
      <c r="CB22" s="268">
        <f t="shared" si="49"/>
        <v>0</v>
      </c>
      <c r="CC22" s="267">
        <f t="shared" si="50"/>
        <v>0</v>
      </c>
      <c r="CD22" s="263"/>
      <c r="CE22" s="263"/>
      <c r="CF22" s="264">
        <f t="shared" si="51"/>
        <v>0</v>
      </c>
      <c r="CG22" s="265">
        <f t="shared" si="52"/>
        <v>0</v>
      </c>
      <c r="CH22" s="268">
        <f t="shared" si="53"/>
        <v>0</v>
      </c>
      <c r="CI22" s="267">
        <f t="shared" si="54"/>
        <v>0</v>
      </c>
      <c r="CJ22" s="263"/>
      <c r="CK22" s="269">
        <f t="shared" si="55"/>
        <v>0</v>
      </c>
      <c r="CL22" s="270">
        <f t="shared" si="56"/>
        <v>0</v>
      </c>
      <c r="CM22" s="268">
        <f t="shared" si="57"/>
        <v>0</v>
      </c>
      <c r="CN22" s="267">
        <f t="shared" si="58"/>
        <v>0</v>
      </c>
      <c r="CO22" s="65">
        <f t="shared" si="59"/>
        <v>0</v>
      </c>
      <c r="CP22" s="66">
        <f t="shared" si="60"/>
        <v>0</v>
      </c>
      <c r="CQ22" s="31">
        <f t="shared" si="61"/>
        <v>5.4642857142857144</v>
      </c>
      <c r="CR22" s="32">
        <f t="shared" si="62"/>
        <v>18</v>
      </c>
      <c r="CS22" s="33">
        <f t="shared" si="63"/>
        <v>0</v>
      </c>
      <c r="CT22" s="34">
        <f t="shared" si="64"/>
        <v>0</v>
      </c>
      <c r="CU22" s="67">
        <f t="shared" si="65"/>
        <v>2.7321428571428572</v>
      </c>
      <c r="CV22" s="35">
        <f t="shared" si="66"/>
        <v>18</v>
      </c>
      <c r="CW22" s="59">
        <f t="shared" si="67"/>
        <v>18</v>
      </c>
      <c r="CX22" s="43" t="str">
        <f t="shared" si="68"/>
        <v>مؤجل(ة)</v>
      </c>
      <c r="CZ22" s="51"/>
      <c r="DA22" s="46"/>
    </row>
    <row r="23" spans="2:105" ht="27.75" customHeight="1" thickBot="1">
      <c r="B23" s="1">
        <f t="shared" si="69"/>
        <v>18</v>
      </c>
      <c r="C23" s="324" t="s">
        <v>541</v>
      </c>
      <c r="D23" s="249" t="s">
        <v>542</v>
      </c>
      <c r="E23" s="137" t="s">
        <v>788</v>
      </c>
      <c r="F23" s="135">
        <v>35562</v>
      </c>
      <c r="G23" s="136" t="s">
        <v>746</v>
      </c>
      <c r="H23" s="131"/>
      <c r="I23" s="132">
        <v>22</v>
      </c>
      <c r="J23" s="133">
        <v>9.4700000000000006</v>
      </c>
      <c r="K23" s="134">
        <v>14</v>
      </c>
      <c r="L23" s="53">
        <f t="shared" si="7"/>
        <v>4.7350000000000003</v>
      </c>
      <c r="M23" s="58">
        <f t="shared" si="8"/>
        <v>36</v>
      </c>
      <c r="N23" s="262">
        <v>11</v>
      </c>
      <c r="O23" s="263">
        <v>16</v>
      </c>
      <c r="P23" s="228">
        <f t="shared" si="9"/>
        <v>13.5</v>
      </c>
      <c r="Q23" s="229">
        <f t="shared" si="10"/>
        <v>5</v>
      </c>
      <c r="R23" s="262">
        <v>12</v>
      </c>
      <c r="S23" s="263">
        <v>13</v>
      </c>
      <c r="T23" s="228">
        <f t="shared" si="11"/>
        <v>12.5</v>
      </c>
      <c r="U23" s="229">
        <f t="shared" si="12"/>
        <v>6</v>
      </c>
      <c r="V23" s="262">
        <v>16</v>
      </c>
      <c r="W23" s="263">
        <v>6.25</v>
      </c>
      <c r="X23" s="228">
        <f t="shared" si="13"/>
        <v>11.125</v>
      </c>
      <c r="Y23" s="229">
        <f t="shared" si="14"/>
        <v>6</v>
      </c>
      <c r="Z23" s="232">
        <f t="shared" si="15"/>
        <v>12.375</v>
      </c>
      <c r="AA23" s="233">
        <f t="shared" si="16"/>
        <v>17</v>
      </c>
      <c r="AB23" s="263">
        <v>13.5</v>
      </c>
      <c r="AC23" s="234">
        <f t="shared" si="17"/>
        <v>13.5</v>
      </c>
      <c r="AD23" s="235">
        <f t="shared" si="18"/>
        <v>1</v>
      </c>
      <c r="AE23" s="262">
        <v>5.5</v>
      </c>
      <c r="AF23" s="263">
        <v>5.5</v>
      </c>
      <c r="AG23" s="228">
        <f t="shared" si="19"/>
        <v>5.5</v>
      </c>
      <c r="AH23" s="229">
        <f t="shared" si="20"/>
        <v>0</v>
      </c>
      <c r="AI23" s="262">
        <v>10</v>
      </c>
      <c r="AJ23" s="263">
        <v>4</v>
      </c>
      <c r="AK23" s="228">
        <f t="shared" si="21"/>
        <v>7</v>
      </c>
      <c r="AL23" s="229">
        <f t="shared" si="22"/>
        <v>0</v>
      </c>
      <c r="AM23" s="236">
        <f t="shared" si="23"/>
        <v>7.7</v>
      </c>
      <c r="AN23" s="237">
        <f t="shared" si="24"/>
        <v>1</v>
      </c>
      <c r="AO23" s="262"/>
      <c r="AP23" s="263">
        <v>2</v>
      </c>
      <c r="AQ23" s="228">
        <f t="shared" si="25"/>
        <v>1</v>
      </c>
      <c r="AR23" s="229">
        <f t="shared" si="26"/>
        <v>0</v>
      </c>
      <c r="AS23" s="263">
        <v>11.5</v>
      </c>
      <c r="AT23" s="234">
        <f t="shared" si="27"/>
        <v>11.5</v>
      </c>
      <c r="AU23" s="238">
        <f t="shared" si="28"/>
        <v>1</v>
      </c>
      <c r="AV23" s="236">
        <f t="shared" si="29"/>
        <v>6.25</v>
      </c>
      <c r="AW23" s="237">
        <f t="shared" si="30"/>
        <v>1</v>
      </c>
      <c r="AX23" s="263">
        <v>14</v>
      </c>
      <c r="AY23" s="263">
        <v>11</v>
      </c>
      <c r="AZ23" s="228">
        <f t="shared" si="31"/>
        <v>12.5</v>
      </c>
      <c r="BA23" s="229">
        <f t="shared" si="32"/>
        <v>1</v>
      </c>
      <c r="BB23" s="236">
        <f t="shared" si="33"/>
        <v>12.5</v>
      </c>
      <c r="BC23" s="237">
        <f t="shared" si="34"/>
        <v>1</v>
      </c>
      <c r="BD23" s="239">
        <f t="shared" si="35"/>
        <v>9.8392857142857135</v>
      </c>
      <c r="BE23" s="240">
        <f t="shared" si="36"/>
        <v>20</v>
      </c>
      <c r="BF23" s="263"/>
      <c r="BG23" s="263"/>
      <c r="BH23" s="264">
        <f t="shared" si="37"/>
        <v>0</v>
      </c>
      <c r="BI23" s="265">
        <f t="shared" si="38"/>
        <v>0</v>
      </c>
      <c r="BJ23" s="263"/>
      <c r="BK23" s="263"/>
      <c r="BL23" s="264">
        <f t="shared" si="39"/>
        <v>0</v>
      </c>
      <c r="BM23" s="265">
        <f t="shared" si="40"/>
        <v>0</v>
      </c>
      <c r="BN23" s="263"/>
      <c r="BO23" s="263"/>
      <c r="BP23" s="264">
        <f t="shared" si="41"/>
        <v>0</v>
      </c>
      <c r="BQ23" s="265">
        <f t="shared" si="42"/>
        <v>0</v>
      </c>
      <c r="BR23" s="266">
        <f t="shared" si="43"/>
        <v>0</v>
      </c>
      <c r="BS23" s="267">
        <f t="shared" si="44"/>
        <v>0</v>
      </c>
      <c r="BT23" s="263"/>
      <c r="BU23" s="263"/>
      <c r="BV23" s="264">
        <f t="shared" si="45"/>
        <v>0</v>
      </c>
      <c r="BW23" s="265">
        <f t="shared" si="46"/>
        <v>0</v>
      </c>
      <c r="BX23" s="263"/>
      <c r="BY23" s="263"/>
      <c r="BZ23" s="264">
        <f t="shared" si="47"/>
        <v>0</v>
      </c>
      <c r="CA23" s="265">
        <f t="shared" si="48"/>
        <v>0</v>
      </c>
      <c r="CB23" s="268">
        <f t="shared" si="49"/>
        <v>0</v>
      </c>
      <c r="CC23" s="267">
        <f t="shared" si="50"/>
        <v>0</v>
      </c>
      <c r="CD23" s="263"/>
      <c r="CE23" s="263"/>
      <c r="CF23" s="264">
        <f t="shared" si="51"/>
        <v>0</v>
      </c>
      <c r="CG23" s="265">
        <f t="shared" si="52"/>
        <v>0</v>
      </c>
      <c r="CH23" s="268">
        <f t="shared" si="53"/>
        <v>0</v>
      </c>
      <c r="CI23" s="267">
        <f t="shared" si="54"/>
        <v>0</v>
      </c>
      <c r="CJ23" s="263"/>
      <c r="CK23" s="269">
        <f t="shared" si="55"/>
        <v>0</v>
      </c>
      <c r="CL23" s="270">
        <f t="shared" si="56"/>
        <v>0</v>
      </c>
      <c r="CM23" s="268">
        <f t="shared" si="57"/>
        <v>0</v>
      </c>
      <c r="CN23" s="267">
        <f t="shared" si="58"/>
        <v>0</v>
      </c>
      <c r="CO23" s="65">
        <f t="shared" si="59"/>
        <v>0</v>
      </c>
      <c r="CP23" s="66">
        <f t="shared" si="60"/>
        <v>0</v>
      </c>
      <c r="CQ23" s="31">
        <f t="shared" si="61"/>
        <v>9.8392857142857135</v>
      </c>
      <c r="CR23" s="32">
        <f t="shared" si="62"/>
        <v>20</v>
      </c>
      <c r="CS23" s="33">
        <f t="shared" si="63"/>
        <v>0</v>
      </c>
      <c r="CT23" s="34">
        <f t="shared" si="64"/>
        <v>0</v>
      </c>
      <c r="CU23" s="67">
        <f t="shared" si="65"/>
        <v>4.9196428571428568</v>
      </c>
      <c r="CV23" s="35">
        <f t="shared" si="66"/>
        <v>20</v>
      </c>
      <c r="CW23" s="59">
        <f t="shared" si="67"/>
        <v>56</v>
      </c>
      <c r="CX23" s="43" t="str">
        <f t="shared" si="68"/>
        <v>مؤجل(ة)</v>
      </c>
      <c r="CY23" s="44"/>
      <c r="CZ23" s="50"/>
      <c r="DA23" s="46"/>
    </row>
    <row r="24" spans="2:105" ht="27.75" customHeight="1" thickBot="1">
      <c r="B24" s="1">
        <f t="shared" si="69"/>
        <v>19</v>
      </c>
      <c r="C24" s="323" t="s">
        <v>543</v>
      </c>
      <c r="D24" s="249" t="s">
        <v>544</v>
      </c>
      <c r="E24" s="47" t="s">
        <v>789</v>
      </c>
      <c r="F24" s="135">
        <v>33892</v>
      </c>
      <c r="G24" s="136" t="s">
        <v>746</v>
      </c>
      <c r="H24" s="131">
        <v>8.6999999999999993</v>
      </c>
      <c r="I24" s="132">
        <v>16</v>
      </c>
      <c r="J24" s="133">
        <v>8.6300000000000008</v>
      </c>
      <c r="K24" s="134">
        <v>14</v>
      </c>
      <c r="L24" s="53">
        <f t="shared" si="7"/>
        <v>8.6649999999999991</v>
      </c>
      <c r="M24" s="58">
        <f t="shared" si="8"/>
        <v>30</v>
      </c>
      <c r="N24" s="262">
        <v>13</v>
      </c>
      <c r="O24" s="263">
        <v>4</v>
      </c>
      <c r="P24" s="228">
        <f t="shared" si="9"/>
        <v>8.5</v>
      </c>
      <c r="Q24" s="229">
        <f t="shared" si="10"/>
        <v>0</v>
      </c>
      <c r="R24" s="262">
        <v>13</v>
      </c>
      <c r="S24" s="263">
        <v>5</v>
      </c>
      <c r="T24" s="228">
        <f t="shared" si="11"/>
        <v>9</v>
      </c>
      <c r="U24" s="229">
        <f t="shared" si="12"/>
        <v>0</v>
      </c>
      <c r="V24" s="262">
        <v>13.5</v>
      </c>
      <c r="W24" s="263">
        <v>4.5</v>
      </c>
      <c r="X24" s="228">
        <f t="shared" si="13"/>
        <v>9</v>
      </c>
      <c r="Y24" s="229">
        <f t="shared" si="14"/>
        <v>0</v>
      </c>
      <c r="Z24" s="232">
        <f t="shared" si="15"/>
        <v>8.8333333333333339</v>
      </c>
      <c r="AA24" s="233">
        <f t="shared" si="16"/>
        <v>0</v>
      </c>
      <c r="AB24" s="263">
        <v>5</v>
      </c>
      <c r="AC24" s="234">
        <f t="shared" si="17"/>
        <v>5</v>
      </c>
      <c r="AD24" s="235">
        <f t="shared" si="18"/>
        <v>0</v>
      </c>
      <c r="AE24" s="262">
        <v>0.5</v>
      </c>
      <c r="AF24" s="263">
        <v>0.5</v>
      </c>
      <c r="AG24" s="228">
        <f t="shared" si="19"/>
        <v>0.5</v>
      </c>
      <c r="AH24" s="229">
        <f t="shared" si="20"/>
        <v>0</v>
      </c>
      <c r="AI24" s="262">
        <v>8</v>
      </c>
      <c r="AJ24" s="263">
        <v>0.5</v>
      </c>
      <c r="AK24" s="228">
        <f t="shared" si="21"/>
        <v>4.25</v>
      </c>
      <c r="AL24" s="229">
        <f t="shared" si="22"/>
        <v>0</v>
      </c>
      <c r="AM24" s="236">
        <f t="shared" si="23"/>
        <v>2.9</v>
      </c>
      <c r="AN24" s="237">
        <f t="shared" si="24"/>
        <v>0</v>
      </c>
      <c r="AO24" s="262">
        <v>10</v>
      </c>
      <c r="AP24" s="263">
        <v>5</v>
      </c>
      <c r="AQ24" s="228">
        <f t="shared" si="25"/>
        <v>7.5</v>
      </c>
      <c r="AR24" s="229">
        <f t="shared" si="26"/>
        <v>0</v>
      </c>
      <c r="AS24" s="263">
        <v>0</v>
      </c>
      <c r="AT24" s="234">
        <f t="shared" si="27"/>
        <v>0</v>
      </c>
      <c r="AU24" s="238">
        <f t="shared" si="28"/>
        <v>0</v>
      </c>
      <c r="AV24" s="236">
        <f t="shared" si="29"/>
        <v>3.75</v>
      </c>
      <c r="AW24" s="237">
        <f t="shared" si="30"/>
        <v>0</v>
      </c>
      <c r="AX24" s="263">
        <v>15</v>
      </c>
      <c r="AY24" s="263">
        <v>13</v>
      </c>
      <c r="AZ24" s="228">
        <f t="shared" si="31"/>
        <v>14</v>
      </c>
      <c r="BA24" s="229">
        <f t="shared" si="32"/>
        <v>1</v>
      </c>
      <c r="BB24" s="236">
        <f t="shared" si="33"/>
        <v>14</v>
      </c>
      <c r="BC24" s="237">
        <f t="shared" si="34"/>
        <v>1</v>
      </c>
      <c r="BD24" s="239">
        <f t="shared" si="35"/>
        <v>6.3571428571428568</v>
      </c>
      <c r="BE24" s="240">
        <f t="shared" si="36"/>
        <v>1</v>
      </c>
      <c r="BF24" s="263"/>
      <c r="BG24" s="263"/>
      <c r="BH24" s="264">
        <f t="shared" si="37"/>
        <v>0</v>
      </c>
      <c r="BI24" s="265">
        <f t="shared" si="38"/>
        <v>0</v>
      </c>
      <c r="BJ24" s="263"/>
      <c r="BK24" s="263"/>
      <c r="BL24" s="264">
        <f t="shared" si="39"/>
        <v>0</v>
      </c>
      <c r="BM24" s="265">
        <f t="shared" si="40"/>
        <v>0</v>
      </c>
      <c r="BN24" s="263"/>
      <c r="BO24" s="263"/>
      <c r="BP24" s="264">
        <f t="shared" si="41"/>
        <v>0</v>
      </c>
      <c r="BQ24" s="265">
        <f t="shared" si="42"/>
        <v>0</v>
      </c>
      <c r="BR24" s="266">
        <f t="shared" si="43"/>
        <v>0</v>
      </c>
      <c r="BS24" s="267">
        <f t="shared" si="44"/>
        <v>0</v>
      </c>
      <c r="BT24" s="263"/>
      <c r="BU24" s="263"/>
      <c r="BV24" s="264">
        <f t="shared" si="45"/>
        <v>0</v>
      </c>
      <c r="BW24" s="265">
        <f t="shared" si="46"/>
        <v>0</v>
      </c>
      <c r="BX24" s="263"/>
      <c r="BY24" s="263"/>
      <c r="BZ24" s="264">
        <f t="shared" si="47"/>
        <v>0</v>
      </c>
      <c r="CA24" s="265">
        <f t="shared" si="48"/>
        <v>0</v>
      </c>
      <c r="CB24" s="268">
        <f t="shared" si="49"/>
        <v>0</v>
      </c>
      <c r="CC24" s="267">
        <f t="shared" si="50"/>
        <v>0</v>
      </c>
      <c r="CD24" s="263"/>
      <c r="CE24" s="263"/>
      <c r="CF24" s="264">
        <f t="shared" si="51"/>
        <v>0</v>
      </c>
      <c r="CG24" s="265">
        <f t="shared" si="52"/>
        <v>0</v>
      </c>
      <c r="CH24" s="268">
        <f t="shared" si="53"/>
        <v>0</v>
      </c>
      <c r="CI24" s="267">
        <f t="shared" si="54"/>
        <v>0</v>
      </c>
      <c r="CJ24" s="263"/>
      <c r="CK24" s="269">
        <f t="shared" si="55"/>
        <v>0</v>
      </c>
      <c r="CL24" s="270">
        <f t="shared" si="56"/>
        <v>0</v>
      </c>
      <c r="CM24" s="268">
        <f t="shared" si="57"/>
        <v>0</v>
      </c>
      <c r="CN24" s="267">
        <f t="shared" si="58"/>
        <v>0</v>
      </c>
      <c r="CO24" s="65">
        <f t="shared" si="59"/>
        <v>0</v>
      </c>
      <c r="CP24" s="66">
        <f t="shared" si="60"/>
        <v>0</v>
      </c>
      <c r="CQ24" s="31">
        <f t="shared" si="61"/>
        <v>6.3571428571428568</v>
      </c>
      <c r="CR24" s="32">
        <f t="shared" si="62"/>
        <v>1</v>
      </c>
      <c r="CS24" s="33">
        <f t="shared" si="63"/>
        <v>0</v>
      </c>
      <c r="CT24" s="34">
        <f t="shared" si="64"/>
        <v>0</v>
      </c>
      <c r="CU24" s="67">
        <f t="shared" si="65"/>
        <v>3.1785714285714284</v>
      </c>
      <c r="CV24" s="35">
        <f t="shared" si="66"/>
        <v>1</v>
      </c>
      <c r="CW24" s="59">
        <f t="shared" si="67"/>
        <v>31</v>
      </c>
      <c r="CX24" s="43" t="str">
        <f t="shared" si="68"/>
        <v>مؤجل(ة)</v>
      </c>
      <c r="CY24" s="44"/>
      <c r="CZ24" s="50"/>
      <c r="DA24" s="46"/>
    </row>
    <row r="25" spans="2:105" ht="27.75" customHeight="1" thickBot="1">
      <c r="B25" s="1">
        <f t="shared" si="69"/>
        <v>20</v>
      </c>
      <c r="C25" s="324" t="s">
        <v>545</v>
      </c>
      <c r="D25" s="249" t="s">
        <v>546</v>
      </c>
      <c r="E25" s="47" t="s">
        <v>790</v>
      </c>
      <c r="F25" s="135">
        <v>36109</v>
      </c>
      <c r="G25" s="52" t="s">
        <v>746</v>
      </c>
      <c r="H25" s="131">
        <v>8.94</v>
      </c>
      <c r="I25" s="132">
        <v>20</v>
      </c>
      <c r="J25" s="133">
        <v>0</v>
      </c>
      <c r="K25" s="134">
        <v>12</v>
      </c>
      <c r="L25" s="53">
        <f t="shared" si="7"/>
        <v>4.47</v>
      </c>
      <c r="M25" s="58">
        <f t="shared" si="8"/>
        <v>32</v>
      </c>
      <c r="N25" s="262">
        <v>16</v>
      </c>
      <c r="O25" s="263">
        <v>10</v>
      </c>
      <c r="P25" s="228">
        <f t="shared" si="9"/>
        <v>13</v>
      </c>
      <c r="Q25" s="229">
        <f t="shared" si="10"/>
        <v>5</v>
      </c>
      <c r="R25" s="262">
        <v>14.5</v>
      </c>
      <c r="S25" s="263">
        <v>6</v>
      </c>
      <c r="T25" s="228">
        <f t="shared" si="11"/>
        <v>10.25</v>
      </c>
      <c r="U25" s="229">
        <f t="shared" si="12"/>
        <v>6</v>
      </c>
      <c r="V25" s="262">
        <v>11.5</v>
      </c>
      <c r="W25" s="263">
        <v>8.5</v>
      </c>
      <c r="X25" s="228">
        <f t="shared" si="13"/>
        <v>10</v>
      </c>
      <c r="Y25" s="229">
        <f t="shared" si="14"/>
        <v>6</v>
      </c>
      <c r="Z25" s="232">
        <f t="shared" si="15"/>
        <v>11.083333333333334</v>
      </c>
      <c r="AA25" s="233">
        <f t="shared" si="16"/>
        <v>17</v>
      </c>
      <c r="AB25" s="263">
        <v>3.5</v>
      </c>
      <c r="AC25" s="234">
        <f t="shared" si="17"/>
        <v>3.5</v>
      </c>
      <c r="AD25" s="235">
        <f t="shared" si="18"/>
        <v>0</v>
      </c>
      <c r="AE25" s="262">
        <v>15</v>
      </c>
      <c r="AF25" s="263">
        <v>15</v>
      </c>
      <c r="AG25" s="228">
        <f t="shared" si="19"/>
        <v>15</v>
      </c>
      <c r="AH25" s="229">
        <f t="shared" si="20"/>
        <v>3</v>
      </c>
      <c r="AI25" s="262">
        <v>14</v>
      </c>
      <c r="AJ25" s="263">
        <v>5</v>
      </c>
      <c r="AK25" s="228">
        <f t="shared" si="21"/>
        <v>9.5</v>
      </c>
      <c r="AL25" s="229">
        <f t="shared" si="22"/>
        <v>0</v>
      </c>
      <c r="AM25" s="236">
        <f t="shared" si="23"/>
        <v>10.5</v>
      </c>
      <c r="AN25" s="237">
        <f t="shared" si="24"/>
        <v>7</v>
      </c>
      <c r="AO25" s="262">
        <v>10.5</v>
      </c>
      <c r="AP25" s="263">
        <v>0</v>
      </c>
      <c r="AQ25" s="228">
        <f t="shared" si="25"/>
        <v>5.25</v>
      </c>
      <c r="AR25" s="229">
        <f t="shared" si="26"/>
        <v>0</v>
      </c>
      <c r="AS25" s="263">
        <v>15.5</v>
      </c>
      <c r="AT25" s="234">
        <f t="shared" si="27"/>
        <v>15.5</v>
      </c>
      <c r="AU25" s="238">
        <f t="shared" si="28"/>
        <v>1</v>
      </c>
      <c r="AV25" s="236">
        <f t="shared" si="29"/>
        <v>10.375</v>
      </c>
      <c r="AW25" s="237">
        <f t="shared" si="30"/>
        <v>5</v>
      </c>
      <c r="AX25" s="263">
        <v>15</v>
      </c>
      <c r="AY25" s="263">
        <v>15</v>
      </c>
      <c r="AZ25" s="228">
        <f t="shared" si="31"/>
        <v>15</v>
      </c>
      <c r="BA25" s="229">
        <f t="shared" si="32"/>
        <v>1</v>
      </c>
      <c r="BB25" s="236">
        <f t="shared" si="33"/>
        <v>15</v>
      </c>
      <c r="BC25" s="237">
        <f t="shared" si="34"/>
        <v>1</v>
      </c>
      <c r="BD25" s="239">
        <f t="shared" si="35"/>
        <v>11.053571428571429</v>
      </c>
      <c r="BE25" s="240">
        <f t="shared" si="36"/>
        <v>30</v>
      </c>
      <c r="BF25" s="263"/>
      <c r="BG25" s="263"/>
      <c r="BH25" s="264">
        <f t="shared" si="37"/>
        <v>0</v>
      </c>
      <c r="BI25" s="265">
        <f t="shared" si="38"/>
        <v>0</v>
      </c>
      <c r="BJ25" s="263"/>
      <c r="BK25" s="263"/>
      <c r="BL25" s="264">
        <f t="shared" si="39"/>
        <v>0</v>
      </c>
      <c r="BM25" s="265">
        <f t="shared" si="40"/>
        <v>0</v>
      </c>
      <c r="BN25" s="263"/>
      <c r="BO25" s="263"/>
      <c r="BP25" s="264">
        <f t="shared" si="41"/>
        <v>0</v>
      </c>
      <c r="BQ25" s="265">
        <f t="shared" si="42"/>
        <v>0</v>
      </c>
      <c r="BR25" s="266">
        <f t="shared" si="43"/>
        <v>0</v>
      </c>
      <c r="BS25" s="267">
        <f t="shared" si="44"/>
        <v>0</v>
      </c>
      <c r="BT25" s="263"/>
      <c r="BU25" s="263"/>
      <c r="BV25" s="264">
        <f t="shared" si="45"/>
        <v>0</v>
      </c>
      <c r="BW25" s="265">
        <f t="shared" si="46"/>
        <v>0</v>
      </c>
      <c r="BX25" s="263"/>
      <c r="BY25" s="263"/>
      <c r="BZ25" s="264">
        <f t="shared" si="47"/>
        <v>0</v>
      </c>
      <c r="CA25" s="265">
        <f t="shared" si="48"/>
        <v>0</v>
      </c>
      <c r="CB25" s="268">
        <f t="shared" si="49"/>
        <v>0</v>
      </c>
      <c r="CC25" s="267">
        <f t="shared" si="50"/>
        <v>0</v>
      </c>
      <c r="CD25" s="263"/>
      <c r="CE25" s="263"/>
      <c r="CF25" s="264">
        <f t="shared" si="51"/>
        <v>0</v>
      </c>
      <c r="CG25" s="265">
        <f t="shared" si="52"/>
        <v>0</v>
      </c>
      <c r="CH25" s="268">
        <f t="shared" si="53"/>
        <v>0</v>
      </c>
      <c r="CI25" s="267">
        <f t="shared" si="54"/>
        <v>0</v>
      </c>
      <c r="CJ25" s="263"/>
      <c r="CK25" s="269">
        <f t="shared" si="55"/>
        <v>0</v>
      </c>
      <c r="CL25" s="270">
        <f t="shared" si="56"/>
        <v>0</v>
      </c>
      <c r="CM25" s="268">
        <f t="shared" si="57"/>
        <v>0</v>
      </c>
      <c r="CN25" s="267">
        <f t="shared" si="58"/>
        <v>0</v>
      </c>
      <c r="CO25" s="65">
        <f t="shared" si="59"/>
        <v>0</v>
      </c>
      <c r="CP25" s="66">
        <f t="shared" si="60"/>
        <v>0</v>
      </c>
      <c r="CQ25" s="31">
        <f t="shared" si="61"/>
        <v>11.053571428571429</v>
      </c>
      <c r="CR25" s="32">
        <f t="shared" si="62"/>
        <v>30</v>
      </c>
      <c r="CS25" s="33">
        <f t="shared" si="63"/>
        <v>0</v>
      </c>
      <c r="CT25" s="34">
        <f t="shared" si="64"/>
        <v>0</v>
      </c>
      <c r="CU25" s="67">
        <f t="shared" si="65"/>
        <v>5.5267857142857144</v>
      </c>
      <c r="CV25" s="35">
        <f t="shared" si="66"/>
        <v>30</v>
      </c>
      <c r="CW25" s="59">
        <f t="shared" si="67"/>
        <v>62</v>
      </c>
      <c r="CX25" s="43" t="str">
        <f t="shared" si="68"/>
        <v>مؤجل(ة)</v>
      </c>
      <c r="CY25" s="44"/>
      <c r="CZ25" s="50"/>
      <c r="DA25" s="46"/>
    </row>
    <row r="26" spans="2:105" ht="27.75" customHeight="1" thickBot="1">
      <c r="B26" s="1">
        <f t="shared" si="69"/>
        <v>21</v>
      </c>
      <c r="C26" s="324" t="s">
        <v>547</v>
      </c>
      <c r="D26" s="249" t="s">
        <v>548</v>
      </c>
      <c r="E26" s="47" t="s">
        <v>791</v>
      </c>
      <c r="F26" s="135">
        <v>35130</v>
      </c>
      <c r="G26" s="136" t="s">
        <v>110</v>
      </c>
      <c r="H26" s="131">
        <v>10.01</v>
      </c>
      <c r="I26" s="132">
        <v>30</v>
      </c>
      <c r="J26" s="133">
        <v>10</v>
      </c>
      <c r="K26" s="134">
        <v>30</v>
      </c>
      <c r="L26" s="53">
        <f t="shared" si="7"/>
        <v>10.004999999999999</v>
      </c>
      <c r="M26" s="58">
        <f t="shared" si="8"/>
        <v>60</v>
      </c>
      <c r="N26" s="262">
        <v>9</v>
      </c>
      <c r="O26" s="263">
        <v>6</v>
      </c>
      <c r="P26" s="228">
        <f t="shared" si="9"/>
        <v>7.5</v>
      </c>
      <c r="Q26" s="229">
        <f t="shared" si="10"/>
        <v>0</v>
      </c>
      <c r="R26" s="262">
        <v>11</v>
      </c>
      <c r="S26" s="263"/>
      <c r="T26" s="228">
        <f t="shared" si="11"/>
        <v>5.5</v>
      </c>
      <c r="U26" s="229">
        <f t="shared" si="12"/>
        <v>0</v>
      </c>
      <c r="V26" s="262">
        <v>16</v>
      </c>
      <c r="W26" s="263">
        <v>8</v>
      </c>
      <c r="X26" s="228">
        <f t="shared" si="13"/>
        <v>12</v>
      </c>
      <c r="Y26" s="229">
        <f t="shared" si="14"/>
        <v>6</v>
      </c>
      <c r="Z26" s="232">
        <f t="shared" si="15"/>
        <v>8.3333333333333339</v>
      </c>
      <c r="AA26" s="233">
        <f t="shared" si="16"/>
        <v>6</v>
      </c>
      <c r="AB26" s="263">
        <v>7.5</v>
      </c>
      <c r="AC26" s="234">
        <f t="shared" si="17"/>
        <v>7.5</v>
      </c>
      <c r="AD26" s="235">
        <f t="shared" si="18"/>
        <v>0</v>
      </c>
      <c r="AE26" s="262">
        <v>0</v>
      </c>
      <c r="AF26" s="263">
        <v>0</v>
      </c>
      <c r="AG26" s="228">
        <f t="shared" si="19"/>
        <v>0</v>
      </c>
      <c r="AH26" s="229">
        <f t="shared" si="20"/>
        <v>0</v>
      </c>
      <c r="AI26" s="262">
        <v>5</v>
      </c>
      <c r="AJ26" s="263"/>
      <c r="AK26" s="228">
        <f t="shared" si="21"/>
        <v>2.5</v>
      </c>
      <c r="AL26" s="229">
        <f t="shared" si="22"/>
        <v>0</v>
      </c>
      <c r="AM26" s="236">
        <f t="shared" si="23"/>
        <v>2.5</v>
      </c>
      <c r="AN26" s="237">
        <f t="shared" si="24"/>
        <v>0</v>
      </c>
      <c r="AO26" s="262"/>
      <c r="AP26" s="263">
        <v>4</v>
      </c>
      <c r="AQ26" s="228">
        <f t="shared" si="25"/>
        <v>2</v>
      </c>
      <c r="AR26" s="229">
        <f t="shared" si="26"/>
        <v>0</v>
      </c>
      <c r="AS26" s="263">
        <v>0.5</v>
      </c>
      <c r="AT26" s="234">
        <v>0.5</v>
      </c>
      <c r="AU26" s="238">
        <f t="shared" si="28"/>
        <v>0</v>
      </c>
      <c r="AV26" s="236">
        <f t="shared" si="29"/>
        <v>1.25</v>
      </c>
      <c r="AW26" s="237">
        <f t="shared" si="30"/>
        <v>0</v>
      </c>
      <c r="AX26" s="263">
        <v>10</v>
      </c>
      <c r="AY26" s="263">
        <v>16</v>
      </c>
      <c r="AZ26" s="228">
        <f t="shared" si="31"/>
        <v>13</v>
      </c>
      <c r="BA26" s="229">
        <f t="shared" si="32"/>
        <v>1</v>
      </c>
      <c r="BB26" s="236">
        <f t="shared" si="33"/>
        <v>13</v>
      </c>
      <c r="BC26" s="237">
        <f t="shared" si="34"/>
        <v>1</v>
      </c>
      <c r="BD26" s="239">
        <f t="shared" si="35"/>
        <v>5.5714285714285712</v>
      </c>
      <c r="BE26" s="240">
        <f t="shared" si="36"/>
        <v>7</v>
      </c>
      <c r="BF26" s="263"/>
      <c r="BG26" s="263"/>
      <c r="BH26" s="264">
        <f t="shared" si="37"/>
        <v>0</v>
      </c>
      <c r="BI26" s="265">
        <f t="shared" si="38"/>
        <v>0</v>
      </c>
      <c r="BJ26" s="263"/>
      <c r="BK26" s="263"/>
      <c r="BL26" s="264">
        <f t="shared" si="39"/>
        <v>0</v>
      </c>
      <c r="BM26" s="265">
        <f t="shared" si="40"/>
        <v>0</v>
      </c>
      <c r="BN26" s="263"/>
      <c r="BO26" s="263"/>
      <c r="BP26" s="264">
        <f t="shared" si="41"/>
        <v>0</v>
      </c>
      <c r="BQ26" s="265">
        <f t="shared" si="42"/>
        <v>0</v>
      </c>
      <c r="BR26" s="266">
        <f t="shared" si="43"/>
        <v>0</v>
      </c>
      <c r="BS26" s="267">
        <f t="shared" si="44"/>
        <v>0</v>
      </c>
      <c r="BT26" s="263"/>
      <c r="BU26" s="263"/>
      <c r="BV26" s="264">
        <f t="shared" si="45"/>
        <v>0</v>
      </c>
      <c r="BW26" s="265">
        <f t="shared" si="46"/>
        <v>0</v>
      </c>
      <c r="BX26" s="263"/>
      <c r="BY26" s="263"/>
      <c r="BZ26" s="264">
        <f t="shared" si="47"/>
        <v>0</v>
      </c>
      <c r="CA26" s="265">
        <f t="shared" si="48"/>
        <v>0</v>
      </c>
      <c r="CB26" s="268">
        <f t="shared" si="49"/>
        <v>0</v>
      </c>
      <c r="CC26" s="267">
        <f t="shared" si="50"/>
        <v>0</v>
      </c>
      <c r="CD26" s="263"/>
      <c r="CE26" s="263"/>
      <c r="CF26" s="264">
        <f t="shared" si="51"/>
        <v>0</v>
      </c>
      <c r="CG26" s="265">
        <f t="shared" si="52"/>
        <v>0</v>
      </c>
      <c r="CH26" s="268">
        <f t="shared" si="53"/>
        <v>0</v>
      </c>
      <c r="CI26" s="267">
        <f t="shared" si="54"/>
        <v>0</v>
      </c>
      <c r="CJ26" s="263"/>
      <c r="CK26" s="269">
        <f t="shared" si="55"/>
        <v>0</v>
      </c>
      <c r="CL26" s="270">
        <f t="shared" si="56"/>
        <v>0</v>
      </c>
      <c r="CM26" s="268">
        <f t="shared" si="57"/>
        <v>0</v>
      </c>
      <c r="CN26" s="267">
        <f t="shared" si="58"/>
        <v>0</v>
      </c>
      <c r="CO26" s="65">
        <f t="shared" si="59"/>
        <v>0</v>
      </c>
      <c r="CP26" s="66">
        <f t="shared" si="60"/>
        <v>0</v>
      </c>
      <c r="CQ26" s="31">
        <f t="shared" si="61"/>
        <v>5.5714285714285712</v>
      </c>
      <c r="CR26" s="32">
        <f t="shared" si="62"/>
        <v>7</v>
      </c>
      <c r="CS26" s="33">
        <f t="shared" si="63"/>
        <v>0</v>
      </c>
      <c r="CT26" s="34">
        <f t="shared" si="64"/>
        <v>0</v>
      </c>
      <c r="CU26" s="67">
        <f t="shared" si="65"/>
        <v>2.7857142857142856</v>
      </c>
      <c r="CV26" s="35">
        <f t="shared" si="66"/>
        <v>7</v>
      </c>
      <c r="CW26" s="59">
        <f t="shared" si="67"/>
        <v>67</v>
      </c>
      <c r="CX26" s="43" t="str">
        <f t="shared" si="68"/>
        <v>مؤجل(ة)</v>
      </c>
      <c r="CY26" s="44"/>
      <c r="CZ26" s="50"/>
      <c r="DA26" s="46"/>
    </row>
    <row r="27" spans="2:105" ht="27.75" customHeight="1" thickBot="1">
      <c r="B27" s="1">
        <f t="shared" si="69"/>
        <v>22</v>
      </c>
      <c r="C27" s="324" t="s">
        <v>549</v>
      </c>
      <c r="D27" s="249" t="s">
        <v>550</v>
      </c>
      <c r="E27" s="47"/>
      <c r="F27" s="135"/>
      <c r="G27" s="136"/>
      <c r="H27" s="131"/>
      <c r="I27" s="132"/>
      <c r="J27" s="133"/>
      <c r="K27" s="134"/>
      <c r="L27" s="53">
        <f t="shared" si="7"/>
        <v>0</v>
      </c>
      <c r="M27" s="58">
        <f t="shared" si="8"/>
        <v>0</v>
      </c>
      <c r="N27" s="262"/>
      <c r="O27" s="263"/>
      <c r="P27" s="228">
        <f t="shared" si="9"/>
        <v>0</v>
      </c>
      <c r="Q27" s="229">
        <f t="shared" si="10"/>
        <v>0</v>
      </c>
      <c r="R27" s="262"/>
      <c r="S27" s="263"/>
      <c r="T27" s="228">
        <f t="shared" si="11"/>
        <v>0</v>
      </c>
      <c r="U27" s="229">
        <f t="shared" si="12"/>
        <v>0</v>
      </c>
      <c r="V27" s="262"/>
      <c r="W27" s="263"/>
      <c r="X27" s="228">
        <f t="shared" si="13"/>
        <v>0</v>
      </c>
      <c r="Y27" s="229">
        <f t="shared" si="14"/>
        <v>0</v>
      </c>
      <c r="Z27" s="232">
        <f t="shared" si="15"/>
        <v>0</v>
      </c>
      <c r="AA27" s="233">
        <f t="shared" si="16"/>
        <v>0</v>
      </c>
      <c r="AB27" s="263"/>
      <c r="AC27" s="234">
        <f t="shared" si="17"/>
        <v>0</v>
      </c>
      <c r="AD27" s="235">
        <f t="shared" si="18"/>
        <v>0</v>
      </c>
      <c r="AE27" s="262"/>
      <c r="AF27" s="263"/>
      <c r="AG27" s="228">
        <f t="shared" si="19"/>
        <v>0</v>
      </c>
      <c r="AH27" s="229">
        <f t="shared" si="20"/>
        <v>0</v>
      </c>
      <c r="AI27" s="262"/>
      <c r="AJ27" s="263"/>
      <c r="AK27" s="228">
        <f t="shared" si="21"/>
        <v>0</v>
      </c>
      <c r="AL27" s="229">
        <f t="shared" si="22"/>
        <v>0</v>
      </c>
      <c r="AM27" s="236">
        <f t="shared" si="23"/>
        <v>0</v>
      </c>
      <c r="AN27" s="237">
        <f t="shared" si="24"/>
        <v>0</v>
      </c>
      <c r="AO27" s="262"/>
      <c r="AP27" s="263"/>
      <c r="AQ27" s="228">
        <f t="shared" si="25"/>
        <v>0</v>
      </c>
      <c r="AR27" s="229">
        <f t="shared" si="26"/>
        <v>0</v>
      </c>
      <c r="AS27" s="263"/>
      <c r="AT27" s="234">
        <f t="shared" si="27"/>
        <v>0</v>
      </c>
      <c r="AU27" s="238">
        <f t="shared" si="28"/>
        <v>0</v>
      </c>
      <c r="AV27" s="236">
        <f t="shared" si="29"/>
        <v>0</v>
      </c>
      <c r="AW27" s="237">
        <f t="shared" si="30"/>
        <v>0</v>
      </c>
      <c r="AX27" s="263"/>
      <c r="AY27" s="263"/>
      <c r="AZ27" s="228">
        <f t="shared" si="31"/>
        <v>0</v>
      </c>
      <c r="BA27" s="229">
        <f t="shared" si="32"/>
        <v>0</v>
      </c>
      <c r="BB27" s="236">
        <f t="shared" si="33"/>
        <v>0</v>
      </c>
      <c r="BC27" s="237">
        <f t="shared" si="34"/>
        <v>0</v>
      </c>
      <c r="BD27" s="239">
        <f t="shared" si="35"/>
        <v>0</v>
      </c>
      <c r="BE27" s="240">
        <f t="shared" si="36"/>
        <v>0</v>
      </c>
      <c r="BF27" s="263"/>
      <c r="BG27" s="263"/>
      <c r="BH27" s="264">
        <f t="shared" si="37"/>
        <v>0</v>
      </c>
      <c r="BI27" s="265">
        <f t="shared" si="38"/>
        <v>0</v>
      </c>
      <c r="BJ27" s="263"/>
      <c r="BK27" s="263"/>
      <c r="BL27" s="264">
        <f t="shared" si="39"/>
        <v>0</v>
      </c>
      <c r="BM27" s="265">
        <f t="shared" si="40"/>
        <v>0</v>
      </c>
      <c r="BN27" s="263"/>
      <c r="BO27" s="263"/>
      <c r="BP27" s="264">
        <f t="shared" si="41"/>
        <v>0</v>
      </c>
      <c r="BQ27" s="265">
        <f t="shared" si="42"/>
        <v>0</v>
      </c>
      <c r="BR27" s="266">
        <f t="shared" si="43"/>
        <v>0</v>
      </c>
      <c r="BS27" s="267">
        <f t="shared" si="44"/>
        <v>0</v>
      </c>
      <c r="BT27" s="263"/>
      <c r="BU27" s="263"/>
      <c r="BV27" s="264">
        <f t="shared" si="45"/>
        <v>0</v>
      </c>
      <c r="BW27" s="265">
        <f t="shared" si="46"/>
        <v>0</v>
      </c>
      <c r="BX27" s="263"/>
      <c r="BY27" s="263"/>
      <c r="BZ27" s="264">
        <f t="shared" si="47"/>
        <v>0</v>
      </c>
      <c r="CA27" s="265">
        <f t="shared" si="48"/>
        <v>0</v>
      </c>
      <c r="CB27" s="268">
        <f t="shared" si="49"/>
        <v>0</v>
      </c>
      <c r="CC27" s="267">
        <f t="shared" si="50"/>
        <v>0</v>
      </c>
      <c r="CD27" s="263"/>
      <c r="CE27" s="263"/>
      <c r="CF27" s="264">
        <f t="shared" si="51"/>
        <v>0</v>
      </c>
      <c r="CG27" s="265">
        <f t="shared" si="52"/>
        <v>0</v>
      </c>
      <c r="CH27" s="268">
        <f t="shared" si="53"/>
        <v>0</v>
      </c>
      <c r="CI27" s="267">
        <f t="shared" si="54"/>
        <v>0</v>
      </c>
      <c r="CJ27" s="263"/>
      <c r="CK27" s="269">
        <f t="shared" si="55"/>
        <v>0</v>
      </c>
      <c r="CL27" s="270">
        <f t="shared" si="56"/>
        <v>0</v>
      </c>
      <c r="CM27" s="268">
        <f t="shared" si="57"/>
        <v>0</v>
      </c>
      <c r="CN27" s="267">
        <f t="shared" si="58"/>
        <v>0</v>
      </c>
      <c r="CO27" s="65">
        <f t="shared" si="59"/>
        <v>0</v>
      </c>
      <c r="CP27" s="66">
        <f t="shared" si="60"/>
        <v>0</v>
      </c>
      <c r="CQ27" s="31">
        <f t="shared" si="61"/>
        <v>0</v>
      </c>
      <c r="CR27" s="32">
        <f t="shared" si="62"/>
        <v>0</v>
      </c>
      <c r="CS27" s="33">
        <f t="shared" si="63"/>
        <v>0</v>
      </c>
      <c r="CT27" s="34">
        <f t="shared" si="64"/>
        <v>0</v>
      </c>
      <c r="CU27" s="67">
        <f t="shared" si="65"/>
        <v>0</v>
      </c>
      <c r="CV27" s="35">
        <f t="shared" si="66"/>
        <v>0</v>
      </c>
      <c r="CW27" s="59">
        <f t="shared" si="67"/>
        <v>0</v>
      </c>
      <c r="CX27" s="43" t="str">
        <f t="shared" si="68"/>
        <v>مؤجل(ة)</v>
      </c>
      <c r="CY27" s="44"/>
      <c r="CZ27" s="50"/>
      <c r="DA27" s="46"/>
    </row>
    <row r="28" spans="2:105" ht="27.75" customHeight="1" thickBot="1">
      <c r="B28" s="1">
        <f t="shared" si="69"/>
        <v>23</v>
      </c>
      <c r="C28" s="324" t="s">
        <v>212</v>
      </c>
      <c r="D28" s="249" t="s">
        <v>240</v>
      </c>
      <c r="E28" s="47" t="s">
        <v>373</v>
      </c>
      <c r="F28" s="135">
        <v>34348</v>
      </c>
      <c r="G28" s="136" t="s">
        <v>746</v>
      </c>
      <c r="H28" s="131">
        <v>9.89</v>
      </c>
      <c r="I28" s="132">
        <v>29</v>
      </c>
      <c r="J28" s="133"/>
      <c r="K28" s="134">
        <v>10</v>
      </c>
      <c r="L28" s="53">
        <f t="shared" si="7"/>
        <v>4.9450000000000003</v>
      </c>
      <c r="M28" s="58">
        <f t="shared" si="8"/>
        <v>39</v>
      </c>
      <c r="N28" s="262">
        <v>10</v>
      </c>
      <c r="O28" s="263">
        <v>10</v>
      </c>
      <c r="P28" s="228">
        <f t="shared" si="9"/>
        <v>10</v>
      </c>
      <c r="Q28" s="229">
        <f t="shared" si="10"/>
        <v>5</v>
      </c>
      <c r="R28" s="262">
        <v>11.25</v>
      </c>
      <c r="S28" s="263">
        <v>11.25</v>
      </c>
      <c r="T28" s="228">
        <f t="shared" si="11"/>
        <v>11.25</v>
      </c>
      <c r="U28" s="229">
        <f t="shared" si="12"/>
        <v>6</v>
      </c>
      <c r="V28" s="262">
        <v>7</v>
      </c>
      <c r="W28" s="263">
        <v>8.5</v>
      </c>
      <c r="X28" s="228">
        <f t="shared" si="13"/>
        <v>7.75</v>
      </c>
      <c r="Y28" s="229">
        <f t="shared" si="14"/>
        <v>0</v>
      </c>
      <c r="Z28" s="232">
        <f t="shared" si="15"/>
        <v>9.6666666666666661</v>
      </c>
      <c r="AA28" s="233">
        <f t="shared" si="16"/>
        <v>11</v>
      </c>
      <c r="AB28" s="263">
        <v>11</v>
      </c>
      <c r="AC28" s="234">
        <f t="shared" si="17"/>
        <v>11</v>
      </c>
      <c r="AD28" s="235">
        <f t="shared" si="18"/>
        <v>1</v>
      </c>
      <c r="AE28" s="262">
        <v>8</v>
      </c>
      <c r="AF28" s="263">
        <v>8</v>
      </c>
      <c r="AG28" s="228">
        <f t="shared" si="19"/>
        <v>8</v>
      </c>
      <c r="AH28" s="229">
        <f t="shared" si="20"/>
        <v>0</v>
      </c>
      <c r="AI28" s="262">
        <v>9</v>
      </c>
      <c r="AJ28" s="263">
        <v>1.5</v>
      </c>
      <c r="AK28" s="228">
        <f t="shared" si="21"/>
        <v>5.25</v>
      </c>
      <c r="AL28" s="229">
        <f t="shared" si="22"/>
        <v>0</v>
      </c>
      <c r="AM28" s="236">
        <f t="shared" si="23"/>
        <v>7.5</v>
      </c>
      <c r="AN28" s="237">
        <f t="shared" si="24"/>
        <v>1</v>
      </c>
      <c r="AO28" s="262">
        <v>7</v>
      </c>
      <c r="AP28" s="263">
        <v>7</v>
      </c>
      <c r="AQ28" s="228">
        <f t="shared" si="25"/>
        <v>7</v>
      </c>
      <c r="AR28" s="229">
        <f t="shared" si="26"/>
        <v>0</v>
      </c>
      <c r="AS28" s="263">
        <v>16</v>
      </c>
      <c r="AT28" s="234">
        <f t="shared" si="27"/>
        <v>16</v>
      </c>
      <c r="AU28" s="238">
        <f t="shared" si="28"/>
        <v>1</v>
      </c>
      <c r="AV28" s="236">
        <f t="shared" si="29"/>
        <v>11.5</v>
      </c>
      <c r="AW28" s="237">
        <f t="shared" si="30"/>
        <v>5</v>
      </c>
      <c r="AX28" s="263">
        <v>10.5</v>
      </c>
      <c r="AY28" s="263">
        <v>10.5</v>
      </c>
      <c r="AZ28" s="228">
        <f t="shared" si="31"/>
        <v>10.5</v>
      </c>
      <c r="BA28" s="229">
        <f t="shared" si="32"/>
        <v>1</v>
      </c>
      <c r="BB28" s="236">
        <f t="shared" si="33"/>
        <v>10.5</v>
      </c>
      <c r="BC28" s="237">
        <f t="shared" si="34"/>
        <v>1</v>
      </c>
      <c r="BD28" s="239">
        <f t="shared" si="35"/>
        <v>9.2142857142857135</v>
      </c>
      <c r="BE28" s="240">
        <f t="shared" si="36"/>
        <v>18</v>
      </c>
      <c r="BF28" s="263"/>
      <c r="BG28" s="263"/>
      <c r="BH28" s="264">
        <f t="shared" si="37"/>
        <v>0</v>
      </c>
      <c r="BI28" s="265">
        <f t="shared" si="38"/>
        <v>0</v>
      </c>
      <c r="BJ28" s="263"/>
      <c r="BK28" s="263"/>
      <c r="BL28" s="264">
        <f t="shared" si="39"/>
        <v>0</v>
      </c>
      <c r="BM28" s="265">
        <f t="shared" si="40"/>
        <v>0</v>
      </c>
      <c r="BN28" s="263"/>
      <c r="BO28" s="263"/>
      <c r="BP28" s="264">
        <f t="shared" si="41"/>
        <v>0</v>
      </c>
      <c r="BQ28" s="265">
        <f t="shared" si="42"/>
        <v>0</v>
      </c>
      <c r="BR28" s="266">
        <f t="shared" si="43"/>
        <v>0</v>
      </c>
      <c r="BS28" s="267">
        <f t="shared" si="44"/>
        <v>0</v>
      </c>
      <c r="BT28" s="263"/>
      <c r="BU28" s="263"/>
      <c r="BV28" s="264">
        <f t="shared" si="45"/>
        <v>0</v>
      </c>
      <c r="BW28" s="265">
        <f t="shared" si="46"/>
        <v>0</v>
      </c>
      <c r="BX28" s="263"/>
      <c r="BY28" s="263"/>
      <c r="BZ28" s="264">
        <f t="shared" si="47"/>
        <v>0</v>
      </c>
      <c r="CA28" s="265">
        <f t="shared" si="48"/>
        <v>0</v>
      </c>
      <c r="CB28" s="268">
        <f t="shared" si="49"/>
        <v>0</v>
      </c>
      <c r="CC28" s="267">
        <f t="shared" si="50"/>
        <v>0</v>
      </c>
      <c r="CD28" s="263"/>
      <c r="CE28" s="263"/>
      <c r="CF28" s="264">
        <f t="shared" si="51"/>
        <v>0</v>
      </c>
      <c r="CG28" s="265">
        <f t="shared" si="52"/>
        <v>0</v>
      </c>
      <c r="CH28" s="268">
        <f t="shared" si="53"/>
        <v>0</v>
      </c>
      <c r="CI28" s="267">
        <f t="shared" si="54"/>
        <v>0</v>
      </c>
      <c r="CJ28" s="263"/>
      <c r="CK28" s="269">
        <f t="shared" si="55"/>
        <v>0</v>
      </c>
      <c r="CL28" s="270">
        <f t="shared" si="56"/>
        <v>0</v>
      </c>
      <c r="CM28" s="268">
        <f t="shared" si="57"/>
        <v>0</v>
      </c>
      <c r="CN28" s="267">
        <f t="shared" si="58"/>
        <v>0</v>
      </c>
      <c r="CO28" s="65">
        <f t="shared" si="59"/>
        <v>0</v>
      </c>
      <c r="CP28" s="66">
        <f t="shared" si="60"/>
        <v>0</v>
      </c>
      <c r="CQ28" s="31">
        <f t="shared" si="61"/>
        <v>9.2142857142857135</v>
      </c>
      <c r="CR28" s="32">
        <f t="shared" si="62"/>
        <v>18</v>
      </c>
      <c r="CS28" s="33">
        <f t="shared" si="63"/>
        <v>0</v>
      </c>
      <c r="CT28" s="34">
        <f t="shared" si="64"/>
        <v>0</v>
      </c>
      <c r="CU28" s="67">
        <f t="shared" si="65"/>
        <v>4.6071428571428568</v>
      </c>
      <c r="CV28" s="35">
        <f t="shared" si="66"/>
        <v>18</v>
      </c>
      <c r="CW28" s="59">
        <f t="shared" si="67"/>
        <v>57</v>
      </c>
      <c r="CX28" s="43" t="str">
        <f t="shared" si="68"/>
        <v>مؤجل(ة)</v>
      </c>
      <c r="CY28" s="44"/>
      <c r="CZ28" s="50"/>
      <c r="DA28" s="46"/>
    </row>
    <row r="29" spans="2:105" ht="27.75" customHeight="1" thickBot="1">
      <c r="B29" s="1">
        <f t="shared" si="69"/>
        <v>24</v>
      </c>
      <c r="C29" s="324" t="s">
        <v>551</v>
      </c>
      <c r="D29" s="249" t="s">
        <v>552</v>
      </c>
      <c r="E29" s="137" t="s">
        <v>747</v>
      </c>
      <c r="F29" s="135">
        <v>35903</v>
      </c>
      <c r="G29" s="136" t="s">
        <v>746</v>
      </c>
      <c r="H29" s="131">
        <v>9.27</v>
      </c>
      <c r="I29" s="132">
        <v>25</v>
      </c>
      <c r="J29" s="133">
        <v>8.3000000000000007</v>
      </c>
      <c r="K29" s="134">
        <v>19</v>
      </c>
      <c r="L29" s="53">
        <f t="shared" si="7"/>
        <v>8.7850000000000001</v>
      </c>
      <c r="M29" s="58">
        <f t="shared" si="8"/>
        <v>44</v>
      </c>
      <c r="N29" s="262"/>
      <c r="O29" s="263"/>
      <c r="P29" s="228">
        <f t="shared" si="9"/>
        <v>0</v>
      </c>
      <c r="Q29" s="229">
        <f t="shared" si="10"/>
        <v>0</v>
      </c>
      <c r="R29" s="262">
        <v>11</v>
      </c>
      <c r="S29" s="263">
        <v>7.75</v>
      </c>
      <c r="T29" s="228">
        <f t="shared" si="11"/>
        <v>9.375</v>
      </c>
      <c r="U29" s="229">
        <f t="shared" si="12"/>
        <v>0</v>
      </c>
      <c r="V29" s="262">
        <v>14</v>
      </c>
      <c r="W29" s="263">
        <v>4.25</v>
      </c>
      <c r="X29" s="228">
        <f t="shared" si="13"/>
        <v>9.125</v>
      </c>
      <c r="Y29" s="229">
        <f t="shared" si="14"/>
        <v>0</v>
      </c>
      <c r="Z29" s="232">
        <f t="shared" si="15"/>
        <v>6.166666666666667</v>
      </c>
      <c r="AA29" s="233">
        <f t="shared" si="16"/>
        <v>0</v>
      </c>
      <c r="AB29" s="263">
        <v>2.5</v>
      </c>
      <c r="AC29" s="234">
        <f t="shared" si="17"/>
        <v>2.5</v>
      </c>
      <c r="AD29" s="235">
        <f t="shared" si="18"/>
        <v>0</v>
      </c>
      <c r="AE29" s="262"/>
      <c r="AF29" s="263"/>
      <c r="AG29" s="228">
        <f t="shared" si="19"/>
        <v>0</v>
      </c>
      <c r="AH29" s="229">
        <f t="shared" si="20"/>
        <v>0</v>
      </c>
      <c r="AI29" s="262">
        <v>0</v>
      </c>
      <c r="AJ29" s="263">
        <v>0</v>
      </c>
      <c r="AK29" s="228">
        <f t="shared" si="21"/>
        <v>0</v>
      </c>
      <c r="AL29" s="229">
        <f t="shared" si="22"/>
        <v>0</v>
      </c>
      <c r="AM29" s="236">
        <f t="shared" si="23"/>
        <v>0.5</v>
      </c>
      <c r="AN29" s="237">
        <f t="shared" si="24"/>
        <v>0</v>
      </c>
      <c r="AO29" s="262">
        <v>10</v>
      </c>
      <c r="AP29" s="263">
        <v>3</v>
      </c>
      <c r="AQ29" s="228">
        <f t="shared" si="25"/>
        <v>6.5</v>
      </c>
      <c r="AR29" s="229">
        <f t="shared" si="26"/>
        <v>0</v>
      </c>
      <c r="AS29" s="263">
        <v>0</v>
      </c>
      <c r="AT29" s="234">
        <f t="shared" si="27"/>
        <v>0</v>
      </c>
      <c r="AU29" s="238">
        <f t="shared" si="28"/>
        <v>0</v>
      </c>
      <c r="AV29" s="236">
        <f t="shared" si="29"/>
        <v>3.25</v>
      </c>
      <c r="AW29" s="237">
        <f t="shared" si="30"/>
        <v>0</v>
      </c>
      <c r="AX29" s="263">
        <v>10</v>
      </c>
      <c r="AY29" s="263">
        <v>12.5</v>
      </c>
      <c r="AZ29" s="228">
        <f t="shared" si="31"/>
        <v>11.25</v>
      </c>
      <c r="BA29" s="229">
        <f t="shared" si="32"/>
        <v>1</v>
      </c>
      <c r="BB29" s="236">
        <f t="shared" si="33"/>
        <v>11.25</v>
      </c>
      <c r="BC29" s="237">
        <f t="shared" si="34"/>
        <v>1</v>
      </c>
      <c r="BD29" s="239">
        <f t="shared" si="35"/>
        <v>4.0892857142857144</v>
      </c>
      <c r="BE29" s="240">
        <f t="shared" si="36"/>
        <v>1</v>
      </c>
      <c r="BF29" s="263"/>
      <c r="BG29" s="263"/>
      <c r="BH29" s="264">
        <f t="shared" si="37"/>
        <v>0</v>
      </c>
      <c r="BI29" s="265">
        <f t="shared" si="38"/>
        <v>0</v>
      </c>
      <c r="BJ29" s="263"/>
      <c r="BK29" s="263"/>
      <c r="BL29" s="264">
        <f t="shared" si="39"/>
        <v>0</v>
      </c>
      <c r="BM29" s="265">
        <f t="shared" si="40"/>
        <v>0</v>
      </c>
      <c r="BN29" s="263"/>
      <c r="BO29" s="263"/>
      <c r="BP29" s="264">
        <f t="shared" si="41"/>
        <v>0</v>
      </c>
      <c r="BQ29" s="265">
        <f t="shared" si="42"/>
        <v>0</v>
      </c>
      <c r="BR29" s="266">
        <f t="shared" si="43"/>
        <v>0</v>
      </c>
      <c r="BS29" s="267">
        <f t="shared" si="44"/>
        <v>0</v>
      </c>
      <c r="BT29" s="263"/>
      <c r="BU29" s="263"/>
      <c r="BV29" s="264">
        <f t="shared" si="45"/>
        <v>0</v>
      </c>
      <c r="BW29" s="265">
        <f t="shared" si="46"/>
        <v>0</v>
      </c>
      <c r="BX29" s="263"/>
      <c r="BY29" s="263"/>
      <c r="BZ29" s="264">
        <f t="shared" si="47"/>
        <v>0</v>
      </c>
      <c r="CA29" s="265">
        <f t="shared" si="48"/>
        <v>0</v>
      </c>
      <c r="CB29" s="268">
        <f t="shared" si="49"/>
        <v>0</v>
      </c>
      <c r="CC29" s="267">
        <f t="shared" si="50"/>
        <v>0</v>
      </c>
      <c r="CD29" s="263"/>
      <c r="CE29" s="263"/>
      <c r="CF29" s="264">
        <f t="shared" si="51"/>
        <v>0</v>
      </c>
      <c r="CG29" s="265">
        <f t="shared" si="52"/>
        <v>0</v>
      </c>
      <c r="CH29" s="268">
        <f t="shared" si="53"/>
        <v>0</v>
      </c>
      <c r="CI29" s="267">
        <f t="shared" si="54"/>
        <v>0</v>
      </c>
      <c r="CJ29" s="263"/>
      <c r="CK29" s="269">
        <f t="shared" si="55"/>
        <v>0</v>
      </c>
      <c r="CL29" s="270">
        <f t="shared" si="56"/>
        <v>0</v>
      </c>
      <c r="CM29" s="268">
        <f t="shared" si="57"/>
        <v>0</v>
      </c>
      <c r="CN29" s="267">
        <f t="shared" si="58"/>
        <v>0</v>
      </c>
      <c r="CO29" s="65">
        <f t="shared" si="59"/>
        <v>0</v>
      </c>
      <c r="CP29" s="66">
        <f t="shared" si="60"/>
        <v>0</v>
      </c>
      <c r="CQ29" s="31">
        <f t="shared" si="61"/>
        <v>4.0892857142857144</v>
      </c>
      <c r="CR29" s="32">
        <f t="shared" si="62"/>
        <v>1</v>
      </c>
      <c r="CS29" s="33">
        <f t="shared" si="63"/>
        <v>0</v>
      </c>
      <c r="CT29" s="34">
        <f t="shared" si="64"/>
        <v>0</v>
      </c>
      <c r="CU29" s="67">
        <f t="shared" si="65"/>
        <v>2.0446428571428572</v>
      </c>
      <c r="CV29" s="35">
        <f t="shared" si="66"/>
        <v>1</v>
      </c>
      <c r="CW29" s="59">
        <f t="shared" si="67"/>
        <v>45</v>
      </c>
      <c r="CX29" s="43" t="str">
        <f t="shared" si="68"/>
        <v>مؤجل(ة)</v>
      </c>
      <c r="CY29" s="44"/>
      <c r="CZ29" s="50"/>
      <c r="DA29" s="46"/>
    </row>
    <row r="30" spans="2:105" ht="27.75" customHeight="1" thickBot="1">
      <c r="B30" s="1">
        <f t="shared" si="69"/>
        <v>25</v>
      </c>
      <c r="C30" s="323" t="s">
        <v>553</v>
      </c>
      <c r="D30" s="249" t="s">
        <v>158</v>
      </c>
      <c r="E30" s="47" t="s">
        <v>748</v>
      </c>
      <c r="F30" s="135">
        <v>33397</v>
      </c>
      <c r="G30" s="136" t="s">
        <v>746</v>
      </c>
      <c r="H30" s="131">
        <v>0</v>
      </c>
      <c r="I30" s="132">
        <v>11</v>
      </c>
      <c r="J30" s="133">
        <v>0</v>
      </c>
      <c r="K30" s="134">
        <v>19</v>
      </c>
      <c r="L30" s="53">
        <f t="shared" si="7"/>
        <v>0</v>
      </c>
      <c r="M30" s="58">
        <f t="shared" si="8"/>
        <v>30</v>
      </c>
      <c r="N30" s="262"/>
      <c r="O30" s="263"/>
      <c r="P30" s="228">
        <f t="shared" si="9"/>
        <v>0</v>
      </c>
      <c r="Q30" s="229">
        <f t="shared" si="10"/>
        <v>0</v>
      </c>
      <c r="R30" s="262"/>
      <c r="S30" s="263"/>
      <c r="T30" s="228">
        <f t="shared" si="11"/>
        <v>0</v>
      </c>
      <c r="U30" s="229">
        <f t="shared" si="12"/>
        <v>0</v>
      </c>
      <c r="V30" s="262"/>
      <c r="W30" s="263"/>
      <c r="X30" s="228">
        <f t="shared" si="13"/>
        <v>0</v>
      </c>
      <c r="Y30" s="229">
        <f t="shared" si="14"/>
        <v>0</v>
      </c>
      <c r="Z30" s="232">
        <f t="shared" si="15"/>
        <v>0</v>
      </c>
      <c r="AA30" s="233">
        <f t="shared" si="16"/>
        <v>0</v>
      </c>
      <c r="AB30" s="263"/>
      <c r="AC30" s="234">
        <f t="shared" si="17"/>
        <v>0</v>
      </c>
      <c r="AD30" s="235">
        <f t="shared" si="18"/>
        <v>0</v>
      </c>
      <c r="AE30" s="262"/>
      <c r="AF30" s="263"/>
      <c r="AG30" s="228">
        <f t="shared" si="19"/>
        <v>0</v>
      </c>
      <c r="AH30" s="229">
        <f t="shared" si="20"/>
        <v>0</v>
      </c>
      <c r="AI30" s="262"/>
      <c r="AJ30" s="263"/>
      <c r="AK30" s="228">
        <f t="shared" si="21"/>
        <v>0</v>
      </c>
      <c r="AL30" s="229">
        <f t="shared" si="22"/>
        <v>0</v>
      </c>
      <c r="AM30" s="236">
        <f t="shared" si="23"/>
        <v>0</v>
      </c>
      <c r="AN30" s="237">
        <f t="shared" si="24"/>
        <v>0</v>
      </c>
      <c r="AO30" s="262"/>
      <c r="AP30" s="263"/>
      <c r="AQ30" s="228">
        <f t="shared" si="25"/>
        <v>0</v>
      </c>
      <c r="AR30" s="229">
        <f t="shared" si="26"/>
        <v>0</v>
      </c>
      <c r="AS30" s="263"/>
      <c r="AT30" s="234">
        <f t="shared" si="27"/>
        <v>0</v>
      </c>
      <c r="AU30" s="238">
        <f t="shared" si="28"/>
        <v>0</v>
      </c>
      <c r="AV30" s="236">
        <f t="shared" si="29"/>
        <v>0</v>
      </c>
      <c r="AW30" s="237">
        <f t="shared" si="30"/>
        <v>0</v>
      </c>
      <c r="AX30" s="263"/>
      <c r="AY30" s="263"/>
      <c r="AZ30" s="228">
        <f t="shared" si="31"/>
        <v>0</v>
      </c>
      <c r="BA30" s="229">
        <f t="shared" si="32"/>
        <v>0</v>
      </c>
      <c r="BB30" s="236">
        <f t="shared" si="33"/>
        <v>0</v>
      </c>
      <c r="BC30" s="237">
        <f t="shared" si="34"/>
        <v>0</v>
      </c>
      <c r="BD30" s="239">
        <f t="shared" si="35"/>
        <v>0</v>
      </c>
      <c r="BE30" s="240">
        <f t="shared" si="36"/>
        <v>0</v>
      </c>
      <c r="BF30" s="263"/>
      <c r="BG30" s="263"/>
      <c r="BH30" s="264">
        <f t="shared" si="37"/>
        <v>0</v>
      </c>
      <c r="BI30" s="265">
        <f t="shared" si="38"/>
        <v>0</v>
      </c>
      <c r="BJ30" s="263"/>
      <c r="BK30" s="263"/>
      <c r="BL30" s="264">
        <f t="shared" si="39"/>
        <v>0</v>
      </c>
      <c r="BM30" s="265">
        <f t="shared" si="40"/>
        <v>0</v>
      </c>
      <c r="BN30" s="263"/>
      <c r="BO30" s="263"/>
      <c r="BP30" s="264">
        <f t="shared" si="41"/>
        <v>0</v>
      </c>
      <c r="BQ30" s="265">
        <f t="shared" si="42"/>
        <v>0</v>
      </c>
      <c r="BR30" s="266">
        <f t="shared" si="43"/>
        <v>0</v>
      </c>
      <c r="BS30" s="267">
        <f t="shared" si="44"/>
        <v>0</v>
      </c>
      <c r="BT30" s="263"/>
      <c r="BU30" s="263"/>
      <c r="BV30" s="264">
        <f t="shared" si="45"/>
        <v>0</v>
      </c>
      <c r="BW30" s="265">
        <f t="shared" si="46"/>
        <v>0</v>
      </c>
      <c r="BX30" s="263"/>
      <c r="BY30" s="263"/>
      <c r="BZ30" s="264">
        <f t="shared" si="47"/>
        <v>0</v>
      </c>
      <c r="CA30" s="265">
        <f t="shared" si="48"/>
        <v>0</v>
      </c>
      <c r="CB30" s="268">
        <f t="shared" si="49"/>
        <v>0</v>
      </c>
      <c r="CC30" s="267">
        <f t="shared" si="50"/>
        <v>0</v>
      </c>
      <c r="CD30" s="263"/>
      <c r="CE30" s="263"/>
      <c r="CF30" s="264">
        <f t="shared" si="51"/>
        <v>0</v>
      </c>
      <c r="CG30" s="265">
        <f t="shared" si="52"/>
        <v>0</v>
      </c>
      <c r="CH30" s="268">
        <f t="shared" si="53"/>
        <v>0</v>
      </c>
      <c r="CI30" s="267">
        <f t="shared" si="54"/>
        <v>0</v>
      </c>
      <c r="CJ30" s="263"/>
      <c r="CK30" s="269">
        <f t="shared" si="55"/>
        <v>0</v>
      </c>
      <c r="CL30" s="270">
        <f t="shared" si="56"/>
        <v>0</v>
      </c>
      <c r="CM30" s="268">
        <f t="shared" si="57"/>
        <v>0</v>
      </c>
      <c r="CN30" s="267">
        <f t="shared" si="58"/>
        <v>0</v>
      </c>
      <c r="CO30" s="65">
        <f t="shared" si="59"/>
        <v>0</v>
      </c>
      <c r="CP30" s="66">
        <f t="shared" si="60"/>
        <v>0</v>
      </c>
      <c r="CQ30" s="31">
        <f t="shared" si="61"/>
        <v>0</v>
      </c>
      <c r="CR30" s="32">
        <f t="shared" si="62"/>
        <v>0</v>
      </c>
      <c r="CS30" s="33">
        <f t="shared" si="63"/>
        <v>0</v>
      </c>
      <c r="CT30" s="34">
        <f t="shared" si="64"/>
        <v>0</v>
      </c>
      <c r="CU30" s="67">
        <f t="shared" si="65"/>
        <v>0</v>
      </c>
      <c r="CV30" s="35">
        <f t="shared" si="66"/>
        <v>0</v>
      </c>
      <c r="CW30" s="59">
        <f t="shared" si="67"/>
        <v>30</v>
      </c>
      <c r="CX30" s="43" t="str">
        <f t="shared" si="68"/>
        <v>مؤجل(ة)</v>
      </c>
      <c r="CY30" s="44"/>
      <c r="CZ30" s="50"/>
      <c r="DA30" s="46"/>
    </row>
    <row r="31" spans="2:105" ht="27.75" customHeight="1" thickBot="1">
      <c r="B31" s="1">
        <f t="shared" si="69"/>
        <v>26</v>
      </c>
      <c r="C31" s="323" t="s">
        <v>149</v>
      </c>
      <c r="D31" s="249" t="s">
        <v>303</v>
      </c>
      <c r="E31" s="47" t="s">
        <v>351</v>
      </c>
      <c r="F31" s="135">
        <v>34734</v>
      </c>
      <c r="G31" s="136" t="s">
        <v>775</v>
      </c>
      <c r="H31" s="131">
        <v>9.2799999999999994</v>
      </c>
      <c r="I31" s="132">
        <v>16</v>
      </c>
      <c r="J31" s="133">
        <v>9.23</v>
      </c>
      <c r="K31" s="134">
        <v>16</v>
      </c>
      <c r="L31" s="53">
        <f t="shared" si="7"/>
        <v>9.254999999999999</v>
      </c>
      <c r="M31" s="58">
        <f t="shared" si="8"/>
        <v>32</v>
      </c>
      <c r="N31" s="262">
        <v>10</v>
      </c>
      <c r="O31" s="263">
        <v>4</v>
      </c>
      <c r="P31" s="228">
        <f t="shared" si="9"/>
        <v>7</v>
      </c>
      <c r="Q31" s="229">
        <f t="shared" si="10"/>
        <v>0</v>
      </c>
      <c r="R31" s="262">
        <v>11.5</v>
      </c>
      <c r="S31" s="263">
        <v>11.5</v>
      </c>
      <c r="T31" s="228">
        <f t="shared" si="11"/>
        <v>11.5</v>
      </c>
      <c r="U31" s="229">
        <f t="shared" si="12"/>
        <v>6</v>
      </c>
      <c r="V31" s="262">
        <v>11.5</v>
      </c>
      <c r="W31" s="263">
        <v>3.5</v>
      </c>
      <c r="X31" s="228">
        <f t="shared" si="13"/>
        <v>7.5</v>
      </c>
      <c r="Y31" s="229">
        <f t="shared" si="14"/>
        <v>0</v>
      </c>
      <c r="Z31" s="232">
        <f t="shared" si="15"/>
        <v>8.6666666666666661</v>
      </c>
      <c r="AA31" s="233">
        <f t="shared" si="16"/>
        <v>6</v>
      </c>
      <c r="AB31" s="263">
        <v>7.5</v>
      </c>
      <c r="AC31" s="234">
        <f t="shared" si="17"/>
        <v>7.5</v>
      </c>
      <c r="AD31" s="235">
        <f t="shared" si="18"/>
        <v>0</v>
      </c>
      <c r="AE31" s="262">
        <v>2</v>
      </c>
      <c r="AF31" s="263">
        <v>2</v>
      </c>
      <c r="AG31" s="228">
        <f t="shared" si="19"/>
        <v>2</v>
      </c>
      <c r="AH31" s="229">
        <f t="shared" si="20"/>
        <v>0</v>
      </c>
      <c r="AI31" s="262">
        <v>9</v>
      </c>
      <c r="AJ31" s="263">
        <v>1.5</v>
      </c>
      <c r="AK31" s="228">
        <f t="shared" si="21"/>
        <v>5.25</v>
      </c>
      <c r="AL31" s="229">
        <f t="shared" si="22"/>
        <v>0</v>
      </c>
      <c r="AM31" s="236">
        <f t="shared" si="23"/>
        <v>4.4000000000000004</v>
      </c>
      <c r="AN31" s="237">
        <f t="shared" si="24"/>
        <v>0</v>
      </c>
      <c r="AO31" s="262">
        <v>10</v>
      </c>
      <c r="AP31" s="263">
        <v>3</v>
      </c>
      <c r="AQ31" s="228">
        <f t="shared" si="25"/>
        <v>6.5</v>
      </c>
      <c r="AR31" s="229">
        <f t="shared" si="26"/>
        <v>0</v>
      </c>
      <c r="AS31" s="263">
        <v>7.5</v>
      </c>
      <c r="AT31" s="234">
        <f t="shared" si="27"/>
        <v>7.5</v>
      </c>
      <c r="AU31" s="238">
        <f t="shared" si="28"/>
        <v>0</v>
      </c>
      <c r="AV31" s="236">
        <f t="shared" si="29"/>
        <v>7</v>
      </c>
      <c r="AW31" s="237">
        <f t="shared" si="30"/>
        <v>0</v>
      </c>
      <c r="AX31" s="263">
        <v>12.38</v>
      </c>
      <c r="AY31" s="263">
        <v>12.38</v>
      </c>
      <c r="AZ31" s="228">
        <f t="shared" si="31"/>
        <v>12.38</v>
      </c>
      <c r="BA31" s="229">
        <f t="shared" si="32"/>
        <v>1</v>
      </c>
      <c r="BB31" s="236">
        <f t="shared" si="33"/>
        <v>12.38</v>
      </c>
      <c r="BC31" s="237">
        <f t="shared" si="34"/>
        <v>1</v>
      </c>
      <c r="BD31" s="239">
        <f t="shared" si="35"/>
        <v>7.17</v>
      </c>
      <c r="BE31" s="240">
        <f t="shared" si="36"/>
        <v>7</v>
      </c>
      <c r="BF31" s="263"/>
      <c r="BG31" s="263"/>
      <c r="BH31" s="264">
        <f t="shared" si="37"/>
        <v>0</v>
      </c>
      <c r="BI31" s="265">
        <f t="shared" si="38"/>
        <v>0</v>
      </c>
      <c r="BJ31" s="263"/>
      <c r="BK31" s="263"/>
      <c r="BL31" s="264">
        <f t="shared" si="39"/>
        <v>0</v>
      </c>
      <c r="BM31" s="265">
        <f t="shared" si="40"/>
        <v>0</v>
      </c>
      <c r="BN31" s="263"/>
      <c r="BO31" s="263"/>
      <c r="BP31" s="264">
        <f t="shared" si="41"/>
        <v>0</v>
      </c>
      <c r="BQ31" s="265">
        <f t="shared" si="42"/>
        <v>0</v>
      </c>
      <c r="BR31" s="266">
        <f t="shared" si="43"/>
        <v>0</v>
      </c>
      <c r="BS31" s="267">
        <f t="shared" si="44"/>
        <v>0</v>
      </c>
      <c r="BT31" s="263"/>
      <c r="BU31" s="263"/>
      <c r="BV31" s="264">
        <f t="shared" si="45"/>
        <v>0</v>
      </c>
      <c r="BW31" s="265">
        <f t="shared" si="46"/>
        <v>0</v>
      </c>
      <c r="BX31" s="263"/>
      <c r="BY31" s="263"/>
      <c r="BZ31" s="264">
        <f t="shared" si="47"/>
        <v>0</v>
      </c>
      <c r="CA31" s="265">
        <f t="shared" si="48"/>
        <v>0</v>
      </c>
      <c r="CB31" s="268">
        <f t="shared" si="49"/>
        <v>0</v>
      </c>
      <c r="CC31" s="267">
        <f t="shared" si="50"/>
        <v>0</v>
      </c>
      <c r="CD31" s="263"/>
      <c r="CE31" s="263"/>
      <c r="CF31" s="264">
        <f t="shared" si="51"/>
        <v>0</v>
      </c>
      <c r="CG31" s="265">
        <f t="shared" si="52"/>
        <v>0</v>
      </c>
      <c r="CH31" s="268">
        <f t="shared" si="53"/>
        <v>0</v>
      </c>
      <c r="CI31" s="267">
        <f t="shared" si="54"/>
        <v>0</v>
      </c>
      <c r="CJ31" s="263"/>
      <c r="CK31" s="269">
        <f t="shared" si="55"/>
        <v>0</v>
      </c>
      <c r="CL31" s="270">
        <f t="shared" si="56"/>
        <v>0</v>
      </c>
      <c r="CM31" s="268">
        <f t="shared" si="57"/>
        <v>0</v>
      </c>
      <c r="CN31" s="267">
        <f t="shared" si="58"/>
        <v>0</v>
      </c>
      <c r="CO31" s="65">
        <f t="shared" si="59"/>
        <v>0</v>
      </c>
      <c r="CP31" s="66">
        <f t="shared" si="60"/>
        <v>0</v>
      </c>
      <c r="CQ31" s="31">
        <f t="shared" si="61"/>
        <v>7.17</v>
      </c>
      <c r="CR31" s="32">
        <f t="shared" si="62"/>
        <v>7</v>
      </c>
      <c r="CS31" s="33">
        <f t="shared" si="63"/>
        <v>0</v>
      </c>
      <c r="CT31" s="34">
        <f t="shared" si="64"/>
        <v>0</v>
      </c>
      <c r="CU31" s="67">
        <f t="shared" si="65"/>
        <v>3.585</v>
      </c>
      <c r="CV31" s="35">
        <f t="shared" si="66"/>
        <v>7</v>
      </c>
      <c r="CW31" s="59">
        <f t="shared" si="67"/>
        <v>39</v>
      </c>
      <c r="CX31" s="43" t="str">
        <f t="shared" si="68"/>
        <v>مؤجل(ة)</v>
      </c>
      <c r="CY31" s="44"/>
      <c r="CZ31" s="51"/>
      <c r="DA31" s="46"/>
    </row>
    <row r="32" spans="2:105" ht="27.75" customHeight="1" thickBot="1">
      <c r="B32" s="1">
        <f t="shared" si="69"/>
        <v>27</v>
      </c>
      <c r="C32" s="323" t="s">
        <v>554</v>
      </c>
      <c r="D32" s="249" t="s">
        <v>555</v>
      </c>
      <c r="E32" s="47" t="s">
        <v>456</v>
      </c>
      <c r="F32" s="135">
        <v>34507</v>
      </c>
      <c r="G32" s="136" t="s">
        <v>746</v>
      </c>
      <c r="H32" s="131">
        <v>6.47</v>
      </c>
      <c r="I32" s="132">
        <v>16</v>
      </c>
      <c r="J32" s="133">
        <v>4.97</v>
      </c>
      <c r="K32" s="134">
        <v>14</v>
      </c>
      <c r="L32" s="53">
        <f t="shared" si="7"/>
        <v>5.72</v>
      </c>
      <c r="M32" s="58">
        <f t="shared" si="8"/>
        <v>30</v>
      </c>
      <c r="N32" s="262">
        <v>8</v>
      </c>
      <c r="O32" s="263">
        <v>8</v>
      </c>
      <c r="P32" s="228">
        <f t="shared" si="9"/>
        <v>8</v>
      </c>
      <c r="Q32" s="229">
        <f t="shared" si="10"/>
        <v>0</v>
      </c>
      <c r="R32" s="262">
        <v>12.25</v>
      </c>
      <c r="S32" s="263">
        <v>12.25</v>
      </c>
      <c r="T32" s="228">
        <f t="shared" si="11"/>
        <v>12.25</v>
      </c>
      <c r="U32" s="229">
        <f t="shared" si="12"/>
        <v>6</v>
      </c>
      <c r="V32" s="262">
        <v>9.8800000000000008</v>
      </c>
      <c r="W32" s="263">
        <v>9.8800000000000008</v>
      </c>
      <c r="X32" s="228">
        <f t="shared" si="13"/>
        <v>9.8800000000000008</v>
      </c>
      <c r="Y32" s="229">
        <f t="shared" si="14"/>
        <v>0</v>
      </c>
      <c r="Z32" s="232">
        <f t="shared" si="15"/>
        <v>10.043333333333335</v>
      </c>
      <c r="AA32" s="233">
        <f t="shared" si="16"/>
        <v>17</v>
      </c>
      <c r="AB32" s="263">
        <v>10</v>
      </c>
      <c r="AC32" s="234">
        <f t="shared" si="17"/>
        <v>10</v>
      </c>
      <c r="AD32" s="235">
        <f t="shared" si="18"/>
        <v>1</v>
      </c>
      <c r="AE32" s="262">
        <v>0</v>
      </c>
      <c r="AF32" s="263">
        <v>0</v>
      </c>
      <c r="AG32" s="228">
        <f t="shared" si="19"/>
        <v>0</v>
      </c>
      <c r="AH32" s="229">
        <f t="shared" si="20"/>
        <v>0</v>
      </c>
      <c r="AI32" s="262">
        <v>9</v>
      </c>
      <c r="AJ32" s="263">
        <v>0.5</v>
      </c>
      <c r="AK32" s="228">
        <f t="shared" si="21"/>
        <v>4.75</v>
      </c>
      <c r="AL32" s="229">
        <f t="shared" si="22"/>
        <v>0</v>
      </c>
      <c r="AM32" s="236">
        <f t="shared" si="23"/>
        <v>3.9</v>
      </c>
      <c r="AN32" s="237">
        <f t="shared" si="24"/>
        <v>1</v>
      </c>
      <c r="AO32" s="262">
        <v>10.25</v>
      </c>
      <c r="AP32" s="263">
        <v>10.25</v>
      </c>
      <c r="AQ32" s="228">
        <f t="shared" si="25"/>
        <v>10.25</v>
      </c>
      <c r="AR32" s="229">
        <f t="shared" si="26"/>
        <v>4</v>
      </c>
      <c r="AS32" s="263">
        <v>1</v>
      </c>
      <c r="AT32" s="234">
        <f t="shared" si="27"/>
        <v>1</v>
      </c>
      <c r="AU32" s="238">
        <f t="shared" si="28"/>
        <v>0</v>
      </c>
      <c r="AV32" s="236">
        <f t="shared" si="29"/>
        <v>5.625</v>
      </c>
      <c r="AW32" s="237">
        <f t="shared" si="30"/>
        <v>4</v>
      </c>
      <c r="AX32" s="263">
        <v>11</v>
      </c>
      <c r="AY32" s="263">
        <v>11</v>
      </c>
      <c r="AZ32" s="228">
        <f t="shared" si="31"/>
        <v>11</v>
      </c>
      <c r="BA32" s="229">
        <f t="shared" si="32"/>
        <v>1</v>
      </c>
      <c r="BB32" s="236">
        <f t="shared" si="33"/>
        <v>11</v>
      </c>
      <c r="BC32" s="237">
        <f t="shared" si="34"/>
        <v>1</v>
      </c>
      <c r="BD32" s="239">
        <f t="shared" si="35"/>
        <v>7.2864285714285719</v>
      </c>
      <c r="BE32" s="240">
        <f t="shared" si="36"/>
        <v>23</v>
      </c>
      <c r="BF32" s="263"/>
      <c r="BG32" s="263"/>
      <c r="BH32" s="264">
        <f t="shared" si="37"/>
        <v>0</v>
      </c>
      <c r="BI32" s="265">
        <f t="shared" si="38"/>
        <v>0</v>
      </c>
      <c r="BJ32" s="263"/>
      <c r="BK32" s="263"/>
      <c r="BL32" s="264">
        <f t="shared" si="39"/>
        <v>0</v>
      </c>
      <c r="BM32" s="265">
        <f t="shared" si="40"/>
        <v>0</v>
      </c>
      <c r="BN32" s="263"/>
      <c r="BO32" s="263"/>
      <c r="BP32" s="264">
        <f t="shared" si="41"/>
        <v>0</v>
      </c>
      <c r="BQ32" s="265">
        <f t="shared" si="42"/>
        <v>0</v>
      </c>
      <c r="BR32" s="266">
        <f t="shared" si="43"/>
        <v>0</v>
      </c>
      <c r="BS32" s="267">
        <f t="shared" si="44"/>
        <v>0</v>
      </c>
      <c r="BT32" s="263"/>
      <c r="BU32" s="263"/>
      <c r="BV32" s="264">
        <f t="shared" si="45"/>
        <v>0</v>
      </c>
      <c r="BW32" s="265">
        <f t="shared" si="46"/>
        <v>0</v>
      </c>
      <c r="BX32" s="263"/>
      <c r="BY32" s="263"/>
      <c r="BZ32" s="264">
        <f t="shared" si="47"/>
        <v>0</v>
      </c>
      <c r="CA32" s="265">
        <f t="shared" si="48"/>
        <v>0</v>
      </c>
      <c r="CB32" s="268">
        <f t="shared" si="49"/>
        <v>0</v>
      </c>
      <c r="CC32" s="267">
        <f t="shared" si="50"/>
        <v>0</v>
      </c>
      <c r="CD32" s="263"/>
      <c r="CE32" s="263"/>
      <c r="CF32" s="264">
        <f t="shared" si="51"/>
        <v>0</v>
      </c>
      <c r="CG32" s="265">
        <f t="shared" si="52"/>
        <v>0</v>
      </c>
      <c r="CH32" s="268">
        <f t="shared" si="53"/>
        <v>0</v>
      </c>
      <c r="CI32" s="267">
        <f t="shared" si="54"/>
        <v>0</v>
      </c>
      <c r="CJ32" s="263"/>
      <c r="CK32" s="269">
        <f t="shared" si="55"/>
        <v>0</v>
      </c>
      <c r="CL32" s="270">
        <f t="shared" si="56"/>
        <v>0</v>
      </c>
      <c r="CM32" s="268">
        <f t="shared" si="57"/>
        <v>0</v>
      </c>
      <c r="CN32" s="267">
        <f t="shared" si="58"/>
        <v>0</v>
      </c>
      <c r="CO32" s="65">
        <f t="shared" si="59"/>
        <v>0</v>
      </c>
      <c r="CP32" s="66">
        <f t="shared" si="60"/>
        <v>0</v>
      </c>
      <c r="CQ32" s="31">
        <f t="shared" si="61"/>
        <v>7.2864285714285719</v>
      </c>
      <c r="CR32" s="32">
        <f t="shared" si="62"/>
        <v>23</v>
      </c>
      <c r="CS32" s="33">
        <f t="shared" si="63"/>
        <v>0</v>
      </c>
      <c r="CT32" s="34">
        <f t="shared" si="64"/>
        <v>0</v>
      </c>
      <c r="CU32" s="67">
        <f t="shared" si="65"/>
        <v>3.643214285714286</v>
      </c>
      <c r="CV32" s="35">
        <f t="shared" si="66"/>
        <v>23</v>
      </c>
      <c r="CW32" s="59">
        <f t="shared" si="67"/>
        <v>53</v>
      </c>
      <c r="CX32" s="43" t="str">
        <f t="shared" si="68"/>
        <v>مؤجل(ة)</v>
      </c>
      <c r="CY32" s="44"/>
      <c r="CZ32" s="50"/>
      <c r="DA32" s="46"/>
    </row>
    <row r="33" spans="2:105" ht="27.75" customHeight="1" thickBot="1">
      <c r="B33" s="1">
        <f t="shared" si="69"/>
        <v>28</v>
      </c>
      <c r="C33" s="324" t="s">
        <v>556</v>
      </c>
      <c r="D33" s="249" t="s">
        <v>557</v>
      </c>
      <c r="E33" s="47" t="s">
        <v>483</v>
      </c>
      <c r="F33" s="135">
        <v>34806</v>
      </c>
      <c r="G33" s="136" t="s">
        <v>745</v>
      </c>
      <c r="H33" s="131">
        <v>10</v>
      </c>
      <c r="I33" s="132">
        <v>30</v>
      </c>
      <c r="J33" s="133">
        <v>10.02</v>
      </c>
      <c r="K33" s="134">
        <v>3</v>
      </c>
      <c r="L33" s="53">
        <f t="shared" si="7"/>
        <v>10.01</v>
      </c>
      <c r="M33" s="58">
        <f t="shared" si="8"/>
        <v>60</v>
      </c>
      <c r="N33" s="262">
        <v>10.5</v>
      </c>
      <c r="O33" s="263">
        <v>10.5</v>
      </c>
      <c r="P33" s="228">
        <f t="shared" si="9"/>
        <v>10.5</v>
      </c>
      <c r="Q33" s="229">
        <f t="shared" si="10"/>
        <v>5</v>
      </c>
      <c r="R33" s="262">
        <v>10</v>
      </c>
      <c r="S33" s="263">
        <v>10</v>
      </c>
      <c r="T33" s="228">
        <f t="shared" si="11"/>
        <v>10</v>
      </c>
      <c r="U33" s="229">
        <f t="shared" si="12"/>
        <v>6</v>
      </c>
      <c r="V33" s="262">
        <v>11</v>
      </c>
      <c r="W33" s="263">
        <v>11</v>
      </c>
      <c r="X33" s="228">
        <f t="shared" si="13"/>
        <v>11</v>
      </c>
      <c r="Y33" s="229">
        <f t="shared" si="14"/>
        <v>6</v>
      </c>
      <c r="Z33" s="232">
        <f t="shared" si="15"/>
        <v>10.5</v>
      </c>
      <c r="AA33" s="233">
        <f t="shared" si="16"/>
        <v>17</v>
      </c>
      <c r="AB33" s="263">
        <v>10</v>
      </c>
      <c r="AC33" s="234">
        <f t="shared" si="17"/>
        <v>10</v>
      </c>
      <c r="AD33" s="235">
        <f t="shared" si="18"/>
        <v>1</v>
      </c>
      <c r="AE33" s="262">
        <v>4</v>
      </c>
      <c r="AF33" s="263">
        <v>4</v>
      </c>
      <c r="AG33" s="228">
        <f t="shared" si="19"/>
        <v>4</v>
      </c>
      <c r="AH33" s="229">
        <f t="shared" si="20"/>
        <v>0</v>
      </c>
      <c r="AI33" s="262">
        <v>7</v>
      </c>
      <c r="AJ33" s="263">
        <v>2.5</v>
      </c>
      <c r="AK33" s="228">
        <f t="shared" si="21"/>
        <v>4.75</v>
      </c>
      <c r="AL33" s="229">
        <f t="shared" si="22"/>
        <v>0</v>
      </c>
      <c r="AM33" s="236">
        <f t="shared" si="23"/>
        <v>5.5</v>
      </c>
      <c r="AN33" s="237">
        <f t="shared" si="24"/>
        <v>1</v>
      </c>
      <c r="AO33" s="262"/>
      <c r="AP33" s="263">
        <v>4</v>
      </c>
      <c r="AQ33" s="228">
        <f t="shared" si="25"/>
        <v>2</v>
      </c>
      <c r="AR33" s="229">
        <f t="shared" si="26"/>
        <v>0</v>
      </c>
      <c r="AS33" s="263">
        <v>7.5</v>
      </c>
      <c r="AT33" s="234">
        <f t="shared" si="27"/>
        <v>7.5</v>
      </c>
      <c r="AU33" s="238">
        <f t="shared" si="28"/>
        <v>0</v>
      </c>
      <c r="AV33" s="236">
        <f t="shared" si="29"/>
        <v>4.75</v>
      </c>
      <c r="AW33" s="237">
        <f t="shared" si="30"/>
        <v>0</v>
      </c>
      <c r="AX33" s="263">
        <v>10</v>
      </c>
      <c r="AY33" s="263">
        <v>9.5</v>
      </c>
      <c r="AZ33" s="228">
        <f t="shared" si="31"/>
        <v>9.75</v>
      </c>
      <c r="BA33" s="229">
        <f t="shared" si="32"/>
        <v>0</v>
      </c>
      <c r="BB33" s="236">
        <f t="shared" si="33"/>
        <v>9.75</v>
      </c>
      <c r="BC33" s="237">
        <f t="shared" si="34"/>
        <v>0</v>
      </c>
      <c r="BD33" s="239">
        <f t="shared" si="35"/>
        <v>7.8392857142857144</v>
      </c>
      <c r="BE33" s="240">
        <f t="shared" si="36"/>
        <v>18</v>
      </c>
      <c r="BF33" s="263"/>
      <c r="BG33" s="263"/>
      <c r="BH33" s="264">
        <f t="shared" si="37"/>
        <v>0</v>
      </c>
      <c r="BI33" s="265">
        <f t="shared" si="38"/>
        <v>0</v>
      </c>
      <c r="BJ33" s="263"/>
      <c r="BK33" s="263"/>
      <c r="BL33" s="264">
        <f t="shared" si="39"/>
        <v>0</v>
      </c>
      <c r="BM33" s="265">
        <f t="shared" si="40"/>
        <v>0</v>
      </c>
      <c r="BN33" s="263"/>
      <c r="BO33" s="263"/>
      <c r="BP33" s="264">
        <f t="shared" si="41"/>
        <v>0</v>
      </c>
      <c r="BQ33" s="265">
        <f t="shared" si="42"/>
        <v>0</v>
      </c>
      <c r="BR33" s="266">
        <f t="shared" si="43"/>
        <v>0</v>
      </c>
      <c r="BS33" s="267">
        <f t="shared" si="44"/>
        <v>0</v>
      </c>
      <c r="BT33" s="263"/>
      <c r="BU33" s="263"/>
      <c r="BV33" s="264">
        <f t="shared" si="45"/>
        <v>0</v>
      </c>
      <c r="BW33" s="265">
        <f t="shared" si="46"/>
        <v>0</v>
      </c>
      <c r="BX33" s="263"/>
      <c r="BY33" s="263"/>
      <c r="BZ33" s="264">
        <f t="shared" si="47"/>
        <v>0</v>
      </c>
      <c r="CA33" s="265">
        <f t="shared" si="48"/>
        <v>0</v>
      </c>
      <c r="CB33" s="268">
        <f t="shared" si="49"/>
        <v>0</v>
      </c>
      <c r="CC33" s="267">
        <f t="shared" si="50"/>
        <v>0</v>
      </c>
      <c r="CD33" s="263"/>
      <c r="CE33" s="263"/>
      <c r="CF33" s="264">
        <f t="shared" si="51"/>
        <v>0</v>
      </c>
      <c r="CG33" s="265">
        <f t="shared" si="52"/>
        <v>0</v>
      </c>
      <c r="CH33" s="268">
        <f t="shared" si="53"/>
        <v>0</v>
      </c>
      <c r="CI33" s="267">
        <f t="shared" si="54"/>
        <v>0</v>
      </c>
      <c r="CJ33" s="263"/>
      <c r="CK33" s="269">
        <f t="shared" si="55"/>
        <v>0</v>
      </c>
      <c r="CL33" s="270">
        <f t="shared" si="56"/>
        <v>0</v>
      </c>
      <c r="CM33" s="268">
        <f t="shared" si="57"/>
        <v>0</v>
      </c>
      <c r="CN33" s="267">
        <f t="shared" si="58"/>
        <v>0</v>
      </c>
      <c r="CO33" s="65">
        <f t="shared" si="59"/>
        <v>0</v>
      </c>
      <c r="CP33" s="66">
        <f t="shared" si="60"/>
        <v>0</v>
      </c>
      <c r="CQ33" s="31">
        <f t="shared" si="61"/>
        <v>7.8392857142857144</v>
      </c>
      <c r="CR33" s="32">
        <f t="shared" si="62"/>
        <v>18</v>
      </c>
      <c r="CS33" s="33">
        <f t="shared" si="63"/>
        <v>0</v>
      </c>
      <c r="CT33" s="34">
        <f t="shared" si="64"/>
        <v>0</v>
      </c>
      <c r="CU33" s="67">
        <f t="shared" si="65"/>
        <v>3.9196428571428572</v>
      </c>
      <c r="CV33" s="35">
        <f t="shared" si="66"/>
        <v>18</v>
      </c>
      <c r="CW33" s="59">
        <f t="shared" si="67"/>
        <v>78</v>
      </c>
      <c r="CX33" s="43" t="str">
        <f t="shared" si="68"/>
        <v>مؤجل(ة)</v>
      </c>
      <c r="CZ33" s="51"/>
      <c r="DA33" s="46"/>
    </row>
    <row r="34" spans="2:105" ht="27.75" customHeight="1" thickBot="1">
      <c r="B34" s="1">
        <f t="shared" si="69"/>
        <v>29</v>
      </c>
      <c r="C34" s="324" t="s">
        <v>558</v>
      </c>
      <c r="D34" s="249" t="s">
        <v>559</v>
      </c>
      <c r="E34" s="47" t="s">
        <v>486</v>
      </c>
      <c r="F34" s="135">
        <v>35272</v>
      </c>
      <c r="G34" s="136" t="s">
        <v>774</v>
      </c>
      <c r="H34" s="131">
        <v>8.74</v>
      </c>
      <c r="I34" s="132">
        <v>11</v>
      </c>
      <c r="J34" s="133">
        <v>9.15</v>
      </c>
      <c r="K34" s="134">
        <v>20</v>
      </c>
      <c r="L34" s="53">
        <f t="shared" si="7"/>
        <v>8.9450000000000003</v>
      </c>
      <c r="M34" s="58">
        <f t="shared" si="8"/>
        <v>31</v>
      </c>
      <c r="N34" s="262">
        <v>13</v>
      </c>
      <c r="O34" s="263">
        <v>9</v>
      </c>
      <c r="P34" s="228">
        <f t="shared" si="9"/>
        <v>11</v>
      </c>
      <c r="Q34" s="229">
        <f t="shared" si="10"/>
        <v>5</v>
      </c>
      <c r="R34" s="262">
        <v>14</v>
      </c>
      <c r="S34" s="263">
        <v>4.75</v>
      </c>
      <c r="T34" s="228">
        <f t="shared" si="11"/>
        <v>9.375</v>
      </c>
      <c r="U34" s="229">
        <f t="shared" si="12"/>
        <v>0</v>
      </c>
      <c r="V34" s="262">
        <v>17</v>
      </c>
      <c r="W34" s="263">
        <v>7</v>
      </c>
      <c r="X34" s="228">
        <f t="shared" si="13"/>
        <v>12</v>
      </c>
      <c r="Y34" s="229">
        <f t="shared" si="14"/>
        <v>6</v>
      </c>
      <c r="Z34" s="232">
        <f t="shared" si="15"/>
        <v>10.791666666666666</v>
      </c>
      <c r="AA34" s="233">
        <f t="shared" si="16"/>
        <v>17</v>
      </c>
      <c r="AB34" s="263">
        <v>6.5</v>
      </c>
      <c r="AC34" s="234">
        <f t="shared" si="17"/>
        <v>6.5</v>
      </c>
      <c r="AD34" s="235">
        <f t="shared" si="18"/>
        <v>0</v>
      </c>
      <c r="AE34" s="262">
        <v>7.5</v>
      </c>
      <c r="AF34" s="263">
        <v>7.5</v>
      </c>
      <c r="AG34" s="228">
        <f t="shared" si="19"/>
        <v>7.5</v>
      </c>
      <c r="AH34" s="229">
        <f t="shared" si="20"/>
        <v>0</v>
      </c>
      <c r="AI34" s="262">
        <v>10</v>
      </c>
      <c r="AJ34" s="263">
        <v>3</v>
      </c>
      <c r="AK34" s="228">
        <f t="shared" si="21"/>
        <v>6.5</v>
      </c>
      <c r="AL34" s="229">
        <f t="shared" si="22"/>
        <v>0</v>
      </c>
      <c r="AM34" s="236">
        <f t="shared" si="23"/>
        <v>6.9</v>
      </c>
      <c r="AN34" s="237">
        <f t="shared" si="24"/>
        <v>0</v>
      </c>
      <c r="AO34" s="262"/>
      <c r="AP34" s="263">
        <v>2</v>
      </c>
      <c r="AQ34" s="228">
        <f t="shared" si="25"/>
        <v>1</v>
      </c>
      <c r="AR34" s="229">
        <f t="shared" si="26"/>
        <v>0</v>
      </c>
      <c r="AS34" s="263">
        <v>8</v>
      </c>
      <c r="AT34" s="234">
        <f t="shared" si="27"/>
        <v>8</v>
      </c>
      <c r="AU34" s="238">
        <f t="shared" si="28"/>
        <v>0</v>
      </c>
      <c r="AV34" s="236">
        <f t="shared" si="29"/>
        <v>4.5</v>
      </c>
      <c r="AW34" s="237">
        <f t="shared" si="30"/>
        <v>0</v>
      </c>
      <c r="AX34" s="263">
        <v>11</v>
      </c>
      <c r="AY34" s="263">
        <v>6</v>
      </c>
      <c r="AZ34" s="228">
        <f t="shared" si="31"/>
        <v>8.5</v>
      </c>
      <c r="BA34" s="229">
        <f t="shared" si="32"/>
        <v>0</v>
      </c>
      <c r="BB34" s="236">
        <f t="shared" si="33"/>
        <v>8.5</v>
      </c>
      <c r="BC34" s="237">
        <f t="shared" si="34"/>
        <v>0</v>
      </c>
      <c r="BD34" s="239">
        <f t="shared" si="35"/>
        <v>8.3392857142857135</v>
      </c>
      <c r="BE34" s="240">
        <f t="shared" si="36"/>
        <v>17</v>
      </c>
      <c r="BF34" s="263"/>
      <c r="BG34" s="263"/>
      <c r="BH34" s="264">
        <f t="shared" si="37"/>
        <v>0</v>
      </c>
      <c r="BI34" s="265">
        <f t="shared" si="38"/>
        <v>0</v>
      </c>
      <c r="BJ34" s="263"/>
      <c r="BK34" s="263"/>
      <c r="BL34" s="264">
        <f t="shared" si="39"/>
        <v>0</v>
      </c>
      <c r="BM34" s="265">
        <f t="shared" si="40"/>
        <v>0</v>
      </c>
      <c r="BN34" s="263"/>
      <c r="BO34" s="263"/>
      <c r="BP34" s="264">
        <f t="shared" si="41"/>
        <v>0</v>
      </c>
      <c r="BQ34" s="265">
        <f t="shared" si="42"/>
        <v>0</v>
      </c>
      <c r="BR34" s="266">
        <f t="shared" si="43"/>
        <v>0</v>
      </c>
      <c r="BS34" s="267">
        <f t="shared" si="44"/>
        <v>0</v>
      </c>
      <c r="BT34" s="263"/>
      <c r="BU34" s="263"/>
      <c r="BV34" s="264">
        <f t="shared" si="45"/>
        <v>0</v>
      </c>
      <c r="BW34" s="265">
        <f t="shared" si="46"/>
        <v>0</v>
      </c>
      <c r="BX34" s="263"/>
      <c r="BY34" s="263"/>
      <c r="BZ34" s="264">
        <f t="shared" si="47"/>
        <v>0</v>
      </c>
      <c r="CA34" s="265">
        <f t="shared" si="48"/>
        <v>0</v>
      </c>
      <c r="CB34" s="268">
        <f t="shared" si="49"/>
        <v>0</v>
      </c>
      <c r="CC34" s="267">
        <f t="shared" si="50"/>
        <v>0</v>
      </c>
      <c r="CD34" s="263"/>
      <c r="CE34" s="263"/>
      <c r="CF34" s="264">
        <f t="shared" si="51"/>
        <v>0</v>
      </c>
      <c r="CG34" s="265">
        <f t="shared" si="52"/>
        <v>0</v>
      </c>
      <c r="CH34" s="268">
        <f t="shared" si="53"/>
        <v>0</v>
      </c>
      <c r="CI34" s="267">
        <f t="shared" si="54"/>
        <v>0</v>
      </c>
      <c r="CJ34" s="263"/>
      <c r="CK34" s="269">
        <f t="shared" si="55"/>
        <v>0</v>
      </c>
      <c r="CL34" s="270">
        <f t="shared" si="56"/>
        <v>0</v>
      </c>
      <c r="CM34" s="268">
        <f t="shared" si="57"/>
        <v>0</v>
      </c>
      <c r="CN34" s="267">
        <f t="shared" si="58"/>
        <v>0</v>
      </c>
      <c r="CO34" s="65">
        <f t="shared" si="59"/>
        <v>0</v>
      </c>
      <c r="CP34" s="66">
        <f t="shared" si="60"/>
        <v>0</v>
      </c>
      <c r="CQ34" s="31">
        <f t="shared" si="61"/>
        <v>8.3392857142857135</v>
      </c>
      <c r="CR34" s="32">
        <f t="shared" si="62"/>
        <v>17</v>
      </c>
      <c r="CS34" s="33">
        <f t="shared" si="63"/>
        <v>0</v>
      </c>
      <c r="CT34" s="34">
        <f t="shared" si="64"/>
        <v>0</v>
      </c>
      <c r="CU34" s="67">
        <f t="shared" si="65"/>
        <v>4.1696428571428568</v>
      </c>
      <c r="CV34" s="35">
        <f t="shared" si="66"/>
        <v>17</v>
      </c>
      <c r="CW34" s="59">
        <f t="shared" si="67"/>
        <v>48</v>
      </c>
      <c r="CX34" s="43" t="str">
        <f t="shared" si="68"/>
        <v>مؤجل(ة)</v>
      </c>
      <c r="CY34" s="44"/>
      <c r="CZ34" s="50"/>
      <c r="DA34" s="46"/>
    </row>
    <row r="35" spans="2:105" ht="27.75" customHeight="1" thickBot="1">
      <c r="B35" s="1">
        <f t="shared" si="69"/>
        <v>30</v>
      </c>
      <c r="C35" s="324" t="s">
        <v>560</v>
      </c>
      <c r="D35" s="249" t="s">
        <v>561</v>
      </c>
      <c r="E35" s="47" t="s">
        <v>749</v>
      </c>
      <c r="F35" s="135">
        <v>34564</v>
      </c>
      <c r="G35" s="136" t="s">
        <v>792</v>
      </c>
      <c r="H35" s="131"/>
      <c r="I35" s="132">
        <v>10</v>
      </c>
      <c r="J35" s="133">
        <v>10</v>
      </c>
      <c r="K35" s="134">
        <v>30</v>
      </c>
      <c r="L35" s="53">
        <f t="shared" si="7"/>
        <v>5</v>
      </c>
      <c r="M35" s="58">
        <f t="shared" si="8"/>
        <v>40</v>
      </c>
      <c r="N35" s="262">
        <v>16</v>
      </c>
      <c r="O35" s="263">
        <v>13</v>
      </c>
      <c r="P35" s="228">
        <f t="shared" si="9"/>
        <v>14.5</v>
      </c>
      <c r="Q35" s="229">
        <f t="shared" si="10"/>
        <v>5</v>
      </c>
      <c r="R35" s="262">
        <v>12</v>
      </c>
      <c r="S35" s="263">
        <v>3.5</v>
      </c>
      <c r="T35" s="228">
        <f t="shared" si="11"/>
        <v>7.75</v>
      </c>
      <c r="U35" s="229">
        <f t="shared" si="12"/>
        <v>0</v>
      </c>
      <c r="V35" s="262">
        <v>15.5</v>
      </c>
      <c r="W35" s="263">
        <v>4.5</v>
      </c>
      <c r="X35" s="228">
        <f t="shared" si="13"/>
        <v>10</v>
      </c>
      <c r="Y35" s="229">
        <f t="shared" si="14"/>
        <v>6</v>
      </c>
      <c r="Z35" s="232">
        <f t="shared" si="15"/>
        <v>10.75</v>
      </c>
      <c r="AA35" s="233">
        <f t="shared" si="16"/>
        <v>17</v>
      </c>
      <c r="AB35" s="263">
        <v>3.5</v>
      </c>
      <c r="AC35" s="234">
        <f t="shared" si="17"/>
        <v>3.5</v>
      </c>
      <c r="AD35" s="235">
        <f t="shared" si="18"/>
        <v>0</v>
      </c>
      <c r="AE35" s="262">
        <v>5.5</v>
      </c>
      <c r="AF35" s="263">
        <v>5.5</v>
      </c>
      <c r="AG35" s="228">
        <f t="shared" si="19"/>
        <v>5.5</v>
      </c>
      <c r="AH35" s="229">
        <f t="shared" si="20"/>
        <v>0</v>
      </c>
      <c r="AI35" s="262">
        <v>10</v>
      </c>
      <c r="AJ35" s="263">
        <v>1.5</v>
      </c>
      <c r="AK35" s="228">
        <f t="shared" si="21"/>
        <v>5.75</v>
      </c>
      <c r="AL35" s="229">
        <f t="shared" si="22"/>
        <v>0</v>
      </c>
      <c r="AM35" s="236">
        <f t="shared" si="23"/>
        <v>5.2</v>
      </c>
      <c r="AN35" s="237">
        <f t="shared" si="24"/>
        <v>0</v>
      </c>
      <c r="AO35" s="262"/>
      <c r="AP35" s="263">
        <v>1</v>
      </c>
      <c r="AQ35" s="228">
        <f t="shared" si="25"/>
        <v>0.5</v>
      </c>
      <c r="AR35" s="229">
        <f t="shared" si="26"/>
        <v>0</v>
      </c>
      <c r="AS35" s="263">
        <v>0</v>
      </c>
      <c r="AT35" s="234">
        <f t="shared" si="27"/>
        <v>0</v>
      </c>
      <c r="AU35" s="238">
        <f t="shared" si="28"/>
        <v>0</v>
      </c>
      <c r="AV35" s="236">
        <f t="shared" si="29"/>
        <v>0.25</v>
      </c>
      <c r="AW35" s="237">
        <f t="shared" si="30"/>
        <v>0</v>
      </c>
      <c r="AX35" s="263">
        <v>10</v>
      </c>
      <c r="AY35" s="263">
        <v>3.5</v>
      </c>
      <c r="AZ35" s="228">
        <f t="shared" si="31"/>
        <v>6.75</v>
      </c>
      <c r="BA35" s="229">
        <f t="shared" si="32"/>
        <v>0</v>
      </c>
      <c r="BB35" s="236">
        <f t="shared" si="33"/>
        <v>6.75</v>
      </c>
      <c r="BC35" s="237">
        <f t="shared" si="34"/>
        <v>0</v>
      </c>
      <c r="BD35" s="239">
        <f t="shared" si="35"/>
        <v>6.9821428571428568</v>
      </c>
      <c r="BE35" s="240">
        <f t="shared" si="36"/>
        <v>17</v>
      </c>
      <c r="BF35" s="263"/>
      <c r="BG35" s="263"/>
      <c r="BH35" s="264">
        <f t="shared" si="37"/>
        <v>0</v>
      </c>
      <c r="BI35" s="265">
        <f t="shared" si="38"/>
        <v>0</v>
      </c>
      <c r="BJ35" s="263"/>
      <c r="BK35" s="263"/>
      <c r="BL35" s="264">
        <f t="shared" si="39"/>
        <v>0</v>
      </c>
      <c r="BM35" s="265">
        <f t="shared" si="40"/>
        <v>0</v>
      </c>
      <c r="BN35" s="263"/>
      <c r="BO35" s="263"/>
      <c r="BP35" s="264">
        <f t="shared" si="41"/>
        <v>0</v>
      </c>
      <c r="BQ35" s="265">
        <f t="shared" si="42"/>
        <v>0</v>
      </c>
      <c r="BR35" s="266">
        <f t="shared" si="43"/>
        <v>0</v>
      </c>
      <c r="BS35" s="267">
        <f t="shared" si="44"/>
        <v>0</v>
      </c>
      <c r="BT35" s="263"/>
      <c r="BU35" s="263"/>
      <c r="BV35" s="264">
        <f t="shared" si="45"/>
        <v>0</v>
      </c>
      <c r="BW35" s="265">
        <f t="shared" si="46"/>
        <v>0</v>
      </c>
      <c r="BX35" s="263"/>
      <c r="BY35" s="263"/>
      <c r="BZ35" s="264">
        <f t="shared" si="47"/>
        <v>0</v>
      </c>
      <c r="CA35" s="265">
        <f t="shared" si="48"/>
        <v>0</v>
      </c>
      <c r="CB35" s="268">
        <f t="shared" si="49"/>
        <v>0</v>
      </c>
      <c r="CC35" s="267">
        <f t="shared" si="50"/>
        <v>0</v>
      </c>
      <c r="CD35" s="263"/>
      <c r="CE35" s="263"/>
      <c r="CF35" s="264">
        <f t="shared" si="51"/>
        <v>0</v>
      </c>
      <c r="CG35" s="265">
        <f t="shared" si="52"/>
        <v>0</v>
      </c>
      <c r="CH35" s="268">
        <f t="shared" si="53"/>
        <v>0</v>
      </c>
      <c r="CI35" s="267">
        <f t="shared" si="54"/>
        <v>0</v>
      </c>
      <c r="CJ35" s="263"/>
      <c r="CK35" s="269">
        <f t="shared" si="55"/>
        <v>0</v>
      </c>
      <c r="CL35" s="270">
        <f t="shared" si="56"/>
        <v>0</v>
      </c>
      <c r="CM35" s="268">
        <f t="shared" si="57"/>
        <v>0</v>
      </c>
      <c r="CN35" s="267">
        <f t="shared" si="58"/>
        <v>0</v>
      </c>
      <c r="CO35" s="65">
        <f t="shared" si="59"/>
        <v>0</v>
      </c>
      <c r="CP35" s="66">
        <f t="shared" si="60"/>
        <v>0</v>
      </c>
      <c r="CQ35" s="31">
        <f t="shared" si="61"/>
        <v>6.9821428571428568</v>
      </c>
      <c r="CR35" s="32">
        <f t="shared" si="62"/>
        <v>17</v>
      </c>
      <c r="CS35" s="33">
        <f t="shared" si="63"/>
        <v>0</v>
      </c>
      <c r="CT35" s="34">
        <f t="shared" si="64"/>
        <v>0</v>
      </c>
      <c r="CU35" s="67">
        <f t="shared" si="65"/>
        <v>3.4910714285714284</v>
      </c>
      <c r="CV35" s="35">
        <f t="shared" si="66"/>
        <v>17</v>
      </c>
      <c r="CW35" s="59">
        <f t="shared" si="67"/>
        <v>57</v>
      </c>
      <c r="CX35" s="43" t="str">
        <f t="shared" si="68"/>
        <v>مؤجل(ة)</v>
      </c>
      <c r="CY35" s="44"/>
      <c r="CZ35" s="50"/>
      <c r="DA35" s="46"/>
    </row>
    <row r="36" spans="2:105" ht="27.75" customHeight="1" thickBot="1">
      <c r="B36" s="1">
        <f t="shared" si="69"/>
        <v>31</v>
      </c>
      <c r="C36" s="324" t="s">
        <v>220</v>
      </c>
      <c r="D36" s="249" t="s">
        <v>221</v>
      </c>
      <c r="E36" s="47" t="s">
        <v>377</v>
      </c>
      <c r="F36" s="135">
        <v>34919</v>
      </c>
      <c r="G36" s="136" t="s">
        <v>746</v>
      </c>
      <c r="H36" s="131">
        <v>9.01</v>
      </c>
      <c r="I36" s="132">
        <v>21</v>
      </c>
      <c r="J36" s="133">
        <v>7.93</v>
      </c>
      <c r="K36" s="134">
        <v>10</v>
      </c>
      <c r="L36" s="53">
        <f t="shared" si="7"/>
        <v>8.4699999999999989</v>
      </c>
      <c r="M36" s="58">
        <f t="shared" si="8"/>
        <v>31</v>
      </c>
      <c r="N36" s="262">
        <v>11</v>
      </c>
      <c r="O36" s="263">
        <v>11</v>
      </c>
      <c r="P36" s="228">
        <f t="shared" si="9"/>
        <v>11</v>
      </c>
      <c r="Q36" s="229">
        <f t="shared" si="10"/>
        <v>5</v>
      </c>
      <c r="R36" s="262">
        <v>12</v>
      </c>
      <c r="S36" s="263">
        <v>10</v>
      </c>
      <c r="T36" s="228">
        <f t="shared" si="11"/>
        <v>11</v>
      </c>
      <c r="U36" s="229">
        <f t="shared" si="12"/>
        <v>6</v>
      </c>
      <c r="V36" s="262">
        <v>14</v>
      </c>
      <c r="W36" s="263">
        <v>11</v>
      </c>
      <c r="X36" s="228">
        <f t="shared" si="13"/>
        <v>12.5</v>
      </c>
      <c r="Y36" s="229">
        <f t="shared" si="14"/>
        <v>6</v>
      </c>
      <c r="Z36" s="232">
        <f t="shared" si="15"/>
        <v>11.5</v>
      </c>
      <c r="AA36" s="233">
        <f t="shared" si="16"/>
        <v>17</v>
      </c>
      <c r="AB36" s="263">
        <v>12</v>
      </c>
      <c r="AC36" s="234">
        <f t="shared" si="17"/>
        <v>12</v>
      </c>
      <c r="AD36" s="235">
        <f t="shared" si="18"/>
        <v>1</v>
      </c>
      <c r="AE36" s="262">
        <v>10</v>
      </c>
      <c r="AF36" s="263">
        <v>10</v>
      </c>
      <c r="AG36" s="228">
        <f t="shared" si="19"/>
        <v>10</v>
      </c>
      <c r="AH36" s="229">
        <f t="shared" si="20"/>
        <v>3</v>
      </c>
      <c r="AI36" s="262">
        <v>8</v>
      </c>
      <c r="AJ36" s="263">
        <v>4.5</v>
      </c>
      <c r="AK36" s="228">
        <f t="shared" si="21"/>
        <v>6.25</v>
      </c>
      <c r="AL36" s="229">
        <f t="shared" si="22"/>
        <v>0</v>
      </c>
      <c r="AM36" s="236">
        <f t="shared" si="23"/>
        <v>8.9</v>
      </c>
      <c r="AN36" s="237">
        <f t="shared" si="24"/>
        <v>4</v>
      </c>
      <c r="AO36" s="262">
        <v>10.5</v>
      </c>
      <c r="AP36" s="263">
        <v>10</v>
      </c>
      <c r="AQ36" s="228">
        <f t="shared" si="25"/>
        <v>10.25</v>
      </c>
      <c r="AR36" s="229">
        <f t="shared" si="26"/>
        <v>4</v>
      </c>
      <c r="AS36" s="263">
        <v>11.5</v>
      </c>
      <c r="AT36" s="234">
        <f t="shared" si="27"/>
        <v>11.5</v>
      </c>
      <c r="AU36" s="238">
        <f t="shared" si="28"/>
        <v>1</v>
      </c>
      <c r="AV36" s="236">
        <f t="shared" si="29"/>
        <v>10.875</v>
      </c>
      <c r="AW36" s="237">
        <f t="shared" si="30"/>
        <v>5</v>
      </c>
      <c r="AX36" s="263">
        <v>11</v>
      </c>
      <c r="AY36" s="263">
        <v>5.5</v>
      </c>
      <c r="AZ36" s="228">
        <f t="shared" si="31"/>
        <v>8.25</v>
      </c>
      <c r="BA36" s="229">
        <f t="shared" si="32"/>
        <v>0</v>
      </c>
      <c r="BB36" s="236">
        <f t="shared" si="33"/>
        <v>8.25</v>
      </c>
      <c r="BC36" s="237">
        <f t="shared" si="34"/>
        <v>0</v>
      </c>
      <c r="BD36" s="239">
        <f t="shared" si="35"/>
        <v>10.25</v>
      </c>
      <c r="BE36" s="240">
        <f t="shared" si="36"/>
        <v>30</v>
      </c>
      <c r="BF36" s="263"/>
      <c r="BG36" s="263"/>
      <c r="BH36" s="264">
        <f t="shared" si="37"/>
        <v>0</v>
      </c>
      <c r="BI36" s="265">
        <f t="shared" si="38"/>
        <v>0</v>
      </c>
      <c r="BJ36" s="263"/>
      <c r="BK36" s="263"/>
      <c r="BL36" s="264">
        <f t="shared" si="39"/>
        <v>0</v>
      </c>
      <c r="BM36" s="265">
        <f t="shared" si="40"/>
        <v>0</v>
      </c>
      <c r="BN36" s="263"/>
      <c r="BO36" s="263"/>
      <c r="BP36" s="264">
        <f t="shared" si="41"/>
        <v>0</v>
      </c>
      <c r="BQ36" s="265">
        <f t="shared" si="42"/>
        <v>0</v>
      </c>
      <c r="BR36" s="266">
        <f t="shared" si="43"/>
        <v>0</v>
      </c>
      <c r="BS36" s="267">
        <f t="shared" si="44"/>
        <v>0</v>
      </c>
      <c r="BT36" s="263"/>
      <c r="BU36" s="263"/>
      <c r="BV36" s="264">
        <f t="shared" si="45"/>
        <v>0</v>
      </c>
      <c r="BW36" s="265">
        <f t="shared" si="46"/>
        <v>0</v>
      </c>
      <c r="BX36" s="263"/>
      <c r="BY36" s="263"/>
      <c r="BZ36" s="264">
        <f t="shared" si="47"/>
        <v>0</v>
      </c>
      <c r="CA36" s="265">
        <f t="shared" si="48"/>
        <v>0</v>
      </c>
      <c r="CB36" s="268">
        <f t="shared" si="49"/>
        <v>0</v>
      </c>
      <c r="CC36" s="267">
        <f t="shared" si="50"/>
        <v>0</v>
      </c>
      <c r="CD36" s="263"/>
      <c r="CE36" s="263"/>
      <c r="CF36" s="264">
        <f t="shared" si="51"/>
        <v>0</v>
      </c>
      <c r="CG36" s="265">
        <f t="shared" si="52"/>
        <v>0</v>
      </c>
      <c r="CH36" s="268">
        <f t="shared" si="53"/>
        <v>0</v>
      </c>
      <c r="CI36" s="267">
        <f t="shared" si="54"/>
        <v>0</v>
      </c>
      <c r="CJ36" s="263"/>
      <c r="CK36" s="269">
        <f t="shared" si="55"/>
        <v>0</v>
      </c>
      <c r="CL36" s="270">
        <f t="shared" si="56"/>
        <v>0</v>
      </c>
      <c r="CM36" s="268">
        <f t="shared" si="57"/>
        <v>0</v>
      </c>
      <c r="CN36" s="267">
        <f t="shared" si="58"/>
        <v>0</v>
      </c>
      <c r="CO36" s="65">
        <f t="shared" si="59"/>
        <v>0</v>
      </c>
      <c r="CP36" s="66">
        <f t="shared" si="60"/>
        <v>0</v>
      </c>
      <c r="CQ36" s="31">
        <f t="shared" si="61"/>
        <v>10.25</v>
      </c>
      <c r="CR36" s="32">
        <f t="shared" si="62"/>
        <v>30</v>
      </c>
      <c r="CS36" s="33">
        <f t="shared" si="63"/>
        <v>0</v>
      </c>
      <c r="CT36" s="34">
        <f t="shared" si="64"/>
        <v>0</v>
      </c>
      <c r="CU36" s="67">
        <f t="shared" si="65"/>
        <v>5.125</v>
      </c>
      <c r="CV36" s="35">
        <f t="shared" si="66"/>
        <v>30</v>
      </c>
      <c r="CW36" s="59">
        <f t="shared" si="67"/>
        <v>61</v>
      </c>
      <c r="CX36" s="43" t="str">
        <f t="shared" si="68"/>
        <v>مؤجل(ة)</v>
      </c>
      <c r="CY36" s="44"/>
      <c r="CZ36" s="50"/>
      <c r="DA36" s="46"/>
    </row>
    <row r="37" spans="2:105" ht="27.75" customHeight="1" thickBot="1">
      <c r="B37" s="1">
        <f t="shared" si="69"/>
        <v>32</v>
      </c>
      <c r="C37" s="324" t="s">
        <v>562</v>
      </c>
      <c r="D37" s="249" t="s">
        <v>563</v>
      </c>
      <c r="E37" s="47" t="s">
        <v>750</v>
      </c>
      <c r="F37" s="135">
        <v>34642</v>
      </c>
      <c r="G37" s="136" t="s">
        <v>110</v>
      </c>
      <c r="H37" s="131">
        <v>9.08</v>
      </c>
      <c r="I37" s="132">
        <v>21</v>
      </c>
      <c r="J37" s="133">
        <v>8.89</v>
      </c>
      <c r="K37" s="134">
        <v>17</v>
      </c>
      <c r="L37" s="53">
        <f t="shared" si="7"/>
        <v>8.9849999999999994</v>
      </c>
      <c r="M37" s="58">
        <f t="shared" si="8"/>
        <v>38</v>
      </c>
      <c r="N37" s="262">
        <v>10</v>
      </c>
      <c r="O37" s="263">
        <v>7</v>
      </c>
      <c r="P37" s="228">
        <f t="shared" si="9"/>
        <v>8.5</v>
      </c>
      <c r="Q37" s="229">
        <f t="shared" si="10"/>
        <v>0</v>
      </c>
      <c r="R37" s="262">
        <v>13</v>
      </c>
      <c r="S37" s="263">
        <v>1</v>
      </c>
      <c r="T37" s="228">
        <f t="shared" si="11"/>
        <v>7</v>
      </c>
      <c r="U37" s="229">
        <f t="shared" si="12"/>
        <v>0</v>
      </c>
      <c r="V37" s="262">
        <v>8.5</v>
      </c>
      <c r="W37" s="263">
        <v>1</v>
      </c>
      <c r="X37" s="228">
        <f t="shared" si="13"/>
        <v>4.75</v>
      </c>
      <c r="Y37" s="229">
        <f t="shared" si="14"/>
        <v>0</v>
      </c>
      <c r="Z37" s="232">
        <f t="shared" si="15"/>
        <v>6.75</v>
      </c>
      <c r="AA37" s="233">
        <f t="shared" si="16"/>
        <v>0</v>
      </c>
      <c r="AB37" s="263">
        <v>4</v>
      </c>
      <c r="AC37" s="234">
        <f t="shared" si="17"/>
        <v>4</v>
      </c>
      <c r="AD37" s="235">
        <f t="shared" si="18"/>
        <v>0</v>
      </c>
      <c r="AE37" s="262">
        <v>1</v>
      </c>
      <c r="AF37" s="263">
        <v>1</v>
      </c>
      <c r="AG37" s="228">
        <f t="shared" si="19"/>
        <v>1</v>
      </c>
      <c r="AH37" s="229">
        <f t="shared" si="20"/>
        <v>0</v>
      </c>
      <c r="AI37" s="262">
        <v>8</v>
      </c>
      <c r="AJ37" s="263">
        <v>0</v>
      </c>
      <c r="AK37" s="228">
        <f t="shared" si="21"/>
        <v>4</v>
      </c>
      <c r="AL37" s="229">
        <f t="shared" si="22"/>
        <v>0</v>
      </c>
      <c r="AM37" s="236">
        <f t="shared" si="23"/>
        <v>2.8</v>
      </c>
      <c r="AN37" s="237">
        <f t="shared" si="24"/>
        <v>0</v>
      </c>
      <c r="AO37" s="262">
        <v>10</v>
      </c>
      <c r="AP37" s="263">
        <v>3</v>
      </c>
      <c r="AQ37" s="228">
        <f t="shared" si="25"/>
        <v>6.5</v>
      </c>
      <c r="AR37" s="229">
        <f t="shared" si="26"/>
        <v>0</v>
      </c>
      <c r="AS37" s="263">
        <v>0</v>
      </c>
      <c r="AT37" s="234">
        <f t="shared" si="27"/>
        <v>0</v>
      </c>
      <c r="AU37" s="238">
        <f t="shared" si="28"/>
        <v>0</v>
      </c>
      <c r="AV37" s="236">
        <f t="shared" si="29"/>
        <v>3.25</v>
      </c>
      <c r="AW37" s="237">
        <f t="shared" si="30"/>
        <v>0</v>
      </c>
      <c r="AX37" s="263">
        <v>15</v>
      </c>
      <c r="AY37" s="263">
        <v>3</v>
      </c>
      <c r="AZ37" s="228">
        <f t="shared" si="31"/>
        <v>9</v>
      </c>
      <c r="BA37" s="229">
        <f t="shared" si="32"/>
        <v>0</v>
      </c>
      <c r="BB37" s="236">
        <f t="shared" si="33"/>
        <v>9</v>
      </c>
      <c r="BC37" s="237">
        <f t="shared" si="34"/>
        <v>0</v>
      </c>
      <c r="BD37" s="239">
        <f t="shared" si="35"/>
        <v>5</v>
      </c>
      <c r="BE37" s="240">
        <f t="shared" si="36"/>
        <v>0</v>
      </c>
      <c r="BF37" s="263"/>
      <c r="BG37" s="263"/>
      <c r="BH37" s="264">
        <f t="shared" si="37"/>
        <v>0</v>
      </c>
      <c r="BI37" s="265">
        <f t="shared" si="38"/>
        <v>0</v>
      </c>
      <c r="BJ37" s="263"/>
      <c r="BK37" s="263"/>
      <c r="BL37" s="264">
        <f t="shared" si="39"/>
        <v>0</v>
      </c>
      <c r="BM37" s="265">
        <f t="shared" si="40"/>
        <v>0</v>
      </c>
      <c r="BN37" s="263"/>
      <c r="BO37" s="263"/>
      <c r="BP37" s="264">
        <f t="shared" si="41"/>
        <v>0</v>
      </c>
      <c r="BQ37" s="265">
        <f t="shared" si="42"/>
        <v>0</v>
      </c>
      <c r="BR37" s="266">
        <f t="shared" si="43"/>
        <v>0</v>
      </c>
      <c r="BS37" s="267">
        <f t="shared" si="44"/>
        <v>0</v>
      </c>
      <c r="BT37" s="263"/>
      <c r="BU37" s="263"/>
      <c r="BV37" s="264">
        <f t="shared" si="45"/>
        <v>0</v>
      </c>
      <c r="BW37" s="265">
        <f t="shared" si="46"/>
        <v>0</v>
      </c>
      <c r="BX37" s="263"/>
      <c r="BY37" s="263"/>
      <c r="BZ37" s="264">
        <f t="shared" si="47"/>
        <v>0</v>
      </c>
      <c r="CA37" s="265">
        <f t="shared" si="48"/>
        <v>0</v>
      </c>
      <c r="CB37" s="268">
        <f t="shared" si="49"/>
        <v>0</v>
      </c>
      <c r="CC37" s="267">
        <f t="shared" si="50"/>
        <v>0</v>
      </c>
      <c r="CD37" s="263"/>
      <c r="CE37" s="263"/>
      <c r="CF37" s="264">
        <f t="shared" si="51"/>
        <v>0</v>
      </c>
      <c r="CG37" s="265">
        <f t="shared" si="52"/>
        <v>0</v>
      </c>
      <c r="CH37" s="268">
        <f t="shared" si="53"/>
        <v>0</v>
      </c>
      <c r="CI37" s="267">
        <f t="shared" si="54"/>
        <v>0</v>
      </c>
      <c r="CJ37" s="263"/>
      <c r="CK37" s="269">
        <f t="shared" si="55"/>
        <v>0</v>
      </c>
      <c r="CL37" s="270">
        <f t="shared" si="56"/>
        <v>0</v>
      </c>
      <c r="CM37" s="268">
        <f t="shared" si="57"/>
        <v>0</v>
      </c>
      <c r="CN37" s="267">
        <f t="shared" si="58"/>
        <v>0</v>
      </c>
      <c r="CO37" s="65">
        <f t="shared" si="59"/>
        <v>0</v>
      </c>
      <c r="CP37" s="66">
        <f t="shared" si="60"/>
        <v>0</v>
      </c>
      <c r="CQ37" s="31">
        <f t="shared" si="61"/>
        <v>5</v>
      </c>
      <c r="CR37" s="32">
        <f t="shared" si="62"/>
        <v>0</v>
      </c>
      <c r="CS37" s="33">
        <f t="shared" si="63"/>
        <v>0</v>
      </c>
      <c r="CT37" s="34">
        <f t="shared" si="64"/>
        <v>0</v>
      </c>
      <c r="CU37" s="67">
        <f t="shared" si="65"/>
        <v>2.5</v>
      </c>
      <c r="CV37" s="35">
        <f t="shared" si="66"/>
        <v>0</v>
      </c>
      <c r="CW37" s="59">
        <f t="shared" si="67"/>
        <v>38</v>
      </c>
      <c r="CX37" s="43" t="str">
        <f t="shared" si="68"/>
        <v>مؤجل(ة)</v>
      </c>
      <c r="CZ37" s="51"/>
      <c r="DA37" s="46"/>
    </row>
    <row r="38" spans="2:105" ht="27.75" customHeight="1" thickBot="1">
      <c r="B38" s="1">
        <f t="shared" si="69"/>
        <v>33</v>
      </c>
      <c r="C38" s="323" t="s">
        <v>807</v>
      </c>
      <c r="D38" s="249" t="s">
        <v>806</v>
      </c>
      <c r="E38" s="47" t="s">
        <v>751</v>
      </c>
      <c r="F38" s="135">
        <v>36211</v>
      </c>
      <c r="G38" s="136" t="s">
        <v>110</v>
      </c>
      <c r="H38" s="131">
        <v>9.16</v>
      </c>
      <c r="I38" s="132">
        <v>17</v>
      </c>
      <c r="J38" s="133">
        <v>8.9</v>
      </c>
      <c r="K38" s="134">
        <v>13</v>
      </c>
      <c r="L38" s="53">
        <f t="shared" si="7"/>
        <v>9.0300000000000011</v>
      </c>
      <c r="M38" s="58">
        <f t="shared" si="8"/>
        <v>30</v>
      </c>
      <c r="N38" s="262">
        <v>11</v>
      </c>
      <c r="O38" s="263">
        <v>4</v>
      </c>
      <c r="P38" s="228">
        <f t="shared" si="9"/>
        <v>7.5</v>
      </c>
      <c r="Q38" s="229">
        <f t="shared" si="10"/>
        <v>0</v>
      </c>
      <c r="R38" s="262">
        <v>13</v>
      </c>
      <c r="S38" s="263">
        <v>3</v>
      </c>
      <c r="T38" s="228">
        <f t="shared" si="11"/>
        <v>8</v>
      </c>
      <c r="U38" s="229">
        <f t="shared" si="12"/>
        <v>0</v>
      </c>
      <c r="V38" s="262">
        <v>7</v>
      </c>
      <c r="W38" s="263">
        <v>6.5</v>
      </c>
      <c r="X38" s="228">
        <f t="shared" si="13"/>
        <v>6.75</v>
      </c>
      <c r="Y38" s="229">
        <f t="shared" si="14"/>
        <v>0</v>
      </c>
      <c r="Z38" s="232">
        <f t="shared" si="15"/>
        <v>7.416666666666667</v>
      </c>
      <c r="AA38" s="233">
        <f t="shared" si="16"/>
        <v>0</v>
      </c>
      <c r="AB38" s="263">
        <v>8</v>
      </c>
      <c r="AC38" s="234">
        <f t="shared" si="17"/>
        <v>8</v>
      </c>
      <c r="AD38" s="235">
        <f t="shared" si="18"/>
        <v>0</v>
      </c>
      <c r="AE38" s="262">
        <v>5.5</v>
      </c>
      <c r="AF38" s="263">
        <v>5.5</v>
      </c>
      <c r="AG38" s="228">
        <f t="shared" si="19"/>
        <v>5.5</v>
      </c>
      <c r="AH38" s="229">
        <f t="shared" si="20"/>
        <v>0</v>
      </c>
      <c r="AI38" s="262">
        <v>8</v>
      </c>
      <c r="AJ38" s="263">
        <v>0</v>
      </c>
      <c r="AK38" s="228">
        <f t="shared" si="21"/>
        <v>4</v>
      </c>
      <c r="AL38" s="229">
        <f t="shared" si="22"/>
        <v>0</v>
      </c>
      <c r="AM38" s="236">
        <f t="shared" si="23"/>
        <v>5.4</v>
      </c>
      <c r="AN38" s="237">
        <f t="shared" si="24"/>
        <v>0</v>
      </c>
      <c r="AO38" s="262">
        <v>10.5</v>
      </c>
      <c r="AP38" s="263">
        <v>3</v>
      </c>
      <c r="AQ38" s="228">
        <f t="shared" si="25"/>
        <v>6.75</v>
      </c>
      <c r="AR38" s="229">
        <f t="shared" si="26"/>
        <v>0</v>
      </c>
      <c r="AS38" s="263">
        <v>4.5</v>
      </c>
      <c r="AT38" s="234">
        <f t="shared" si="27"/>
        <v>4.5</v>
      </c>
      <c r="AU38" s="238">
        <f t="shared" si="28"/>
        <v>0</v>
      </c>
      <c r="AV38" s="236">
        <f t="shared" si="29"/>
        <v>5.625</v>
      </c>
      <c r="AW38" s="237">
        <f t="shared" si="30"/>
        <v>0</v>
      </c>
      <c r="AX38" s="263">
        <v>15</v>
      </c>
      <c r="AY38" s="263">
        <v>12</v>
      </c>
      <c r="AZ38" s="228">
        <f t="shared" si="31"/>
        <v>13.5</v>
      </c>
      <c r="BA38" s="229">
        <f t="shared" si="32"/>
        <v>1</v>
      </c>
      <c r="BB38" s="236">
        <f t="shared" si="33"/>
        <v>13.5</v>
      </c>
      <c r="BC38" s="237">
        <f t="shared" si="34"/>
        <v>1</v>
      </c>
      <c r="BD38" s="239">
        <f t="shared" si="35"/>
        <v>6.875</v>
      </c>
      <c r="BE38" s="240">
        <f t="shared" si="36"/>
        <v>1</v>
      </c>
      <c r="BF38" s="263"/>
      <c r="BG38" s="263"/>
      <c r="BH38" s="264">
        <f t="shared" si="37"/>
        <v>0</v>
      </c>
      <c r="BI38" s="265">
        <f t="shared" si="38"/>
        <v>0</v>
      </c>
      <c r="BJ38" s="263"/>
      <c r="BK38" s="263"/>
      <c r="BL38" s="264">
        <f t="shared" si="39"/>
        <v>0</v>
      </c>
      <c r="BM38" s="265">
        <f t="shared" si="40"/>
        <v>0</v>
      </c>
      <c r="BN38" s="263"/>
      <c r="BO38" s="263"/>
      <c r="BP38" s="264">
        <f t="shared" si="41"/>
        <v>0</v>
      </c>
      <c r="BQ38" s="265">
        <f t="shared" si="42"/>
        <v>0</v>
      </c>
      <c r="BR38" s="266">
        <f t="shared" si="43"/>
        <v>0</v>
      </c>
      <c r="BS38" s="267">
        <f t="shared" si="44"/>
        <v>0</v>
      </c>
      <c r="BT38" s="263"/>
      <c r="BU38" s="263"/>
      <c r="BV38" s="264">
        <f t="shared" si="45"/>
        <v>0</v>
      </c>
      <c r="BW38" s="265">
        <f t="shared" si="46"/>
        <v>0</v>
      </c>
      <c r="BX38" s="263"/>
      <c r="BY38" s="263"/>
      <c r="BZ38" s="264">
        <f t="shared" si="47"/>
        <v>0</v>
      </c>
      <c r="CA38" s="265">
        <f t="shared" si="48"/>
        <v>0</v>
      </c>
      <c r="CB38" s="268">
        <f t="shared" si="49"/>
        <v>0</v>
      </c>
      <c r="CC38" s="267">
        <f t="shared" si="50"/>
        <v>0</v>
      </c>
      <c r="CD38" s="263"/>
      <c r="CE38" s="263"/>
      <c r="CF38" s="264">
        <f t="shared" si="51"/>
        <v>0</v>
      </c>
      <c r="CG38" s="265">
        <f t="shared" si="52"/>
        <v>0</v>
      </c>
      <c r="CH38" s="268">
        <f t="shared" si="53"/>
        <v>0</v>
      </c>
      <c r="CI38" s="267">
        <f t="shared" si="54"/>
        <v>0</v>
      </c>
      <c r="CJ38" s="263"/>
      <c r="CK38" s="269">
        <f t="shared" si="55"/>
        <v>0</v>
      </c>
      <c r="CL38" s="270">
        <f t="shared" si="56"/>
        <v>0</v>
      </c>
      <c r="CM38" s="268">
        <f t="shared" si="57"/>
        <v>0</v>
      </c>
      <c r="CN38" s="267">
        <f t="shared" si="58"/>
        <v>0</v>
      </c>
      <c r="CO38" s="65">
        <f t="shared" si="59"/>
        <v>0</v>
      </c>
      <c r="CP38" s="66">
        <f t="shared" si="60"/>
        <v>0</v>
      </c>
      <c r="CQ38" s="31">
        <f t="shared" si="61"/>
        <v>6.875</v>
      </c>
      <c r="CR38" s="32">
        <f t="shared" si="62"/>
        <v>1</v>
      </c>
      <c r="CS38" s="33">
        <f t="shared" si="63"/>
        <v>0</v>
      </c>
      <c r="CT38" s="34">
        <f t="shared" si="64"/>
        <v>0</v>
      </c>
      <c r="CU38" s="67">
        <f t="shared" si="65"/>
        <v>3.4375</v>
      </c>
      <c r="CV38" s="35">
        <f t="shared" si="66"/>
        <v>1</v>
      </c>
      <c r="CW38" s="59">
        <f t="shared" si="67"/>
        <v>31</v>
      </c>
      <c r="CX38" s="43" t="str">
        <f t="shared" si="68"/>
        <v>مؤجل(ة)</v>
      </c>
      <c r="CZ38" s="51"/>
      <c r="DA38" s="46"/>
    </row>
    <row r="39" spans="2:105" ht="27.75" customHeight="1" thickBot="1">
      <c r="B39" s="1">
        <f t="shared" si="69"/>
        <v>34</v>
      </c>
      <c r="C39" s="324" t="s">
        <v>564</v>
      </c>
      <c r="D39" s="249" t="s">
        <v>565</v>
      </c>
      <c r="E39" s="47" t="s">
        <v>379</v>
      </c>
      <c r="F39" s="135">
        <v>35426</v>
      </c>
      <c r="G39" s="136" t="s">
        <v>746</v>
      </c>
      <c r="H39" s="131">
        <v>9.49</v>
      </c>
      <c r="I39" s="132">
        <v>11</v>
      </c>
      <c r="J39" s="133">
        <v>9.6199999999999992</v>
      </c>
      <c r="K39" s="134">
        <v>23</v>
      </c>
      <c r="L39" s="53">
        <f t="shared" si="7"/>
        <v>9.5549999999999997</v>
      </c>
      <c r="M39" s="58">
        <f t="shared" si="8"/>
        <v>34</v>
      </c>
      <c r="N39" s="262">
        <v>10</v>
      </c>
      <c r="O39" s="263">
        <v>10</v>
      </c>
      <c r="P39" s="228">
        <f t="shared" si="9"/>
        <v>10</v>
      </c>
      <c r="Q39" s="229">
        <f t="shared" si="10"/>
        <v>5</v>
      </c>
      <c r="R39" s="262">
        <v>12.5</v>
      </c>
      <c r="S39" s="263"/>
      <c r="T39" s="228">
        <f t="shared" si="11"/>
        <v>6.25</v>
      </c>
      <c r="U39" s="229">
        <f t="shared" si="12"/>
        <v>0</v>
      </c>
      <c r="V39" s="262">
        <v>10</v>
      </c>
      <c r="W39" s="263">
        <v>10</v>
      </c>
      <c r="X39" s="228">
        <f t="shared" si="13"/>
        <v>10</v>
      </c>
      <c r="Y39" s="229">
        <f t="shared" si="14"/>
        <v>6</v>
      </c>
      <c r="Z39" s="232">
        <f t="shared" si="15"/>
        <v>8.75</v>
      </c>
      <c r="AA39" s="233">
        <f t="shared" si="16"/>
        <v>11</v>
      </c>
      <c r="AB39" s="263"/>
      <c r="AC39" s="234">
        <f t="shared" si="17"/>
        <v>0</v>
      </c>
      <c r="AD39" s="235">
        <f t="shared" si="18"/>
        <v>0</v>
      </c>
      <c r="AE39" s="262"/>
      <c r="AF39" s="263"/>
      <c r="AG39" s="228">
        <f t="shared" si="19"/>
        <v>0</v>
      </c>
      <c r="AH39" s="229">
        <f t="shared" si="20"/>
        <v>0</v>
      </c>
      <c r="AI39" s="262">
        <v>12</v>
      </c>
      <c r="AJ39" s="263"/>
      <c r="AK39" s="228">
        <f t="shared" si="21"/>
        <v>6</v>
      </c>
      <c r="AL39" s="229">
        <f t="shared" si="22"/>
        <v>0</v>
      </c>
      <c r="AM39" s="236">
        <f t="shared" si="23"/>
        <v>2.4</v>
      </c>
      <c r="AN39" s="237">
        <f t="shared" si="24"/>
        <v>0</v>
      </c>
      <c r="AO39" s="262">
        <v>10</v>
      </c>
      <c r="AP39" s="263"/>
      <c r="AQ39" s="228">
        <f t="shared" si="25"/>
        <v>5</v>
      </c>
      <c r="AR39" s="229">
        <f t="shared" si="26"/>
        <v>0</v>
      </c>
      <c r="AS39" s="263">
        <v>10.5</v>
      </c>
      <c r="AT39" s="234">
        <f t="shared" si="27"/>
        <v>10.5</v>
      </c>
      <c r="AU39" s="238">
        <f t="shared" si="28"/>
        <v>1</v>
      </c>
      <c r="AV39" s="236">
        <f t="shared" si="29"/>
        <v>7.75</v>
      </c>
      <c r="AW39" s="237">
        <f t="shared" si="30"/>
        <v>1</v>
      </c>
      <c r="AX39" s="263">
        <v>10.38</v>
      </c>
      <c r="AY39" s="263">
        <v>10.38</v>
      </c>
      <c r="AZ39" s="228">
        <f t="shared" si="31"/>
        <v>10.38</v>
      </c>
      <c r="BA39" s="229">
        <f t="shared" si="32"/>
        <v>1</v>
      </c>
      <c r="BB39" s="236">
        <f t="shared" si="33"/>
        <v>10.38</v>
      </c>
      <c r="BC39" s="237">
        <f t="shared" si="34"/>
        <v>1</v>
      </c>
      <c r="BD39" s="239">
        <f t="shared" si="35"/>
        <v>6.4557142857142855</v>
      </c>
      <c r="BE39" s="240">
        <f t="shared" si="36"/>
        <v>13</v>
      </c>
      <c r="BF39" s="263"/>
      <c r="BG39" s="263"/>
      <c r="BH39" s="264">
        <f t="shared" si="37"/>
        <v>0</v>
      </c>
      <c r="BI39" s="265">
        <f t="shared" si="38"/>
        <v>0</v>
      </c>
      <c r="BJ39" s="263"/>
      <c r="BK39" s="263"/>
      <c r="BL39" s="264">
        <f t="shared" si="39"/>
        <v>0</v>
      </c>
      <c r="BM39" s="265">
        <f t="shared" si="40"/>
        <v>0</v>
      </c>
      <c r="BN39" s="263"/>
      <c r="BO39" s="263"/>
      <c r="BP39" s="264">
        <f t="shared" si="41"/>
        <v>0</v>
      </c>
      <c r="BQ39" s="265">
        <f t="shared" si="42"/>
        <v>0</v>
      </c>
      <c r="BR39" s="266">
        <f t="shared" si="43"/>
        <v>0</v>
      </c>
      <c r="BS39" s="267">
        <f t="shared" si="44"/>
        <v>0</v>
      </c>
      <c r="BT39" s="263"/>
      <c r="BU39" s="263"/>
      <c r="BV39" s="264">
        <f t="shared" si="45"/>
        <v>0</v>
      </c>
      <c r="BW39" s="265">
        <f t="shared" si="46"/>
        <v>0</v>
      </c>
      <c r="BX39" s="263"/>
      <c r="BY39" s="263"/>
      <c r="BZ39" s="264">
        <f t="shared" si="47"/>
        <v>0</v>
      </c>
      <c r="CA39" s="265">
        <f t="shared" si="48"/>
        <v>0</v>
      </c>
      <c r="CB39" s="268">
        <f t="shared" si="49"/>
        <v>0</v>
      </c>
      <c r="CC39" s="267">
        <f t="shared" si="50"/>
        <v>0</v>
      </c>
      <c r="CD39" s="263"/>
      <c r="CE39" s="263"/>
      <c r="CF39" s="264">
        <f t="shared" si="51"/>
        <v>0</v>
      </c>
      <c r="CG39" s="265">
        <f t="shared" si="52"/>
        <v>0</v>
      </c>
      <c r="CH39" s="268">
        <f t="shared" si="53"/>
        <v>0</v>
      </c>
      <c r="CI39" s="267">
        <f t="shared" si="54"/>
        <v>0</v>
      </c>
      <c r="CJ39" s="263"/>
      <c r="CK39" s="269">
        <f t="shared" si="55"/>
        <v>0</v>
      </c>
      <c r="CL39" s="270">
        <f t="shared" si="56"/>
        <v>0</v>
      </c>
      <c r="CM39" s="268">
        <f t="shared" si="57"/>
        <v>0</v>
      </c>
      <c r="CN39" s="267">
        <f t="shared" si="58"/>
        <v>0</v>
      </c>
      <c r="CO39" s="65">
        <f t="shared" si="59"/>
        <v>0</v>
      </c>
      <c r="CP39" s="66">
        <f t="shared" si="60"/>
        <v>0</v>
      </c>
      <c r="CQ39" s="31">
        <f t="shared" si="61"/>
        <v>6.4557142857142855</v>
      </c>
      <c r="CR39" s="32">
        <f t="shared" si="62"/>
        <v>13</v>
      </c>
      <c r="CS39" s="33">
        <f t="shared" si="63"/>
        <v>0</v>
      </c>
      <c r="CT39" s="34">
        <f t="shared" si="64"/>
        <v>0</v>
      </c>
      <c r="CU39" s="67">
        <f t="shared" si="65"/>
        <v>3.2278571428571428</v>
      </c>
      <c r="CV39" s="35">
        <f t="shared" si="66"/>
        <v>13</v>
      </c>
      <c r="CW39" s="59">
        <f t="shared" si="67"/>
        <v>47</v>
      </c>
      <c r="CX39" s="43" t="str">
        <f t="shared" si="68"/>
        <v>مؤجل(ة)</v>
      </c>
      <c r="CZ39" s="51"/>
      <c r="DA39" s="46"/>
    </row>
    <row r="40" spans="2:105" ht="27.75" customHeight="1" thickBot="1">
      <c r="B40" s="1">
        <f t="shared" si="69"/>
        <v>35</v>
      </c>
      <c r="C40" s="323" t="s">
        <v>285</v>
      </c>
      <c r="D40" s="249" t="s">
        <v>566</v>
      </c>
      <c r="E40" s="47" t="s">
        <v>459</v>
      </c>
      <c r="F40" s="135">
        <v>35537</v>
      </c>
      <c r="G40" s="136" t="s">
        <v>746</v>
      </c>
      <c r="H40" s="131">
        <v>8.68</v>
      </c>
      <c r="I40" s="132">
        <v>16</v>
      </c>
      <c r="J40" s="133">
        <v>8.65</v>
      </c>
      <c r="K40" s="134">
        <v>19</v>
      </c>
      <c r="L40" s="53">
        <f t="shared" si="7"/>
        <v>8.6649999999999991</v>
      </c>
      <c r="M40" s="58">
        <f t="shared" si="8"/>
        <v>35</v>
      </c>
      <c r="N40" s="262">
        <v>11</v>
      </c>
      <c r="O40" s="263">
        <v>11</v>
      </c>
      <c r="P40" s="228">
        <f t="shared" si="9"/>
        <v>11</v>
      </c>
      <c r="Q40" s="229">
        <f t="shared" si="10"/>
        <v>5</v>
      </c>
      <c r="R40" s="262">
        <v>10.25</v>
      </c>
      <c r="S40" s="263">
        <v>10.25</v>
      </c>
      <c r="T40" s="228">
        <f t="shared" si="11"/>
        <v>10.25</v>
      </c>
      <c r="U40" s="229">
        <f t="shared" si="12"/>
        <v>6</v>
      </c>
      <c r="V40" s="262">
        <v>8.8800000000000008</v>
      </c>
      <c r="W40" s="263">
        <v>8.8800000000000008</v>
      </c>
      <c r="X40" s="228">
        <f t="shared" si="13"/>
        <v>8.8800000000000008</v>
      </c>
      <c r="Y40" s="229">
        <f t="shared" si="14"/>
        <v>0</v>
      </c>
      <c r="Z40" s="232">
        <f t="shared" si="15"/>
        <v>10.043333333333335</v>
      </c>
      <c r="AA40" s="233">
        <f t="shared" si="16"/>
        <v>17</v>
      </c>
      <c r="AB40" s="263">
        <v>12</v>
      </c>
      <c r="AC40" s="234">
        <f t="shared" si="17"/>
        <v>12</v>
      </c>
      <c r="AD40" s="235">
        <f t="shared" si="18"/>
        <v>1</v>
      </c>
      <c r="AE40" s="262">
        <v>13</v>
      </c>
      <c r="AF40" s="263">
        <v>13</v>
      </c>
      <c r="AG40" s="228">
        <f t="shared" si="19"/>
        <v>13</v>
      </c>
      <c r="AH40" s="229">
        <f t="shared" si="20"/>
        <v>3</v>
      </c>
      <c r="AI40" s="262">
        <v>5.88</v>
      </c>
      <c r="AJ40" s="263">
        <v>5.88</v>
      </c>
      <c r="AK40" s="228">
        <f t="shared" si="21"/>
        <v>5.88</v>
      </c>
      <c r="AL40" s="229">
        <f t="shared" si="22"/>
        <v>0</v>
      </c>
      <c r="AM40" s="236">
        <f t="shared" si="23"/>
        <v>9.952</v>
      </c>
      <c r="AN40" s="237">
        <f t="shared" si="24"/>
        <v>4</v>
      </c>
      <c r="AO40" s="262">
        <v>8.1300000000000008</v>
      </c>
      <c r="AP40" s="263">
        <v>8.1300000000000008</v>
      </c>
      <c r="AQ40" s="228">
        <f t="shared" si="25"/>
        <v>8.1300000000000008</v>
      </c>
      <c r="AR40" s="229">
        <f t="shared" si="26"/>
        <v>0</v>
      </c>
      <c r="AS40" s="263">
        <v>12</v>
      </c>
      <c r="AT40" s="234">
        <f t="shared" si="27"/>
        <v>12</v>
      </c>
      <c r="AU40" s="238">
        <f t="shared" si="28"/>
        <v>1</v>
      </c>
      <c r="AV40" s="236">
        <f t="shared" si="29"/>
        <v>10.065000000000001</v>
      </c>
      <c r="AW40" s="237">
        <f t="shared" si="30"/>
        <v>5</v>
      </c>
      <c r="AX40" s="263">
        <v>10.130000000000001</v>
      </c>
      <c r="AY40" s="263">
        <v>10.130000000000001</v>
      </c>
      <c r="AZ40" s="228">
        <f t="shared" si="31"/>
        <v>10.130000000000001</v>
      </c>
      <c r="BA40" s="229">
        <f t="shared" si="32"/>
        <v>1</v>
      </c>
      <c r="BB40" s="236">
        <f t="shared" si="33"/>
        <v>10.130000000000001</v>
      </c>
      <c r="BC40" s="237">
        <f t="shared" si="34"/>
        <v>1</v>
      </c>
      <c r="BD40" s="239">
        <f t="shared" si="35"/>
        <v>10.02</v>
      </c>
      <c r="BE40" s="240">
        <f t="shared" si="36"/>
        <v>30</v>
      </c>
      <c r="BF40" s="263"/>
      <c r="BG40" s="263"/>
      <c r="BH40" s="264">
        <f t="shared" si="37"/>
        <v>0</v>
      </c>
      <c r="BI40" s="265">
        <f t="shared" si="38"/>
        <v>0</v>
      </c>
      <c r="BJ40" s="263"/>
      <c r="BK40" s="263"/>
      <c r="BL40" s="264">
        <f t="shared" si="39"/>
        <v>0</v>
      </c>
      <c r="BM40" s="265">
        <f t="shared" si="40"/>
        <v>0</v>
      </c>
      <c r="BN40" s="263"/>
      <c r="BO40" s="263"/>
      <c r="BP40" s="264">
        <f t="shared" si="41"/>
        <v>0</v>
      </c>
      <c r="BQ40" s="265">
        <f t="shared" si="42"/>
        <v>0</v>
      </c>
      <c r="BR40" s="266">
        <f t="shared" si="43"/>
        <v>0</v>
      </c>
      <c r="BS40" s="267">
        <f t="shared" si="44"/>
        <v>0</v>
      </c>
      <c r="BT40" s="263"/>
      <c r="BU40" s="263"/>
      <c r="BV40" s="264">
        <f t="shared" si="45"/>
        <v>0</v>
      </c>
      <c r="BW40" s="265">
        <f t="shared" si="46"/>
        <v>0</v>
      </c>
      <c r="BX40" s="263"/>
      <c r="BY40" s="263"/>
      <c r="BZ40" s="264">
        <f t="shared" si="47"/>
        <v>0</v>
      </c>
      <c r="CA40" s="265">
        <f t="shared" si="48"/>
        <v>0</v>
      </c>
      <c r="CB40" s="268">
        <f t="shared" si="49"/>
        <v>0</v>
      </c>
      <c r="CC40" s="267">
        <f t="shared" si="50"/>
        <v>0</v>
      </c>
      <c r="CD40" s="263"/>
      <c r="CE40" s="263"/>
      <c r="CF40" s="264">
        <f t="shared" si="51"/>
        <v>0</v>
      </c>
      <c r="CG40" s="265">
        <f t="shared" si="52"/>
        <v>0</v>
      </c>
      <c r="CH40" s="268">
        <f t="shared" si="53"/>
        <v>0</v>
      </c>
      <c r="CI40" s="267">
        <f t="shared" si="54"/>
        <v>0</v>
      </c>
      <c r="CJ40" s="263"/>
      <c r="CK40" s="269">
        <f t="shared" si="55"/>
        <v>0</v>
      </c>
      <c r="CL40" s="270">
        <f t="shared" si="56"/>
        <v>0</v>
      </c>
      <c r="CM40" s="268">
        <f t="shared" si="57"/>
        <v>0</v>
      </c>
      <c r="CN40" s="267">
        <f t="shared" si="58"/>
        <v>0</v>
      </c>
      <c r="CO40" s="65">
        <f t="shared" si="59"/>
        <v>0</v>
      </c>
      <c r="CP40" s="66">
        <f t="shared" si="60"/>
        <v>0</v>
      </c>
      <c r="CQ40" s="31">
        <f t="shared" si="61"/>
        <v>10.02</v>
      </c>
      <c r="CR40" s="32">
        <f t="shared" si="62"/>
        <v>30</v>
      </c>
      <c r="CS40" s="33">
        <f t="shared" si="63"/>
        <v>0</v>
      </c>
      <c r="CT40" s="34">
        <f t="shared" si="64"/>
        <v>0</v>
      </c>
      <c r="CU40" s="67">
        <f t="shared" si="65"/>
        <v>5.01</v>
      </c>
      <c r="CV40" s="35">
        <f t="shared" si="66"/>
        <v>30</v>
      </c>
      <c r="CW40" s="59">
        <f t="shared" si="67"/>
        <v>65</v>
      </c>
      <c r="CX40" s="43" t="str">
        <f t="shared" si="68"/>
        <v>مؤجل(ة)</v>
      </c>
      <c r="CZ40" s="51"/>
      <c r="DA40" s="46"/>
    </row>
    <row r="41" spans="2:105" ht="27.75" customHeight="1" thickBot="1">
      <c r="B41" s="1">
        <f t="shared" si="69"/>
        <v>36</v>
      </c>
      <c r="C41" s="341" t="s">
        <v>171</v>
      </c>
      <c r="D41" s="338" t="s">
        <v>172</v>
      </c>
      <c r="E41" s="137" t="s">
        <v>409</v>
      </c>
      <c r="F41" s="135">
        <v>34772</v>
      </c>
      <c r="G41" s="136" t="s">
        <v>746</v>
      </c>
      <c r="H41" s="131"/>
      <c r="I41" s="132"/>
      <c r="J41" s="133"/>
      <c r="K41" s="134"/>
      <c r="L41" s="53">
        <f t="shared" si="7"/>
        <v>0</v>
      </c>
      <c r="M41" s="58">
        <f t="shared" si="8"/>
        <v>0</v>
      </c>
      <c r="N41" s="262">
        <v>11.5</v>
      </c>
      <c r="O41" s="263">
        <v>11.5</v>
      </c>
      <c r="P41" s="228">
        <f t="shared" si="9"/>
        <v>11.5</v>
      </c>
      <c r="Q41" s="229">
        <f t="shared" si="10"/>
        <v>5</v>
      </c>
      <c r="R41" s="262">
        <v>10</v>
      </c>
      <c r="S41" s="263">
        <v>10</v>
      </c>
      <c r="T41" s="228">
        <f t="shared" si="11"/>
        <v>10</v>
      </c>
      <c r="U41" s="229">
        <f t="shared" si="12"/>
        <v>6</v>
      </c>
      <c r="V41" s="262">
        <v>9.25</v>
      </c>
      <c r="W41" s="263">
        <v>9.25</v>
      </c>
      <c r="X41" s="228">
        <f t="shared" si="13"/>
        <v>9.25</v>
      </c>
      <c r="Y41" s="229">
        <f t="shared" si="14"/>
        <v>0</v>
      </c>
      <c r="Z41" s="232">
        <f t="shared" si="15"/>
        <v>10.25</v>
      </c>
      <c r="AA41" s="233">
        <f t="shared" si="16"/>
        <v>17</v>
      </c>
      <c r="AB41" s="263">
        <v>12</v>
      </c>
      <c r="AC41" s="234">
        <f t="shared" si="17"/>
        <v>12</v>
      </c>
      <c r="AD41" s="235">
        <f t="shared" si="18"/>
        <v>1</v>
      </c>
      <c r="AE41" s="262">
        <v>10</v>
      </c>
      <c r="AF41" s="263">
        <v>10</v>
      </c>
      <c r="AG41" s="228">
        <f t="shared" si="19"/>
        <v>10</v>
      </c>
      <c r="AH41" s="229">
        <f t="shared" si="20"/>
        <v>3</v>
      </c>
      <c r="AI41" s="262">
        <v>11</v>
      </c>
      <c r="AJ41" s="263">
        <v>2</v>
      </c>
      <c r="AK41" s="228">
        <f t="shared" si="21"/>
        <v>6.5</v>
      </c>
      <c r="AL41" s="229">
        <f t="shared" si="22"/>
        <v>0</v>
      </c>
      <c r="AM41" s="236">
        <f t="shared" si="23"/>
        <v>9</v>
      </c>
      <c r="AN41" s="237">
        <f t="shared" si="24"/>
        <v>4</v>
      </c>
      <c r="AO41" s="262">
        <v>12</v>
      </c>
      <c r="AP41" s="263">
        <v>12</v>
      </c>
      <c r="AQ41" s="228">
        <f t="shared" si="25"/>
        <v>12</v>
      </c>
      <c r="AR41" s="229">
        <f t="shared" si="26"/>
        <v>4</v>
      </c>
      <c r="AS41" s="263">
        <v>9</v>
      </c>
      <c r="AT41" s="234">
        <f t="shared" si="27"/>
        <v>9</v>
      </c>
      <c r="AU41" s="238">
        <f t="shared" si="28"/>
        <v>0</v>
      </c>
      <c r="AV41" s="236">
        <f t="shared" si="29"/>
        <v>10.5</v>
      </c>
      <c r="AW41" s="237">
        <f t="shared" si="30"/>
        <v>5</v>
      </c>
      <c r="AX41" s="263">
        <v>11.75</v>
      </c>
      <c r="AY41" s="263">
        <v>11.75</v>
      </c>
      <c r="AZ41" s="228">
        <f t="shared" si="31"/>
        <v>11.75</v>
      </c>
      <c r="BA41" s="229">
        <f t="shared" si="32"/>
        <v>1</v>
      </c>
      <c r="BB41" s="236">
        <f t="shared" si="33"/>
        <v>11.75</v>
      </c>
      <c r="BC41" s="237">
        <f t="shared" si="34"/>
        <v>1</v>
      </c>
      <c r="BD41" s="239">
        <f t="shared" si="35"/>
        <v>9.9464285714285712</v>
      </c>
      <c r="BE41" s="240">
        <f t="shared" si="36"/>
        <v>27</v>
      </c>
      <c r="BF41" s="263"/>
      <c r="BG41" s="263"/>
      <c r="BH41" s="264">
        <f t="shared" si="37"/>
        <v>0</v>
      </c>
      <c r="BI41" s="265">
        <f t="shared" si="38"/>
        <v>0</v>
      </c>
      <c r="BJ41" s="263"/>
      <c r="BK41" s="263"/>
      <c r="BL41" s="264">
        <f t="shared" si="39"/>
        <v>0</v>
      </c>
      <c r="BM41" s="265">
        <f t="shared" si="40"/>
        <v>0</v>
      </c>
      <c r="BN41" s="263"/>
      <c r="BO41" s="263"/>
      <c r="BP41" s="264">
        <f t="shared" si="41"/>
        <v>0</v>
      </c>
      <c r="BQ41" s="265">
        <f t="shared" si="42"/>
        <v>0</v>
      </c>
      <c r="BR41" s="266">
        <f t="shared" si="43"/>
        <v>0</v>
      </c>
      <c r="BS41" s="267">
        <f t="shared" si="44"/>
        <v>0</v>
      </c>
      <c r="BT41" s="263"/>
      <c r="BU41" s="263"/>
      <c r="BV41" s="264">
        <f t="shared" si="45"/>
        <v>0</v>
      </c>
      <c r="BW41" s="265">
        <f t="shared" si="46"/>
        <v>0</v>
      </c>
      <c r="BX41" s="263"/>
      <c r="BY41" s="263"/>
      <c r="BZ41" s="264">
        <f t="shared" si="47"/>
        <v>0</v>
      </c>
      <c r="CA41" s="265">
        <f t="shared" si="48"/>
        <v>0</v>
      </c>
      <c r="CB41" s="268">
        <f t="shared" si="49"/>
        <v>0</v>
      </c>
      <c r="CC41" s="267">
        <f t="shared" si="50"/>
        <v>0</v>
      </c>
      <c r="CD41" s="263"/>
      <c r="CE41" s="263"/>
      <c r="CF41" s="264">
        <f t="shared" si="51"/>
        <v>0</v>
      </c>
      <c r="CG41" s="265">
        <f t="shared" si="52"/>
        <v>0</v>
      </c>
      <c r="CH41" s="268">
        <f t="shared" si="53"/>
        <v>0</v>
      </c>
      <c r="CI41" s="267">
        <f t="shared" si="54"/>
        <v>0</v>
      </c>
      <c r="CJ41" s="263"/>
      <c r="CK41" s="269">
        <f t="shared" si="55"/>
        <v>0</v>
      </c>
      <c r="CL41" s="270">
        <f t="shared" si="56"/>
        <v>0</v>
      </c>
      <c r="CM41" s="268">
        <f t="shared" si="57"/>
        <v>0</v>
      </c>
      <c r="CN41" s="267">
        <f t="shared" si="58"/>
        <v>0</v>
      </c>
      <c r="CO41" s="65">
        <f t="shared" si="59"/>
        <v>0</v>
      </c>
      <c r="CP41" s="66">
        <f t="shared" si="60"/>
        <v>0</v>
      </c>
      <c r="CQ41" s="31">
        <f t="shared" si="61"/>
        <v>9.9464285714285712</v>
      </c>
      <c r="CR41" s="32">
        <f t="shared" si="62"/>
        <v>27</v>
      </c>
      <c r="CS41" s="33">
        <f t="shared" si="63"/>
        <v>0</v>
      </c>
      <c r="CT41" s="34">
        <f t="shared" si="64"/>
        <v>0</v>
      </c>
      <c r="CU41" s="67">
        <f t="shared" si="65"/>
        <v>4.9732142857142856</v>
      </c>
      <c r="CV41" s="35">
        <f t="shared" si="66"/>
        <v>27</v>
      </c>
      <c r="CW41" s="59">
        <f t="shared" si="67"/>
        <v>27</v>
      </c>
      <c r="CX41" s="43" t="str">
        <f t="shared" si="68"/>
        <v>مؤجل(ة)</v>
      </c>
      <c r="CZ41" s="51"/>
      <c r="DA41" s="46"/>
    </row>
    <row r="42" spans="2:105" ht="27.75" customHeight="1" thickBot="1">
      <c r="B42" s="339">
        <f t="shared" si="69"/>
        <v>37</v>
      </c>
      <c r="C42" s="323" t="s">
        <v>312</v>
      </c>
      <c r="D42" s="342" t="s">
        <v>313</v>
      </c>
      <c r="E42" s="340" t="s">
        <v>479</v>
      </c>
      <c r="F42" s="135">
        <v>34430</v>
      </c>
      <c r="G42" s="136" t="s">
        <v>746</v>
      </c>
      <c r="H42" s="131"/>
      <c r="I42" s="132"/>
      <c r="J42" s="133"/>
      <c r="K42" s="134"/>
      <c r="L42" s="53">
        <f t="shared" ref="L42" si="70">(H42+J42)/2</f>
        <v>0</v>
      </c>
      <c r="M42" s="58">
        <f t="shared" ref="M42" si="71">IF(L42&gt;=10,60,I42+K42)</f>
        <v>0</v>
      </c>
      <c r="N42" s="262">
        <v>10.5</v>
      </c>
      <c r="O42" s="263">
        <v>10.5</v>
      </c>
      <c r="P42" s="228">
        <f t="shared" si="9"/>
        <v>10.5</v>
      </c>
      <c r="Q42" s="229">
        <f t="shared" si="10"/>
        <v>5</v>
      </c>
      <c r="R42" s="262">
        <v>13</v>
      </c>
      <c r="S42" s="263">
        <v>5</v>
      </c>
      <c r="T42" s="228">
        <f t="shared" si="11"/>
        <v>9</v>
      </c>
      <c r="U42" s="229">
        <f t="shared" si="12"/>
        <v>0</v>
      </c>
      <c r="V42" s="262">
        <v>12</v>
      </c>
      <c r="W42" s="263">
        <v>4.5</v>
      </c>
      <c r="X42" s="228">
        <f t="shared" si="13"/>
        <v>8.25</v>
      </c>
      <c r="Y42" s="229">
        <f t="shared" si="14"/>
        <v>0</v>
      </c>
      <c r="Z42" s="232">
        <f t="shared" si="15"/>
        <v>9.25</v>
      </c>
      <c r="AA42" s="233">
        <f t="shared" si="16"/>
        <v>5</v>
      </c>
      <c r="AB42" s="263">
        <v>10.5</v>
      </c>
      <c r="AC42" s="234">
        <f t="shared" si="17"/>
        <v>10.5</v>
      </c>
      <c r="AD42" s="235">
        <f t="shared" si="18"/>
        <v>1</v>
      </c>
      <c r="AE42" s="262">
        <v>5.25</v>
      </c>
      <c r="AF42" s="263">
        <v>5.25</v>
      </c>
      <c r="AG42" s="228">
        <f t="shared" si="19"/>
        <v>5.25</v>
      </c>
      <c r="AH42" s="229">
        <f t="shared" si="20"/>
        <v>0</v>
      </c>
      <c r="AI42" s="262">
        <v>10</v>
      </c>
      <c r="AJ42" s="263">
        <v>3</v>
      </c>
      <c r="AK42" s="228">
        <f t="shared" si="21"/>
        <v>6.5</v>
      </c>
      <c r="AL42" s="229">
        <f t="shared" si="22"/>
        <v>0</v>
      </c>
      <c r="AM42" s="236">
        <f t="shared" si="23"/>
        <v>6.8</v>
      </c>
      <c r="AN42" s="237">
        <f t="shared" si="24"/>
        <v>1</v>
      </c>
      <c r="AO42" s="262">
        <v>10</v>
      </c>
      <c r="AP42" s="263">
        <v>3</v>
      </c>
      <c r="AQ42" s="228">
        <f t="shared" si="25"/>
        <v>6.5</v>
      </c>
      <c r="AR42" s="229">
        <f t="shared" si="26"/>
        <v>0</v>
      </c>
      <c r="AS42" s="263">
        <v>4.5</v>
      </c>
      <c r="AT42" s="234">
        <f t="shared" si="27"/>
        <v>4.5</v>
      </c>
      <c r="AU42" s="238">
        <f t="shared" si="28"/>
        <v>0</v>
      </c>
      <c r="AV42" s="236">
        <f t="shared" si="29"/>
        <v>5.5</v>
      </c>
      <c r="AW42" s="237">
        <f t="shared" si="30"/>
        <v>0</v>
      </c>
      <c r="AX42" s="263">
        <v>11</v>
      </c>
      <c r="AY42" s="263">
        <v>3</v>
      </c>
      <c r="AZ42" s="228">
        <f t="shared" si="31"/>
        <v>7</v>
      </c>
      <c r="BA42" s="229">
        <f t="shared" si="32"/>
        <v>0</v>
      </c>
      <c r="BB42" s="236">
        <f t="shared" si="33"/>
        <v>7</v>
      </c>
      <c r="BC42" s="237">
        <f t="shared" si="34"/>
        <v>0</v>
      </c>
      <c r="BD42" s="239">
        <f t="shared" si="35"/>
        <v>7.6785714285714288</v>
      </c>
      <c r="BE42" s="240">
        <f t="shared" si="36"/>
        <v>6</v>
      </c>
      <c r="BF42" s="263"/>
      <c r="BG42" s="263"/>
      <c r="BH42" s="264">
        <f t="shared" si="37"/>
        <v>0</v>
      </c>
      <c r="BI42" s="265">
        <f t="shared" si="38"/>
        <v>0</v>
      </c>
      <c r="BJ42" s="263"/>
      <c r="BK42" s="263"/>
      <c r="BL42" s="264">
        <f t="shared" si="39"/>
        <v>0</v>
      </c>
      <c r="BM42" s="265">
        <f t="shared" si="40"/>
        <v>0</v>
      </c>
      <c r="BN42" s="263"/>
      <c r="BO42" s="263"/>
      <c r="BP42" s="264">
        <f t="shared" si="41"/>
        <v>0</v>
      </c>
      <c r="BQ42" s="265">
        <f t="shared" si="42"/>
        <v>0</v>
      </c>
      <c r="BR42" s="266">
        <f t="shared" si="43"/>
        <v>0</v>
      </c>
      <c r="BS42" s="267">
        <f t="shared" si="44"/>
        <v>0</v>
      </c>
      <c r="BT42" s="263"/>
      <c r="BU42" s="263"/>
      <c r="BV42" s="264">
        <f t="shared" si="45"/>
        <v>0</v>
      </c>
      <c r="BW42" s="265">
        <f t="shared" si="46"/>
        <v>0</v>
      </c>
      <c r="BX42" s="263"/>
      <c r="BY42" s="263"/>
      <c r="BZ42" s="264">
        <f t="shared" si="47"/>
        <v>0</v>
      </c>
      <c r="CA42" s="265">
        <f t="shared" si="48"/>
        <v>0</v>
      </c>
      <c r="CB42" s="268">
        <f t="shared" si="49"/>
        <v>0</v>
      </c>
      <c r="CC42" s="267">
        <f t="shared" si="50"/>
        <v>0</v>
      </c>
      <c r="CD42" s="263"/>
      <c r="CE42" s="263"/>
      <c r="CF42" s="264">
        <f t="shared" si="51"/>
        <v>0</v>
      </c>
      <c r="CG42" s="265">
        <f t="shared" si="52"/>
        <v>0</v>
      </c>
      <c r="CH42" s="268">
        <f t="shared" si="53"/>
        <v>0</v>
      </c>
      <c r="CI42" s="267">
        <f t="shared" si="54"/>
        <v>0</v>
      </c>
      <c r="CJ42" s="263"/>
      <c r="CK42" s="269">
        <f t="shared" si="55"/>
        <v>0</v>
      </c>
      <c r="CL42" s="270">
        <f t="shared" si="56"/>
        <v>0</v>
      </c>
      <c r="CM42" s="268">
        <f t="shared" si="57"/>
        <v>0</v>
      </c>
      <c r="CN42" s="267">
        <f t="shared" si="58"/>
        <v>0</v>
      </c>
      <c r="CO42" s="65">
        <f t="shared" si="59"/>
        <v>0</v>
      </c>
      <c r="CP42" s="66">
        <f t="shared" si="60"/>
        <v>0</v>
      </c>
      <c r="CQ42" s="31">
        <f t="shared" si="61"/>
        <v>7.6785714285714288</v>
      </c>
      <c r="CR42" s="32">
        <f t="shared" si="62"/>
        <v>6</v>
      </c>
      <c r="CS42" s="33">
        <f t="shared" si="63"/>
        <v>0</v>
      </c>
      <c r="CT42" s="34">
        <f t="shared" si="64"/>
        <v>0</v>
      </c>
      <c r="CU42" s="67">
        <f t="shared" si="65"/>
        <v>3.8392857142857144</v>
      </c>
      <c r="CV42" s="35">
        <f t="shared" si="66"/>
        <v>6</v>
      </c>
      <c r="CW42" s="59">
        <f t="shared" si="67"/>
        <v>6</v>
      </c>
      <c r="CX42" s="43" t="str">
        <f t="shared" si="68"/>
        <v>مؤجل(ة)</v>
      </c>
      <c r="CZ42" s="51"/>
      <c r="DA42" s="46"/>
    </row>
    <row r="43" spans="2:105" ht="27.75" customHeight="1">
      <c r="B43" s="420" t="s">
        <v>47</v>
      </c>
      <c r="C43" s="388"/>
      <c r="D43" s="388"/>
      <c r="E43" s="421"/>
      <c r="F43" s="200"/>
      <c r="G43" s="200"/>
      <c r="H43" s="200"/>
      <c r="I43" s="200"/>
      <c r="J43" s="200"/>
      <c r="K43" s="200"/>
      <c r="L43" s="200"/>
      <c r="M43" s="200"/>
      <c r="N43" s="350" t="s">
        <v>45</v>
      </c>
      <c r="O43" s="351"/>
      <c r="P43" s="351"/>
      <c r="Q43" s="352"/>
      <c r="R43" s="350" t="s">
        <v>45</v>
      </c>
      <c r="S43" s="351"/>
      <c r="T43" s="351"/>
      <c r="U43" s="352"/>
      <c r="V43" s="350" t="s">
        <v>45</v>
      </c>
      <c r="W43" s="351"/>
      <c r="X43" s="351"/>
      <c r="Y43" s="352"/>
      <c r="Z43" s="200"/>
      <c r="AA43" s="200"/>
      <c r="AB43" s="347" t="s">
        <v>45</v>
      </c>
      <c r="AC43" s="348"/>
      <c r="AD43" s="349"/>
      <c r="AE43" s="350" t="s">
        <v>45</v>
      </c>
      <c r="AF43" s="351"/>
      <c r="AG43" s="351"/>
      <c r="AH43" s="352"/>
      <c r="AI43" s="350" t="s">
        <v>45</v>
      </c>
      <c r="AJ43" s="351"/>
      <c r="AK43" s="351"/>
      <c r="AL43" s="352"/>
      <c r="AM43" s="200"/>
      <c r="AN43" s="200"/>
      <c r="AO43" s="350" t="s">
        <v>45</v>
      </c>
      <c r="AP43" s="351"/>
      <c r="AQ43" s="351"/>
      <c r="AR43" s="352"/>
      <c r="AS43" s="347" t="s">
        <v>45</v>
      </c>
      <c r="AT43" s="348"/>
      <c r="AU43" s="349"/>
      <c r="AV43" s="200"/>
      <c r="AW43" s="200"/>
      <c r="AX43" s="350" t="s">
        <v>45</v>
      </c>
      <c r="AY43" s="351"/>
      <c r="AZ43" s="351"/>
      <c r="BA43" s="352"/>
      <c r="BB43" s="387" t="s">
        <v>46</v>
      </c>
      <c r="BC43" s="388"/>
      <c r="BD43" s="388"/>
      <c r="BE43" s="388"/>
      <c r="BF43" s="350" t="s">
        <v>45</v>
      </c>
      <c r="BG43" s="351"/>
      <c r="BH43" s="351"/>
      <c r="BI43" s="352"/>
      <c r="BJ43" s="350" t="s">
        <v>45</v>
      </c>
      <c r="BK43" s="351"/>
      <c r="BL43" s="351"/>
      <c r="BM43" s="352"/>
      <c r="BN43" s="350" t="s">
        <v>45</v>
      </c>
      <c r="BO43" s="351"/>
      <c r="BP43" s="351"/>
      <c r="BQ43" s="352"/>
      <c r="BR43" s="201"/>
      <c r="BS43" s="202"/>
      <c r="BT43" s="350" t="s">
        <v>45</v>
      </c>
      <c r="BU43" s="351"/>
      <c r="BV43" s="351"/>
      <c r="BW43" s="352"/>
      <c r="BX43" s="350" t="s">
        <v>45</v>
      </c>
      <c r="BY43" s="351"/>
      <c r="BZ43" s="351"/>
      <c r="CA43" s="352"/>
      <c r="CB43" s="203"/>
      <c r="CC43" s="202"/>
      <c r="CD43" s="350" t="s">
        <v>45</v>
      </c>
      <c r="CE43" s="351"/>
      <c r="CF43" s="351"/>
      <c r="CG43" s="352"/>
      <c r="CH43" s="219"/>
      <c r="CI43" s="220"/>
      <c r="CJ43" s="433" t="s">
        <v>45</v>
      </c>
      <c r="CK43" s="434"/>
      <c r="CL43" s="435"/>
      <c r="CM43" s="436" t="s">
        <v>46</v>
      </c>
      <c r="CN43" s="437"/>
      <c r="CO43" s="437"/>
      <c r="CP43" s="438"/>
      <c r="CQ43" s="200"/>
      <c r="CR43" s="200"/>
      <c r="CS43" s="200"/>
      <c r="CT43" s="200"/>
      <c r="CU43" s="200"/>
      <c r="CV43" s="200"/>
      <c r="CW43" s="200"/>
      <c r="CX43" s="204" t="s">
        <v>46</v>
      </c>
    </row>
    <row r="44" spans="2:105" ht="27.75" customHeight="1" thickBot="1">
      <c r="B44" s="205"/>
      <c r="C44" s="206"/>
      <c r="D44" s="206"/>
      <c r="E44" s="207"/>
      <c r="F44" s="206"/>
      <c r="G44" s="206"/>
      <c r="H44" s="206"/>
      <c r="I44" s="206"/>
      <c r="J44" s="206"/>
      <c r="K44" s="206"/>
      <c r="L44" s="206"/>
      <c r="M44" s="206"/>
      <c r="N44" s="344"/>
      <c r="O44" s="345"/>
      <c r="P44" s="345"/>
      <c r="Q44" s="346"/>
      <c r="R44" s="344"/>
      <c r="S44" s="345"/>
      <c r="T44" s="345"/>
      <c r="U44" s="346"/>
      <c r="V44" s="344"/>
      <c r="W44" s="345"/>
      <c r="X44" s="345"/>
      <c r="Y44" s="346"/>
      <c r="Z44" s="206"/>
      <c r="AA44" s="206"/>
      <c r="AB44" s="353"/>
      <c r="AC44" s="354"/>
      <c r="AD44" s="355"/>
      <c r="AE44" s="344"/>
      <c r="AF44" s="345"/>
      <c r="AG44" s="345"/>
      <c r="AH44" s="346"/>
      <c r="AI44" s="344"/>
      <c r="AJ44" s="345"/>
      <c r="AK44" s="345"/>
      <c r="AL44" s="346"/>
      <c r="AM44" s="206"/>
      <c r="AN44" s="206"/>
      <c r="AO44" s="344"/>
      <c r="AP44" s="345"/>
      <c r="AQ44" s="345"/>
      <c r="AR44" s="346"/>
      <c r="AS44" s="353"/>
      <c r="AT44" s="354"/>
      <c r="AU44" s="355"/>
      <c r="AV44" s="206"/>
      <c r="AW44" s="206"/>
      <c r="AX44" s="344"/>
      <c r="AY44" s="345"/>
      <c r="AZ44" s="345"/>
      <c r="BA44" s="346"/>
      <c r="BB44" s="208"/>
      <c r="BC44" s="209"/>
      <c r="BD44" s="209"/>
      <c r="BE44" s="210"/>
      <c r="BF44" s="344"/>
      <c r="BG44" s="345"/>
      <c r="BH44" s="345"/>
      <c r="BI44" s="346"/>
      <c r="BJ44" s="344"/>
      <c r="BK44" s="345"/>
      <c r="BL44" s="345"/>
      <c r="BM44" s="346"/>
      <c r="BN44" s="344"/>
      <c r="BO44" s="345"/>
      <c r="BP44" s="345"/>
      <c r="BQ44" s="346"/>
      <c r="BR44" s="205"/>
      <c r="BS44" s="206"/>
      <c r="BT44" s="344"/>
      <c r="BU44" s="345"/>
      <c r="BV44" s="345"/>
      <c r="BW44" s="346"/>
      <c r="BX44" s="344"/>
      <c r="BY44" s="345"/>
      <c r="BZ44" s="345"/>
      <c r="CA44" s="346"/>
      <c r="CB44" s="206"/>
      <c r="CC44" s="206"/>
      <c r="CD44" s="344"/>
      <c r="CE44" s="345"/>
      <c r="CF44" s="345"/>
      <c r="CG44" s="346"/>
      <c r="CH44" s="217"/>
      <c r="CI44" s="218"/>
      <c r="CJ44" s="442"/>
      <c r="CK44" s="443"/>
      <c r="CL44" s="444"/>
      <c r="CM44" s="212"/>
      <c r="CN44" s="213"/>
      <c r="CO44" s="213"/>
      <c r="CP44" s="214"/>
      <c r="CQ44" s="206"/>
      <c r="CR44" s="206"/>
      <c r="CS44" s="206"/>
      <c r="CT44" s="206"/>
      <c r="CU44" s="206"/>
      <c r="CV44" s="206"/>
      <c r="CW44" s="206"/>
      <c r="CX44" s="211"/>
    </row>
    <row r="45" spans="2:105" ht="27.75" customHeight="1" thickBot="1">
      <c r="B45" s="417" t="s">
        <v>109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9"/>
      <c r="N45" s="422" t="s">
        <v>109</v>
      </c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4"/>
      <c r="BF45" s="425" t="s">
        <v>107</v>
      </c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7"/>
      <c r="CQ45" s="428" t="s">
        <v>107</v>
      </c>
      <c r="CR45" s="429"/>
      <c r="CS45" s="429"/>
      <c r="CT45" s="429"/>
      <c r="CU45" s="429"/>
      <c r="CV45" s="429"/>
      <c r="CW45" s="429"/>
      <c r="CX45" s="430"/>
    </row>
    <row r="46" spans="2:105" ht="27.75" customHeight="1" thickBo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415" t="s">
        <v>811</v>
      </c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6"/>
      <c r="BF46" s="408" t="s">
        <v>95</v>
      </c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10"/>
      <c r="CQ46" s="412" t="s">
        <v>96</v>
      </c>
      <c r="CR46" s="413"/>
      <c r="CS46" s="413"/>
      <c r="CT46" s="413"/>
      <c r="CU46" s="413"/>
      <c r="CV46" s="413"/>
      <c r="CW46" s="413"/>
      <c r="CX46" s="414"/>
      <c r="DA46" s="46"/>
    </row>
    <row r="47" spans="2:105" ht="27.75" customHeight="1" thickBot="1">
      <c r="B47" s="142"/>
      <c r="C47" s="143"/>
      <c r="D47" s="143"/>
      <c r="E47" s="143"/>
      <c r="F47" s="143"/>
      <c r="G47" s="143"/>
      <c r="H47" s="356" t="s">
        <v>59</v>
      </c>
      <c r="I47" s="357"/>
      <c r="J47" s="357"/>
      <c r="K47" s="357"/>
      <c r="L47" s="357"/>
      <c r="M47" s="358"/>
      <c r="N47" s="367" t="s">
        <v>53</v>
      </c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9"/>
      <c r="AB47" s="144"/>
      <c r="AC47" s="365" t="s">
        <v>52</v>
      </c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6"/>
      <c r="AO47" s="367" t="s">
        <v>50</v>
      </c>
      <c r="AP47" s="368"/>
      <c r="AQ47" s="368"/>
      <c r="AR47" s="368"/>
      <c r="AS47" s="368"/>
      <c r="AT47" s="368"/>
      <c r="AU47" s="368"/>
      <c r="AV47" s="368"/>
      <c r="AW47" s="369"/>
      <c r="AX47" s="365" t="s">
        <v>51</v>
      </c>
      <c r="AY47" s="365"/>
      <c r="AZ47" s="365"/>
      <c r="BA47" s="365"/>
      <c r="BB47" s="365"/>
      <c r="BC47" s="366"/>
      <c r="BD47" s="383" t="s">
        <v>65</v>
      </c>
      <c r="BE47" s="384"/>
      <c r="BF47" s="389" t="s">
        <v>66</v>
      </c>
      <c r="BG47" s="390"/>
      <c r="BH47" s="390"/>
      <c r="BI47" s="390"/>
      <c r="BJ47" s="390"/>
      <c r="BK47" s="390"/>
      <c r="BL47" s="390"/>
      <c r="BM47" s="390"/>
      <c r="BN47" s="390"/>
      <c r="BO47" s="390"/>
      <c r="BP47" s="390"/>
      <c r="BQ47" s="390"/>
      <c r="BR47" s="390"/>
      <c r="BS47" s="391"/>
      <c r="BT47" s="439" t="s">
        <v>70</v>
      </c>
      <c r="BU47" s="440"/>
      <c r="BV47" s="440"/>
      <c r="BW47" s="440"/>
      <c r="BX47" s="440"/>
      <c r="BY47" s="440"/>
      <c r="BZ47" s="440"/>
      <c r="CA47" s="440"/>
      <c r="CB47" s="440"/>
      <c r="CC47" s="441"/>
      <c r="CD47" s="411" t="s">
        <v>71</v>
      </c>
      <c r="CE47" s="365"/>
      <c r="CF47" s="365"/>
      <c r="CG47" s="365"/>
      <c r="CH47" s="365"/>
      <c r="CI47" s="366"/>
      <c r="CJ47" s="389" t="s">
        <v>72</v>
      </c>
      <c r="CK47" s="390"/>
      <c r="CL47" s="390"/>
      <c r="CM47" s="390"/>
      <c r="CN47" s="391"/>
      <c r="CO47" s="398" t="s">
        <v>75</v>
      </c>
      <c r="CP47" s="399"/>
      <c r="CQ47" s="145"/>
      <c r="CR47" s="146"/>
      <c r="CS47" s="146"/>
      <c r="CT47" s="146"/>
      <c r="CU47" s="147"/>
      <c r="CV47" s="148"/>
      <c r="CW47" s="149"/>
      <c r="CX47" s="150"/>
      <c r="DA47" s="46"/>
    </row>
    <row r="48" spans="2:105" ht="27.75" customHeight="1" thickBot="1">
      <c r="B48" s="151"/>
      <c r="C48" s="152"/>
      <c r="D48" s="152"/>
      <c r="E48" s="152"/>
      <c r="F48" s="152"/>
      <c r="G48" s="153"/>
      <c r="H48" s="370" t="s">
        <v>4</v>
      </c>
      <c r="I48" s="371"/>
      <c r="J48" s="370" t="s">
        <v>5</v>
      </c>
      <c r="K48" s="371"/>
      <c r="L48" s="154" t="s">
        <v>79</v>
      </c>
      <c r="M48" s="155" t="s">
        <v>80</v>
      </c>
      <c r="N48" s="359" t="s">
        <v>54</v>
      </c>
      <c r="O48" s="360"/>
      <c r="P48" s="360"/>
      <c r="Q48" s="361"/>
      <c r="R48" s="362" t="s">
        <v>55</v>
      </c>
      <c r="S48" s="363"/>
      <c r="T48" s="363"/>
      <c r="U48" s="364"/>
      <c r="V48" s="359" t="s">
        <v>56</v>
      </c>
      <c r="W48" s="360"/>
      <c r="X48" s="360"/>
      <c r="Y48" s="361"/>
      <c r="Z48" s="377" t="s">
        <v>9</v>
      </c>
      <c r="AA48" s="378"/>
      <c r="AB48" s="362" t="s">
        <v>60</v>
      </c>
      <c r="AC48" s="363"/>
      <c r="AD48" s="364"/>
      <c r="AE48" s="359" t="s">
        <v>99</v>
      </c>
      <c r="AF48" s="360"/>
      <c r="AG48" s="360"/>
      <c r="AH48" s="361"/>
      <c r="AI48" s="362" t="s">
        <v>61</v>
      </c>
      <c r="AJ48" s="363"/>
      <c r="AK48" s="363"/>
      <c r="AL48" s="364"/>
      <c r="AM48" s="377" t="s">
        <v>9</v>
      </c>
      <c r="AN48" s="378"/>
      <c r="AO48" s="362" t="s">
        <v>63</v>
      </c>
      <c r="AP48" s="363"/>
      <c r="AQ48" s="363"/>
      <c r="AR48" s="364"/>
      <c r="AS48" s="359" t="s">
        <v>62</v>
      </c>
      <c r="AT48" s="360"/>
      <c r="AU48" s="361"/>
      <c r="AV48" s="372" t="s">
        <v>9</v>
      </c>
      <c r="AW48" s="373"/>
      <c r="AX48" s="359" t="s">
        <v>64</v>
      </c>
      <c r="AY48" s="360"/>
      <c r="AZ48" s="360"/>
      <c r="BA48" s="361"/>
      <c r="BB48" s="379" t="s">
        <v>9</v>
      </c>
      <c r="BC48" s="380"/>
      <c r="BD48" s="385"/>
      <c r="BE48" s="386"/>
      <c r="BF48" s="392" t="s">
        <v>67</v>
      </c>
      <c r="BG48" s="393"/>
      <c r="BH48" s="393"/>
      <c r="BI48" s="393"/>
      <c r="BJ48" s="382" t="s">
        <v>68</v>
      </c>
      <c r="BK48" s="382"/>
      <c r="BL48" s="382"/>
      <c r="BM48" s="382"/>
      <c r="BN48" s="393" t="s">
        <v>103</v>
      </c>
      <c r="BO48" s="393"/>
      <c r="BP48" s="393"/>
      <c r="BQ48" s="393"/>
      <c r="BR48" s="381" t="s">
        <v>9</v>
      </c>
      <c r="BS48" s="382"/>
      <c r="BT48" s="393" t="s">
        <v>104</v>
      </c>
      <c r="BU48" s="393"/>
      <c r="BV48" s="393"/>
      <c r="BW48" s="393"/>
      <c r="BX48" s="359" t="s">
        <v>69</v>
      </c>
      <c r="BY48" s="360"/>
      <c r="BZ48" s="360"/>
      <c r="CA48" s="361"/>
      <c r="CB48" s="402" t="s">
        <v>9</v>
      </c>
      <c r="CC48" s="403"/>
      <c r="CD48" s="362" t="s">
        <v>74</v>
      </c>
      <c r="CE48" s="363"/>
      <c r="CF48" s="363"/>
      <c r="CG48" s="363"/>
      <c r="CH48" s="396" t="s">
        <v>9</v>
      </c>
      <c r="CI48" s="397"/>
      <c r="CJ48" s="359" t="s">
        <v>73</v>
      </c>
      <c r="CK48" s="360"/>
      <c r="CL48" s="361"/>
      <c r="CM48" s="396" t="s">
        <v>9</v>
      </c>
      <c r="CN48" s="397"/>
      <c r="CO48" s="400"/>
      <c r="CP48" s="401"/>
      <c r="CQ48" s="431" t="s">
        <v>76</v>
      </c>
      <c r="CR48" s="432"/>
      <c r="CS48" s="431" t="s">
        <v>77</v>
      </c>
      <c r="CT48" s="432"/>
      <c r="CU48" s="394" t="s">
        <v>6</v>
      </c>
      <c r="CV48" s="404" t="s">
        <v>7</v>
      </c>
      <c r="CW48" s="406" t="s">
        <v>78</v>
      </c>
      <c r="CX48" s="156"/>
      <c r="DA48" s="46"/>
    </row>
    <row r="49" spans="2:105" ht="27.75" customHeight="1" thickTop="1" thickBot="1">
      <c r="B49" s="157" t="s">
        <v>0</v>
      </c>
      <c r="C49" s="158" t="s">
        <v>81</v>
      </c>
      <c r="D49" s="158" t="s">
        <v>82</v>
      </c>
      <c r="E49" s="159" t="s">
        <v>1</v>
      </c>
      <c r="F49" s="160" t="s">
        <v>2</v>
      </c>
      <c r="G49" s="161" t="s">
        <v>3</v>
      </c>
      <c r="H49" s="162" t="s">
        <v>10</v>
      </c>
      <c r="I49" s="163" t="s">
        <v>11</v>
      </c>
      <c r="J49" s="164" t="s">
        <v>10</v>
      </c>
      <c r="K49" s="163" t="s">
        <v>11</v>
      </c>
      <c r="L49" s="165" t="s">
        <v>49</v>
      </c>
      <c r="M49" s="166" t="s">
        <v>49</v>
      </c>
      <c r="N49" s="167" t="s">
        <v>57</v>
      </c>
      <c r="O49" s="168" t="s">
        <v>58</v>
      </c>
      <c r="P49" s="168" t="s">
        <v>10</v>
      </c>
      <c r="Q49" s="169" t="s">
        <v>11</v>
      </c>
      <c r="R49" s="167" t="s">
        <v>57</v>
      </c>
      <c r="S49" s="168" t="s">
        <v>58</v>
      </c>
      <c r="T49" s="168" t="s">
        <v>10</v>
      </c>
      <c r="U49" s="169" t="s">
        <v>11</v>
      </c>
      <c r="V49" s="167" t="s">
        <v>57</v>
      </c>
      <c r="W49" s="168" t="s">
        <v>58</v>
      </c>
      <c r="X49" s="168" t="s">
        <v>10</v>
      </c>
      <c r="Y49" s="169" t="s">
        <v>11</v>
      </c>
      <c r="Z49" s="170" t="s">
        <v>10</v>
      </c>
      <c r="AA49" s="171" t="s">
        <v>11</v>
      </c>
      <c r="AB49" s="168" t="s">
        <v>58</v>
      </c>
      <c r="AC49" s="172" t="s">
        <v>10</v>
      </c>
      <c r="AD49" s="169" t="s">
        <v>11</v>
      </c>
      <c r="AE49" s="167" t="s">
        <v>57</v>
      </c>
      <c r="AF49" s="168" t="s">
        <v>58</v>
      </c>
      <c r="AG49" s="173" t="s">
        <v>10</v>
      </c>
      <c r="AH49" s="174" t="s">
        <v>11</v>
      </c>
      <c r="AI49" s="167" t="s">
        <v>57</v>
      </c>
      <c r="AJ49" s="168" t="s">
        <v>58</v>
      </c>
      <c r="AK49" s="175" t="s">
        <v>10</v>
      </c>
      <c r="AL49" s="176" t="s">
        <v>11</v>
      </c>
      <c r="AM49" s="177" t="s">
        <v>10</v>
      </c>
      <c r="AN49" s="178" t="s">
        <v>11</v>
      </c>
      <c r="AO49" s="167" t="s">
        <v>57</v>
      </c>
      <c r="AP49" s="168" t="s">
        <v>58</v>
      </c>
      <c r="AQ49" s="179" t="s">
        <v>10</v>
      </c>
      <c r="AR49" s="174" t="s">
        <v>11</v>
      </c>
      <c r="AS49" s="172" t="s">
        <v>58</v>
      </c>
      <c r="AT49" s="175" t="s">
        <v>10</v>
      </c>
      <c r="AU49" s="176" t="s">
        <v>11</v>
      </c>
      <c r="AV49" s="180" t="s">
        <v>10</v>
      </c>
      <c r="AW49" s="181" t="s">
        <v>11</v>
      </c>
      <c r="AX49" s="167" t="s">
        <v>57</v>
      </c>
      <c r="AY49" s="168" t="s">
        <v>58</v>
      </c>
      <c r="AZ49" s="175" t="s">
        <v>10</v>
      </c>
      <c r="BA49" s="176" t="s">
        <v>11</v>
      </c>
      <c r="BB49" s="180" t="s">
        <v>10</v>
      </c>
      <c r="BC49" s="182" t="s">
        <v>11</v>
      </c>
      <c r="BD49" s="183" t="s">
        <v>10</v>
      </c>
      <c r="BE49" s="184" t="s">
        <v>11</v>
      </c>
      <c r="BF49" s="185" t="s">
        <v>57</v>
      </c>
      <c r="BG49" s="168" t="s">
        <v>58</v>
      </c>
      <c r="BH49" s="168" t="s">
        <v>10</v>
      </c>
      <c r="BI49" s="169" t="s">
        <v>11</v>
      </c>
      <c r="BJ49" s="167" t="s">
        <v>57</v>
      </c>
      <c r="BK49" s="168" t="s">
        <v>58</v>
      </c>
      <c r="BL49" s="168" t="s">
        <v>10</v>
      </c>
      <c r="BM49" s="169" t="s">
        <v>11</v>
      </c>
      <c r="BN49" s="167" t="s">
        <v>57</v>
      </c>
      <c r="BO49" s="168" t="s">
        <v>58</v>
      </c>
      <c r="BP49" s="168" t="s">
        <v>10</v>
      </c>
      <c r="BQ49" s="169" t="s">
        <v>11</v>
      </c>
      <c r="BR49" s="186" t="s">
        <v>10</v>
      </c>
      <c r="BS49" s="171" t="s">
        <v>11</v>
      </c>
      <c r="BT49" s="167" t="s">
        <v>57</v>
      </c>
      <c r="BU49" s="168" t="s">
        <v>58</v>
      </c>
      <c r="BV49" s="168" t="s">
        <v>10</v>
      </c>
      <c r="BW49" s="169" t="s">
        <v>11</v>
      </c>
      <c r="BX49" s="167" t="s">
        <v>57</v>
      </c>
      <c r="BY49" s="168" t="s">
        <v>58</v>
      </c>
      <c r="BZ49" s="173" t="s">
        <v>10</v>
      </c>
      <c r="CA49" s="176" t="s">
        <v>11</v>
      </c>
      <c r="CB49" s="187" t="s">
        <v>10</v>
      </c>
      <c r="CC49" s="188" t="s">
        <v>11</v>
      </c>
      <c r="CD49" s="167" t="s">
        <v>57</v>
      </c>
      <c r="CE49" s="168" t="s">
        <v>58</v>
      </c>
      <c r="CF49" s="179" t="s">
        <v>10</v>
      </c>
      <c r="CG49" s="176" t="s">
        <v>11</v>
      </c>
      <c r="CH49" s="189" t="s">
        <v>10</v>
      </c>
      <c r="CI49" s="190" t="s">
        <v>11</v>
      </c>
      <c r="CJ49" s="191" t="s">
        <v>58</v>
      </c>
      <c r="CK49" s="179" t="s">
        <v>10</v>
      </c>
      <c r="CL49" s="176" t="s">
        <v>11</v>
      </c>
      <c r="CM49" s="177" t="s">
        <v>10</v>
      </c>
      <c r="CN49" s="178" t="s">
        <v>11</v>
      </c>
      <c r="CO49" s="192" t="s">
        <v>10</v>
      </c>
      <c r="CP49" s="193" t="s">
        <v>11</v>
      </c>
      <c r="CQ49" s="194" t="s">
        <v>10</v>
      </c>
      <c r="CR49" s="195" t="s">
        <v>11</v>
      </c>
      <c r="CS49" s="196" t="s">
        <v>10</v>
      </c>
      <c r="CT49" s="195" t="s">
        <v>11</v>
      </c>
      <c r="CU49" s="395"/>
      <c r="CV49" s="405"/>
      <c r="CW49" s="407"/>
      <c r="CX49" s="197" t="s">
        <v>8</v>
      </c>
      <c r="DA49" s="46"/>
    </row>
    <row r="50" spans="2:105" ht="27.75" customHeight="1" thickBot="1">
      <c r="B50" s="1">
        <v>1</v>
      </c>
      <c r="C50" s="323" t="s">
        <v>567</v>
      </c>
      <c r="D50" s="249" t="s">
        <v>568</v>
      </c>
      <c r="E50" s="48" t="s">
        <v>752</v>
      </c>
      <c r="F50" s="275"/>
      <c r="G50" s="52"/>
      <c r="H50" s="131">
        <v>9.44</v>
      </c>
      <c r="I50" s="132">
        <v>21</v>
      </c>
      <c r="J50" s="133">
        <v>7.35</v>
      </c>
      <c r="K50" s="134">
        <v>12</v>
      </c>
      <c r="L50" s="53">
        <f>(H50+J50)/2</f>
        <v>8.3949999999999996</v>
      </c>
      <c r="M50" s="58">
        <f>IF(L50&gt;=10,60,I50+K50)</f>
        <v>33</v>
      </c>
      <c r="N50" s="262">
        <v>10</v>
      </c>
      <c r="O50" s="263">
        <v>4</v>
      </c>
      <c r="P50" s="228">
        <f>(N50+O50)/2</f>
        <v>7</v>
      </c>
      <c r="Q50" s="229">
        <f>IF(P50&gt;=10,5,0)</f>
        <v>0</v>
      </c>
      <c r="R50" s="262">
        <v>11.5</v>
      </c>
      <c r="S50" s="263">
        <v>6</v>
      </c>
      <c r="T50" s="228">
        <f>(R50+S50)/2</f>
        <v>8.75</v>
      </c>
      <c r="U50" s="229">
        <f>IF(T50&gt;=10,6,0)</f>
        <v>0</v>
      </c>
      <c r="V50" s="262">
        <v>13.5</v>
      </c>
      <c r="W50" s="263">
        <v>9.5</v>
      </c>
      <c r="X50" s="228">
        <f>(V50+W50)/2</f>
        <v>11.5</v>
      </c>
      <c r="Y50" s="229">
        <f>IF(X50&gt;=10,6,0)</f>
        <v>6</v>
      </c>
      <c r="Z50" s="232">
        <f>((P50*2)+(T50*2)+(X50*2))/6</f>
        <v>9.0833333333333339</v>
      </c>
      <c r="AA50" s="233">
        <f>IF(Z50&gt;=10,17,Q50+U50+Y50)</f>
        <v>6</v>
      </c>
      <c r="AB50" s="263">
        <v>6</v>
      </c>
      <c r="AC50" s="234">
        <f>AB50</f>
        <v>6</v>
      </c>
      <c r="AD50" s="235">
        <f>IF(AC50&gt;=10,1,0)</f>
        <v>0</v>
      </c>
      <c r="AE50" s="262">
        <v>0</v>
      </c>
      <c r="AF50" s="263">
        <v>0</v>
      </c>
      <c r="AG50" s="228">
        <f>(AE50+AF50)/2</f>
        <v>0</v>
      </c>
      <c r="AH50" s="229">
        <f>IF(AG50&gt;=10,3,0)</f>
        <v>0</v>
      </c>
      <c r="AI50" s="262">
        <v>8</v>
      </c>
      <c r="AJ50" s="263">
        <v>0.5</v>
      </c>
      <c r="AK50" s="228">
        <f>(AI50+AJ50)/2</f>
        <v>4.25</v>
      </c>
      <c r="AL50" s="229">
        <f>IF(AK50&gt;=10,3,0)</f>
        <v>0</v>
      </c>
      <c r="AM50" s="236">
        <f>(AC50+(AG50*2)+(AK50*2))/5</f>
        <v>2.9</v>
      </c>
      <c r="AN50" s="237">
        <f>IF(AM50&gt;=10,7,AL50+AH50+AD50)</f>
        <v>0</v>
      </c>
      <c r="AO50" s="262">
        <v>10</v>
      </c>
      <c r="AP50" s="263">
        <v>1</v>
      </c>
      <c r="AQ50" s="228">
        <f>(AO50+AP50)/2</f>
        <v>5.5</v>
      </c>
      <c r="AR50" s="229">
        <f>IF(AQ50&gt;=10,4,0)</f>
        <v>0</v>
      </c>
      <c r="AS50" s="263">
        <v>4</v>
      </c>
      <c r="AT50" s="234">
        <f>AS50</f>
        <v>4</v>
      </c>
      <c r="AU50" s="238">
        <f>IF(AT50&gt;=10,1,0)</f>
        <v>0</v>
      </c>
      <c r="AV50" s="236">
        <f>(AT50+AQ50)/2</f>
        <v>4.75</v>
      </c>
      <c r="AW50" s="237">
        <f>IF(AV50&gt;=10,5,AU50+AR50)</f>
        <v>0</v>
      </c>
      <c r="AX50" s="263">
        <v>18</v>
      </c>
      <c r="AY50" s="263">
        <v>16</v>
      </c>
      <c r="AZ50" s="228">
        <f>(AX50+AY50)/2</f>
        <v>17</v>
      </c>
      <c r="BA50" s="229">
        <f>IF(AZ50&gt;=10,1,0)</f>
        <v>1</v>
      </c>
      <c r="BB50" s="236">
        <f>AZ50</f>
        <v>17</v>
      </c>
      <c r="BC50" s="237">
        <f>BA50</f>
        <v>1</v>
      </c>
      <c r="BD50" s="239">
        <f>((P50*2)+(T50*2)+(X50*2)+AC50+(AG50*2)+(AK50*2)+AQ50+AT50+AZ50)/14</f>
        <v>6.8214285714285712</v>
      </c>
      <c r="BE50" s="240">
        <f>IF(BD50&gt;=10,30,BC50+AW50+AN50+AA50)</f>
        <v>7</v>
      </c>
      <c r="BF50" s="263"/>
      <c r="BG50" s="263"/>
      <c r="BH50" s="264">
        <f>(BF50+BG50)/2</f>
        <v>0</v>
      </c>
      <c r="BI50" s="265">
        <f>IF(BH50&gt;=10,6,0)</f>
        <v>0</v>
      </c>
      <c r="BJ50" s="263"/>
      <c r="BK50" s="263"/>
      <c r="BL50" s="264">
        <f>(BJ50+BK50)/2</f>
        <v>0</v>
      </c>
      <c r="BM50" s="265">
        <f>IF(BL50&gt;=10,6,0)</f>
        <v>0</v>
      </c>
      <c r="BN50" s="263"/>
      <c r="BO50" s="263"/>
      <c r="BP50" s="264">
        <f>(BN50+BO50)/2</f>
        <v>0</v>
      </c>
      <c r="BQ50" s="265">
        <f>IF(BP50&gt;=10,4,0)</f>
        <v>0</v>
      </c>
      <c r="BR50" s="266">
        <f>(BP50+(BL50*2)+(BH50*2))/5</f>
        <v>0</v>
      </c>
      <c r="BS50" s="267">
        <f>IF(BR50&gt;=10,16,BQ50+BM50+BI50)</f>
        <v>0</v>
      </c>
      <c r="BT50" s="263"/>
      <c r="BU50" s="263"/>
      <c r="BV50" s="264">
        <f>(BT50+BU50)/2</f>
        <v>0</v>
      </c>
      <c r="BW50" s="265">
        <f>IF(BV50&gt;=10,5,0)</f>
        <v>0</v>
      </c>
      <c r="BX50" s="263"/>
      <c r="BY50" s="263"/>
      <c r="BZ50" s="264">
        <f>(BX50+BY50)/2</f>
        <v>0</v>
      </c>
      <c r="CA50" s="265">
        <f>IF(BZ50&gt;=10,5,0)</f>
        <v>0</v>
      </c>
      <c r="CB50" s="268">
        <f>((BZ50*2)+(BV50*2))/4</f>
        <v>0</v>
      </c>
      <c r="CC50" s="267">
        <f>IF(CB50&gt;=10,10,CA50+BW50)</f>
        <v>0</v>
      </c>
      <c r="CD50" s="263"/>
      <c r="CE50" s="263"/>
      <c r="CF50" s="264">
        <f>(CD50+CE50)/2</f>
        <v>0</v>
      </c>
      <c r="CG50" s="265">
        <f>IF(CF50&gt;=10,3,0)</f>
        <v>0</v>
      </c>
      <c r="CH50" s="268">
        <f>CF50</f>
        <v>0</v>
      </c>
      <c r="CI50" s="267">
        <f>CG50</f>
        <v>0</v>
      </c>
      <c r="CJ50" s="263"/>
      <c r="CK50" s="269">
        <f>CJ50</f>
        <v>0</v>
      </c>
      <c r="CL50" s="270">
        <f>IF(CK50&gt;=10,1,0)</f>
        <v>0</v>
      </c>
      <c r="CM50" s="268">
        <f>CK50</f>
        <v>0</v>
      </c>
      <c r="CN50" s="267">
        <f>CL50</f>
        <v>0</v>
      </c>
      <c r="CO50" s="65">
        <f>((CF50*2)+(BV50*2)+(BZ50*2)+CK50+BP50+(BL50*2)+(BH50*2))/12</f>
        <v>0</v>
      </c>
      <c r="CP50" s="66">
        <f>IF(CO50&gt;=10,30,CI50+CN50+CC50+BS50)</f>
        <v>0</v>
      </c>
      <c r="CQ50" s="31">
        <f t="shared" ref="CQ50:CQ87" si="72">BD50</f>
        <v>6.8214285714285712</v>
      </c>
      <c r="CR50" s="32">
        <f t="shared" ref="CR50:CR87" si="73">IF(CU50&gt;=10,30,BE50)</f>
        <v>7</v>
      </c>
      <c r="CS50" s="33">
        <f t="shared" ref="CS50:CS87" si="74">CO50</f>
        <v>0</v>
      </c>
      <c r="CT50" s="34">
        <f t="shared" ref="CT50:CT87" si="75">IF(CU50&gt;=10,30,CP50)</f>
        <v>0</v>
      </c>
      <c r="CU50" s="67">
        <f t="shared" ref="CU50:CU87" si="76">(CS50+CQ50)/2</f>
        <v>3.4107142857142856</v>
      </c>
      <c r="CV50" s="35">
        <f t="shared" ref="CV50:CV87" si="77">IF(CU50&gt;=10,60,CT50+CR50)</f>
        <v>7</v>
      </c>
      <c r="CW50" s="59">
        <f t="shared" ref="CW50:CW87" si="78">(M50+CV50)</f>
        <v>40</v>
      </c>
      <c r="CX50" s="43" t="str">
        <f>IF(CW50=120,"ناجح(ة) دورة1","مؤجل(ة)")</f>
        <v>مؤجل(ة)</v>
      </c>
      <c r="CY50" s="44"/>
      <c r="CZ50" s="50"/>
      <c r="DA50" s="46"/>
    </row>
    <row r="51" spans="2:105" ht="27.75" customHeight="1" thickBot="1">
      <c r="B51" s="1">
        <f>B50+1</f>
        <v>2</v>
      </c>
      <c r="C51" s="323" t="s">
        <v>569</v>
      </c>
      <c r="D51" s="249" t="s">
        <v>570</v>
      </c>
      <c r="E51" s="47" t="s">
        <v>753</v>
      </c>
      <c r="F51" s="135"/>
      <c r="G51" s="136"/>
      <c r="H51" s="131">
        <v>9.2200000000000006</v>
      </c>
      <c r="I51" s="132">
        <v>15</v>
      </c>
      <c r="J51" s="133">
        <v>9.9</v>
      </c>
      <c r="K51" s="134">
        <v>17</v>
      </c>
      <c r="L51" s="53">
        <f t="shared" ref="L51:L87" si="79">(H51+J51)/2</f>
        <v>9.56</v>
      </c>
      <c r="M51" s="58">
        <f t="shared" ref="M51:M87" si="80">IF(L51&gt;=10,60,I51+K51)</f>
        <v>32</v>
      </c>
      <c r="N51" s="262">
        <v>10</v>
      </c>
      <c r="O51" s="263"/>
      <c r="P51" s="228">
        <f t="shared" ref="P51:P87" si="81">(N51+O51)/2</f>
        <v>5</v>
      </c>
      <c r="Q51" s="229">
        <f t="shared" ref="Q51:Q87" si="82">IF(P51&gt;=10,5,0)</f>
        <v>0</v>
      </c>
      <c r="R51" s="262">
        <v>11.5</v>
      </c>
      <c r="S51" s="263">
        <v>3</v>
      </c>
      <c r="T51" s="228">
        <f t="shared" ref="T51:T87" si="83">(R51+S51)/2</f>
        <v>7.25</v>
      </c>
      <c r="U51" s="229">
        <f t="shared" ref="U51:U87" si="84">IF(T51&gt;=10,6,0)</f>
        <v>0</v>
      </c>
      <c r="V51" s="262">
        <v>17</v>
      </c>
      <c r="W51" s="263">
        <v>9</v>
      </c>
      <c r="X51" s="228">
        <f t="shared" ref="X51:X87" si="85">(V51+W51)/2</f>
        <v>13</v>
      </c>
      <c r="Y51" s="229">
        <f t="shared" ref="Y51:Y87" si="86">IF(X51&gt;=10,6,0)</f>
        <v>6</v>
      </c>
      <c r="Z51" s="232">
        <f t="shared" ref="Z51:Z87" si="87">((P51*2)+(T51*2)+(X51*2))/6</f>
        <v>8.4166666666666661</v>
      </c>
      <c r="AA51" s="233">
        <f t="shared" ref="AA51:AA87" si="88">IF(Z51&gt;=10,17,Q51+U51+Y51)</f>
        <v>6</v>
      </c>
      <c r="AB51" s="263">
        <v>7.5</v>
      </c>
      <c r="AC51" s="234">
        <f t="shared" ref="AC51:AC87" si="89">AB51</f>
        <v>7.5</v>
      </c>
      <c r="AD51" s="235">
        <f t="shared" ref="AD51:AD87" si="90">IF(AC51&gt;=10,1,0)</f>
        <v>0</v>
      </c>
      <c r="AE51" s="262"/>
      <c r="AF51" s="263"/>
      <c r="AG51" s="228">
        <f t="shared" ref="AG51:AG87" si="91">(AE51+AF51)/2</f>
        <v>0</v>
      </c>
      <c r="AH51" s="229">
        <f t="shared" ref="AH51:AH87" si="92">IF(AG51&gt;=10,3,0)</f>
        <v>0</v>
      </c>
      <c r="AI51" s="262">
        <v>12</v>
      </c>
      <c r="AJ51" s="263">
        <v>1.5</v>
      </c>
      <c r="AK51" s="228">
        <f t="shared" ref="AK51:AK87" si="93">(AI51+AJ51)/2</f>
        <v>6.75</v>
      </c>
      <c r="AL51" s="229">
        <f t="shared" ref="AL51:AL87" si="94">IF(AK51&gt;=10,3,0)</f>
        <v>0</v>
      </c>
      <c r="AM51" s="236">
        <f t="shared" ref="AM51:AM87" si="95">(AC51+(AG51*2)+(AK51*2))/5</f>
        <v>4.2</v>
      </c>
      <c r="AN51" s="237">
        <f t="shared" ref="AN51:AN87" si="96">IF(AM51&gt;=10,7,AL51+AH51+AD51)</f>
        <v>0</v>
      </c>
      <c r="AO51" s="262">
        <v>10</v>
      </c>
      <c r="AP51" s="263">
        <v>1</v>
      </c>
      <c r="AQ51" s="228">
        <f t="shared" ref="AQ51:AQ87" si="97">(AO51+AP51)/2</f>
        <v>5.5</v>
      </c>
      <c r="AR51" s="229">
        <f t="shared" ref="AR51:AR87" si="98">IF(AQ51&gt;=10,4,0)</f>
        <v>0</v>
      </c>
      <c r="AS51" s="263"/>
      <c r="AT51" s="234">
        <f t="shared" ref="AT51:AT87" si="99">AS51</f>
        <v>0</v>
      </c>
      <c r="AU51" s="238">
        <f t="shared" ref="AU51:AU87" si="100">IF(AT51&gt;=10,1,0)</f>
        <v>0</v>
      </c>
      <c r="AV51" s="236">
        <f t="shared" ref="AV51:AV87" si="101">(AT51+AQ51)/2</f>
        <v>2.75</v>
      </c>
      <c r="AW51" s="237">
        <f t="shared" ref="AW51:AW87" si="102">IF(AV51&gt;=10,5,AU51+AR51)</f>
        <v>0</v>
      </c>
      <c r="AX51" s="263">
        <v>14.5</v>
      </c>
      <c r="AY51" s="263"/>
      <c r="AZ51" s="228">
        <f t="shared" ref="AZ51:AZ87" si="103">(AX51+AY51)/2</f>
        <v>7.25</v>
      </c>
      <c r="BA51" s="229">
        <f t="shared" ref="BA51:BA87" si="104">IF(AZ51&gt;=10,1,0)</f>
        <v>0</v>
      </c>
      <c r="BB51" s="236">
        <f t="shared" ref="BB51:BB87" si="105">AZ51</f>
        <v>7.25</v>
      </c>
      <c r="BC51" s="237">
        <f t="shared" ref="BC51:BC87" si="106">BA51</f>
        <v>0</v>
      </c>
      <c r="BD51" s="239">
        <f t="shared" ref="BD51:BD87" si="107">((P51*2)+(T51*2)+(X51*2)+AC51+(AG51*2)+(AK51*2)+AQ51+AT51+AZ51)/14</f>
        <v>6.0178571428571432</v>
      </c>
      <c r="BE51" s="240">
        <f t="shared" ref="BE51:BE87" si="108">IF(BD51&gt;=10,30,BC51+AW51+AN51+AA51)</f>
        <v>6</v>
      </c>
      <c r="BF51" s="263"/>
      <c r="BG51" s="263"/>
      <c r="BH51" s="264">
        <f t="shared" ref="BH51:BH87" si="109">(BF51+BG51)/2</f>
        <v>0</v>
      </c>
      <c r="BI51" s="265">
        <f t="shared" ref="BI51:BI87" si="110">IF(BH51&gt;=10,6,0)</f>
        <v>0</v>
      </c>
      <c r="BJ51" s="263"/>
      <c r="BK51" s="263"/>
      <c r="BL51" s="264">
        <f t="shared" ref="BL51:BL87" si="111">(BJ51+BK51)/2</f>
        <v>0</v>
      </c>
      <c r="BM51" s="265">
        <f t="shared" ref="BM51:BM87" si="112">IF(BL51&gt;=10,6,0)</f>
        <v>0</v>
      </c>
      <c r="BN51" s="263"/>
      <c r="BO51" s="263"/>
      <c r="BP51" s="264">
        <f t="shared" ref="BP51:BP87" si="113">(BN51+BO51)/2</f>
        <v>0</v>
      </c>
      <c r="BQ51" s="265">
        <f t="shared" ref="BQ51:BQ87" si="114">IF(BP51&gt;=10,4,0)</f>
        <v>0</v>
      </c>
      <c r="BR51" s="266">
        <f t="shared" ref="BR51:BR87" si="115">(BP51+(BL51*2)+(BH51*2))/5</f>
        <v>0</v>
      </c>
      <c r="BS51" s="267">
        <f t="shared" ref="BS51:BS87" si="116">IF(BR51&gt;=10,16,BQ51+BM51+BI51)</f>
        <v>0</v>
      </c>
      <c r="BT51" s="263"/>
      <c r="BU51" s="263"/>
      <c r="BV51" s="264">
        <f t="shared" ref="BV51:BV87" si="117">(BT51+BU51)/2</f>
        <v>0</v>
      </c>
      <c r="BW51" s="265">
        <f t="shared" ref="BW51:BW87" si="118">IF(BV51&gt;=10,5,0)</f>
        <v>0</v>
      </c>
      <c r="BX51" s="263"/>
      <c r="BY51" s="263"/>
      <c r="BZ51" s="264">
        <f t="shared" ref="BZ51:BZ87" si="119">(BX51+BY51)/2</f>
        <v>0</v>
      </c>
      <c r="CA51" s="265">
        <f t="shared" ref="CA51:CA87" si="120">IF(BZ51&gt;=10,5,0)</f>
        <v>0</v>
      </c>
      <c r="CB51" s="268">
        <f t="shared" ref="CB51:CB87" si="121">((BZ51*2)+(BV51*2))/4</f>
        <v>0</v>
      </c>
      <c r="CC51" s="267">
        <f t="shared" ref="CC51:CC87" si="122">IF(CB51&gt;=10,10,CA51+BW51)</f>
        <v>0</v>
      </c>
      <c r="CD51" s="263"/>
      <c r="CE51" s="263"/>
      <c r="CF51" s="264">
        <f t="shared" ref="CF51:CF87" si="123">(CD51+CE51)/2</f>
        <v>0</v>
      </c>
      <c r="CG51" s="265">
        <f t="shared" ref="CG51:CG87" si="124">IF(CF51&gt;=10,3,0)</f>
        <v>0</v>
      </c>
      <c r="CH51" s="268">
        <f t="shared" ref="CH51:CH87" si="125">CF51</f>
        <v>0</v>
      </c>
      <c r="CI51" s="267">
        <f t="shared" ref="CI51:CI87" si="126">CG51</f>
        <v>0</v>
      </c>
      <c r="CJ51" s="263"/>
      <c r="CK51" s="269">
        <f t="shared" ref="CK51:CK87" si="127">CJ51</f>
        <v>0</v>
      </c>
      <c r="CL51" s="270">
        <f t="shared" ref="CL51:CL87" si="128">IF(CK51&gt;=10,1,0)</f>
        <v>0</v>
      </c>
      <c r="CM51" s="268">
        <f t="shared" ref="CM51:CM87" si="129">CK51</f>
        <v>0</v>
      </c>
      <c r="CN51" s="267">
        <f t="shared" ref="CN51:CN87" si="130">CL51</f>
        <v>0</v>
      </c>
      <c r="CO51" s="65">
        <f t="shared" ref="CO51:CO87" si="131">((CF51*2)+(BV51*2)+(BZ51*2)+CK51+BP51+(BL51*2)+(BH51*2))/12</f>
        <v>0</v>
      </c>
      <c r="CP51" s="66">
        <f t="shared" ref="CP51:CP87" si="132">IF(CO51&gt;=10,30,CI51+CN51+CC51+BS51)</f>
        <v>0</v>
      </c>
      <c r="CQ51" s="31">
        <f t="shared" si="72"/>
        <v>6.0178571428571432</v>
      </c>
      <c r="CR51" s="32">
        <f t="shared" si="73"/>
        <v>6</v>
      </c>
      <c r="CS51" s="33">
        <f t="shared" si="74"/>
        <v>0</v>
      </c>
      <c r="CT51" s="34">
        <f t="shared" si="75"/>
        <v>0</v>
      </c>
      <c r="CU51" s="67">
        <f t="shared" si="76"/>
        <v>3.0089285714285716</v>
      </c>
      <c r="CV51" s="35">
        <f t="shared" si="77"/>
        <v>6</v>
      </c>
      <c r="CW51" s="59">
        <f t="shared" si="78"/>
        <v>38</v>
      </c>
      <c r="CX51" s="43" t="str">
        <f t="shared" ref="CX51:CX87" si="133">IF(CW51=120,"ناجح(ة) دورة1","مؤجل(ة)")</f>
        <v>مؤجل(ة)</v>
      </c>
      <c r="CY51" s="44"/>
      <c r="CZ51" s="50"/>
      <c r="DA51" s="46"/>
    </row>
    <row r="52" spans="2:105" ht="27.75" customHeight="1" thickBot="1">
      <c r="B52" s="1">
        <f t="shared" ref="B52:B87" si="134">B51+1</f>
        <v>3</v>
      </c>
      <c r="C52" s="323" t="s">
        <v>571</v>
      </c>
      <c r="D52" s="249" t="s">
        <v>568</v>
      </c>
      <c r="E52" s="47" t="s">
        <v>754</v>
      </c>
      <c r="F52" s="276"/>
      <c r="G52" s="136"/>
      <c r="H52" s="131">
        <v>9.5</v>
      </c>
      <c r="I52" s="132">
        <v>21</v>
      </c>
      <c r="J52" s="133">
        <v>9.25</v>
      </c>
      <c r="K52" s="134">
        <v>22</v>
      </c>
      <c r="L52" s="53">
        <f t="shared" si="79"/>
        <v>9.375</v>
      </c>
      <c r="M52" s="58">
        <f t="shared" si="80"/>
        <v>43</v>
      </c>
      <c r="N52" s="262">
        <v>11</v>
      </c>
      <c r="O52" s="263">
        <v>4</v>
      </c>
      <c r="P52" s="228">
        <f t="shared" si="81"/>
        <v>7.5</v>
      </c>
      <c r="Q52" s="229">
        <f t="shared" si="82"/>
        <v>0</v>
      </c>
      <c r="R52" s="262"/>
      <c r="S52" s="263">
        <v>1.5</v>
      </c>
      <c r="T52" s="228">
        <f t="shared" si="83"/>
        <v>0.75</v>
      </c>
      <c r="U52" s="229">
        <f t="shared" si="84"/>
        <v>0</v>
      </c>
      <c r="V52" s="262">
        <v>14.5</v>
      </c>
      <c r="W52" s="263">
        <v>3</v>
      </c>
      <c r="X52" s="228">
        <f t="shared" si="85"/>
        <v>8.75</v>
      </c>
      <c r="Y52" s="229">
        <f t="shared" si="86"/>
        <v>0</v>
      </c>
      <c r="Z52" s="232">
        <f t="shared" si="87"/>
        <v>5.666666666666667</v>
      </c>
      <c r="AA52" s="233">
        <f t="shared" si="88"/>
        <v>0</v>
      </c>
      <c r="AB52" s="263">
        <v>4</v>
      </c>
      <c r="AC52" s="234">
        <f t="shared" si="89"/>
        <v>4</v>
      </c>
      <c r="AD52" s="235">
        <f t="shared" si="90"/>
        <v>0</v>
      </c>
      <c r="AE52" s="262">
        <v>0.5</v>
      </c>
      <c r="AF52" s="263">
        <v>0.5</v>
      </c>
      <c r="AG52" s="228">
        <f t="shared" si="91"/>
        <v>0.5</v>
      </c>
      <c r="AH52" s="229">
        <f t="shared" si="92"/>
        <v>0</v>
      </c>
      <c r="AI52" s="262">
        <v>12</v>
      </c>
      <c r="AJ52" s="263">
        <v>1.5</v>
      </c>
      <c r="AK52" s="228">
        <f t="shared" si="93"/>
        <v>6.75</v>
      </c>
      <c r="AL52" s="229">
        <f t="shared" si="94"/>
        <v>0</v>
      </c>
      <c r="AM52" s="236">
        <f t="shared" si="95"/>
        <v>3.7</v>
      </c>
      <c r="AN52" s="237">
        <f t="shared" si="96"/>
        <v>0</v>
      </c>
      <c r="AO52" s="262">
        <v>10</v>
      </c>
      <c r="AP52" s="263">
        <v>3</v>
      </c>
      <c r="AQ52" s="228">
        <f t="shared" si="97"/>
        <v>6.5</v>
      </c>
      <c r="AR52" s="229">
        <f t="shared" si="98"/>
        <v>0</v>
      </c>
      <c r="AS52" s="263">
        <v>4</v>
      </c>
      <c r="AT52" s="234">
        <f t="shared" si="99"/>
        <v>4</v>
      </c>
      <c r="AU52" s="238">
        <f t="shared" si="100"/>
        <v>0</v>
      </c>
      <c r="AV52" s="236">
        <f t="shared" si="101"/>
        <v>5.25</v>
      </c>
      <c r="AW52" s="237">
        <f t="shared" si="102"/>
        <v>0</v>
      </c>
      <c r="AX52" s="263">
        <v>14.5</v>
      </c>
      <c r="AY52" s="263">
        <v>7</v>
      </c>
      <c r="AZ52" s="228">
        <f t="shared" si="103"/>
        <v>10.75</v>
      </c>
      <c r="BA52" s="229">
        <f t="shared" si="104"/>
        <v>1</v>
      </c>
      <c r="BB52" s="236">
        <f t="shared" si="105"/>
        <v>10.75</v>
      </c>
      <c r="BC52" s="237">
        <f t="shared" si="106"/>
        <v>1</v>
      </c>
      <c r="BD52" s="239">
        <f t="shared" si="107"/>
        <v>5.2678571428571432</v>
      </c>
      <c r="BE52" s="240">
        <f t="shared" si="108"/>
        <v>1</v>
      </c>
      <c r="BF52" s="263"/>
      <c r="BG52" s="263"/>
      <c r="BH52" s="264">
        <f t="shared" si="109"/>
        <v>0</v>
      </c>
      <c r="BI52" s="265">
        <f t="shared" si="110"/>
        <v>0</v>
      </c>
      <c r="BJ52" s="263"/>
      <c r="BK52" s="263"/>
      <c r="BL52" s="264">
        <f t="shared" si="111"/>
        <v>0</v>
      </c>
      <c r="BM52" s="265">
        <f t="shared" si="112"/>
        <v>0</v>
      </c>
      <c r="BN52" s="263"/>
      <c r="BO52" s="263"/>
      <c r="BP52" s="264">
        <f t="shared" si="113"/>
        <v>0</v>
      </c>
      <c r="BQ52" s="265">
        <f t="shared" si="114"/>
        <v>0</v>
      </c>
      <c r="BR52" s="266">
        <f t="shared" si="115"/>
        <v>0</v>
      </c>
      <c r="BS52" s="267">
        <f t="shared" si="116"/>
        <v>0</v>
      </c>
      <c r="BT52" s="263"/>
      <c r="BU52" s="263"/>
      <c r="BV52" s="264">
        <f t="shared" si="117"/>
        <v>0</v>
      </c>
      <c r="BW52" s="265">
        <f t="shared" si="118"/>
        <v>0</v>
      </c>
      <c r="BX52" s="263"/>
      <c r="BY52" s="263"/>
      <c r="BZ52" s="264">
        <f t="shared" si="119"/>
        <v>0</v>
      </c>
      <c r="CA52" s="265">
        <f t="shared" si="120"/>
        <v>0</v>
      </c>
      <c r="CB52" s="268">
        <f t="shared" si="121"/>
        <v>0</v>
      </c>
      <c r="CC52" s="267">
        <f t="shared" si="122"/>
        <v>0</v>
      </c>
      <c r="CD52" s="263"/>
      <c r="CE52" s="263"/>
      <c r="CF52" s="264">
        <f t="shared" si="123"/>
        <v>0</v>
      </c>
      <c r="CG52" s="265">
        <f t="shared" si="124"/>
        <v>0</v>
      </c>
      <c r="CH52" s="268">
        <f t="shared" si="125"/>
        <v>0</v>
      </c>
      <c r="CI52" s="267">
        <f t="shared" si="126"/>
        <v>0</v>
      </c>
      <c r="CJ52" s="263"/>
      <c r="CK52" s="269">
        <f t="shared" si="127"/>
        <v>0</v>
      </c>
      <c r="CL52" s="270">
        <f t="shared" si="128"/>
        <v>0</v>
      </c>
      <c r="CM52" s="268">
        <f t="shared" si="129"/>
        <v>0</v>
      </c>
      <c r="CN52" s="267">
        <f t="shared" si="130"/>
        <v>0</v>
      </c>
      <c r="CO52" s="65">
        <f t="shared" si="131"/>
        <v>0</v>
      </c>
      <c r="CP52" s="66">
        <f t="shared" si="132"/>
        <v>0</v>
      </c>
      <c r="CQ52" s="31">
        <f t="shared" si="72"/>
        <v>5.2678571428571432</v>
      </c>
      <c r="CR52" s="32">
        <f t="shared" si="73"/>
        <v>1</v>
      </c>
      <c r="CS52" s="33">
        <f t="shared" si="74"/>
        <v>0</v>
      </c>
      <c r="CT52" s="34">
        <f t="shared" si="75"/>
        <v>0</v>
      </c>
      <c r="CU52" s="67">
        <f t="shared" si="76"/>
        <v>2.6339285714285716</v>
      </c>
      <c r="CV52" s="35">
        <f t="shared" si="77"/>
        <v>1</v>
      </c>
      <c r="CW52" s="59">
        <f t="shared" si="78"/>
        <v>44</v>
      </c>
      <c r="CX52" s="43" t="str">
        <f t="shared" si="133"/>
        <v>مؤجل(ة)</v>
      </c>
      <c r="CZ52" s="51"/>
      <c r="DA52" s="46"/>
    </row>
    <row r="53" spans="2:105" ht="27.75" customHeight="1" thickBot="1">
      <c r="B53" s="1">
        <f t="shared" si="134"/>
        <v>4</v>
      </c>
      <c r="C53" s="323" t="s">
        <v>572</v>
      </c>
      <c r="D53" s="249" t="s">
        <v>552</v>
      </c>
      <c r="E53" s="47" t="s">
        <v>360</v>
      </c>
      <c r="F53" s="135">
        <v>34192</v>
      </c>
      <c r="G53" s="136" t="s">
        <v>746</v>
      </c>
      <c r="H53" s="131"/>
      <c r="I53" s="132"/>
      <c r="J53" s="133"/>
      <c r="K53" s="134"/>
      <c r="L53" s="53">
        <f t="shared" si="79"/>
        <v>0</v>
      </c>
      <c r="M53" s="58">
        <f t="shared" si="80"/>
        <v>0</v>
      </c>
      <c r="N53" s="262">
        <v>10</v>
      </c>
      <c r="O53" s="263">
        <v>10</v>
      </c>
      <c r="P53" s="228">
        <f t="shared" si="81"/>
        <v>10</v>
      </c>
      <c r="Q53" s="229">
        <f t="shared" si="82"/>
        <v>5</v>
      </c>
      <c r="R53" s="262">
        <v>11</v>
      </c>
      <c r="S53" s="263">
        <v>4</v>
      </c>
      <c r="T53" s="228">
        <f t="shared" si="83"/>
        <v>7.5</v>
      </c>
      <c r="U53" s="229">
        <f t="shared" si="84"/>
        <v>0</v>
      </c>
      <c r="V53" s="262">
        <v>12</v>
      </c>
      <c r="W53" s="263">
        <v>13</v>
      </c>
      <c r="X53" s="228">
        <f t="shared" si="85"/>
        <v>12.5</v>
      </c>
      <c r="Y53" s="229">
        <f t="shared" si="86"/>
        <v>6</v>
      </c>
      <c r="Z53" s="232">
        <f t="shared" si="87"/>
        <v>10</v>
      </c>
      <c r="AA53" s="233">
        <f t="shared" si="88"/>
        <v>17</v>
      </c>
      <c r="AB53" s="263">
        <v>15</v>
      </c>
      <c r="AC53" s="234">
        <f t="shared" si="89"/>
        <v>15</v>
      </c>
      <c r="AD53" s="235">
        <f t="shared" si="90"/>
        <v>1</v>
      </c>
      <c r="AE53" s="262">
        <v>5.5</v>
      </c>
      <c r="AF53" s="263">
        <v>5.5</v>
      </c>
      <c r="AG53" s="228">
        <f t="shared" si="91"/>
        <v>5.5</v>
      </c>
      <c r="AH53" s="229">
        <f t="shared" si="92"/>
        <v>0</v>
      </c>
      <c r="AI53" s="262">
        <v>7</v>
      </c>
      <c r="AJ53" s="263">
        <v>0</v>
      </c>
      <c r="AK53" s="228">
        <f t="shared" si="93"/>
        <v>3.5</v>
      </c>
      <c r="AL53" s="229">
        <f t="shared" si="94"/>
        <v>0</v>
      </c>
      <c r="AM53" s="236">
        <f t="shared" si="95"/>
        <v>6.6</v>
      </c>
      <c r="AN53" s="237">
        <f t="shared" si="96"/>
        <v>1</v>
      </c>
      <c r="AO53" s="262"/>
      <c r="AP53" s="263">
        <v>4</v>
      </c>
      <c r="AQ53" s="228">
        <f t="shared" si="97"/>
        <v>2</v>
      </c>
      <c r="AR53" s="229">
        <f t="shared" si="98"/>
        <v>0</v>
      </c>
      <c r="AS53" s="263">
        <v>10.5</v>
      </c>
      <c r="AT53" s="234">
        <f t="shared" si="99"/>
        <v>10.5</v>
      </c>
      <c r="AU53" s="238">
        <f t="shared" si="100"/>
        <v>1</v>
      </c>
      <c r="AV53" s="236">
        <f t="shared" si="101"/>
        <v>6.25</v>
      </c>
      <c r="AW53" s="237">
        <f t="shared" si="102"/>
        <v>1</v>
      </c>
      <c r="AX53" s="263">
        <v>10.5</v>
      </c>
      <c r="AY53" s="263">
        <v>10.5</v>
      </c>
      <c r="AZ53" s="228">
        <f t="shared" si="103"/>
        <v>10.5</v>
      </c>
      <c r="BA53" s="229">
        <f t="shared" si="104"/>
        <v>1</v>
      </c>
      <c r="BB53" s="236">
        <f t="shared" si="105"/>
        <v>10.5</v>
      </c>
      <c r="BC53" s="237">
        <f t="shared" si="106"/>
        <v>1</v>
      </c>
      <c r="BD53" s="239">
        <f t="shared" si="107"/>
        <v>8.2857142857142865</v>
      </c>
      <c r="BE53" s="240">
        <f t="shared" si="108"/>
        <v>20</v>
      </c>
      <c r="BF53" s="263"/>
      <c r="BG53" s="263"/>
      <c r="BH53" s="264">
        <f t="shared" si="109"/>
        <v>0</v>
      </c>
      <c r="BI53" s="265">
        <f t="shared" si="110"/>
        <v>0</v>
      </c>
      <c r="BJ53" s="263"/>
      <c r="BK53" s="263"/>
      <c r="BL53" s="264">
        <f t="shared" si="111"/>
        <v>0</v>
      </c>
      <c r="BM53" s="265">
        <f t="shared" si="112"/>
        <v>0</v>
      </c>
      <c r="BN53" s="263"/>
      <c r="BO53" s="263"/>
      <c r="BP53" s="264">
        <f t="shared" si="113"/>
        <v>0</v>
      </c>
      <c r="BQ53" s="265">
        <f t="shared" si="114"/>
        <v>0</v>
      </c>
      <c r="BR53" s="266">
        <f t="shared" si="115"/>
        <v>0</v>
      </c>
      <c r="BS53" s="267">
        <f t="shared" si="116"/>
        <v>0</v>
      </c>
      <c r="BT53" s="263"/>
      <c r="BU53" s="263"/>
      <c r="BV53" s="264">
        <f t="shared" si="117"/>
        <v>0</v>
      </c>
      <c r="BW53" s="265">
        <f t="shared" si="118"/>
        <v>0</v>
      </c>
      <c r="BX53" s="263"/>
      <c r="BY53" s="263"/>
      <c r="BZ53" s="264">
        <f t="shared" si="119"/>
        <v>0</v>
      </c>
      <c r="CA53" s="265">
        <f t="shared" si="120"/>
        <v>0</v>
      </c>
      <c r="CB53" s="268">
        <f t="shared" si="121"/>
        <v>0</v>
      </c>
      <c r="CC53" s="267">
        <f t="shared" si="122"/>
        <v>0</v>
      </c>
      <c r="CD53" s="263"/>
      <c r="CE53" s="263"/>
      <c r="CF53" s="264">
        <f t="shared" si="123"/>
        <v>0</v>
      </c>
      <c r="CG53" s="265">
        <f t="shared" si="124"/>
        <v>0</v>
      </c>
      <c r="CH53" s="268">
        <f t="shared" si="125"/>
        <v>0</v>
      </c>
      <c r="CI53" s="267">
        <f t="shared" si="126"/>
        <v>0</v>
      </c>
      <c r="CJ53" s="263"/>
      <c r="CK53" s="269">
        <f t="shared" si="127"/>
        <v>0</v>
      </c>
      <c r="CL53" s="270">
        <f t="shared" si="128"/>
        <v>0</v>
      </c>
      <c r="CM53" s="268">
        <f t="shared" si="129"/>
        <v>0</v>
      </c>
      <c r="CN53" s="267">
        <f t="shared" si="130"/>
        <v>0</v>
      </c>
      <c r="CO53" s="65">
        <f t="shared" si="131"/>
        <v>0</v>
      </c>
      <c r="CP53" s="66">
        <f t="shared" si="132"/>
        <v>0</v>
      </c>
      <c r="CQ53" s="31">
        <f t="shared" si="72"/>
        <v>8.2857142857142865</v>
      </c>
      <c r="CR53" s="32">
        <f t="shared" si="73"/>
        <v>20</v>
      </c>
      <c r="CS53" s="33">
        <f t="shared" si="74"/>
        <v>0</v>
      </c>
      <c r="CT53" s="34">
        <f t="shared" si="75"/>
        <v>0</v>
      </c>
      <c r="CU53" s="67">
        <f t="shared" si="76"/>
        <v>4.1428571428571432</v>
      </c>
      <c r="CV53" s="35">
        <f t="shared" si="77"/>
        <v>20</v>
      </c>
      <c r="CW53" s="59">
        <f t="shared" si="78"/>
        <v>20</v>
      </c>
      <c r="CX53" s="43" t="str">
        <f t="shared" si="133"/>
        <v>مؤجل(ة)</v>
      </c>
      <c r="CY53" s="44"/>
      <c r="CZ53" s="50"/>
      <c r="DA53" s="46"/>
    </row>
    <row r="54" spans="2:105" ht="27.75" customHeight="1" thickBot="1">
      <c r="B54" s="1">
        <f t="shared" si="134"/>
        <v>5</v>
      </c>
      <c r="C54" s="323" t="s">
        <v>573</v>
      </c>
      <c r="D54" s="249" t="s">
        <v>213</v>
      </c>
      <c r="E54" s="47" t="s">
        <v>795</v>
      </c>
      <c r="F54" s="135">
        <v>35861</v>
      </c>
      <c r="G54" s="136" t="s">
        <v>746</v>
      </c>
      <c r="H54" s="131">
        <v>9</v>
      </c>
      <c r="I54" s="132">
        <v>11</v>
      </c>
      <c r="J54" s="133">
        <v>9.64</v>
      </c>
      <c r="K54" s="134">
        <v>21</v>
      </c>
      <c r="L54" s="53">
        <f t="shared" si="79"/>
        <v>9.32</v>
      </c>
      <c r="M54" s="58">
        <f t="shared" si="80"/>
        <v>32</v>
      </c>
      <c r="N54" s="262">
        <v>14</v>
      </c>
      <c r="O54" s="263">
        <v>7</v>
      </c>
      <c r="P54" s="228">
        <f t="shared" si="81"/>
        <v>10.5</v>
      </c>
      <c r="Q54" s="229">
        <f t="shared" si="82"/>
        <v>5</v>
      </c>
      <c r="R54" s="262">
        <v>12</v>
      </c>
      <c r="S54" s="263">
        <v>6</v>
      </c>
      <c r="T54" s="228">
        <f t="shared" si="83"/>
        <v>9</v>
      </c>
      <c r="U54" s="229">
        <f t="shared" si="84"/>
        <v>0</v>
      </c>
      <c r="V54" s="262">
        <v>15.5</v>
      </c>
      <c r="W54" s="263">
        <v>3.25</v>
      </c>
      <c r="X54" s="228">
        <f t="shared" si="85"/>
        <v>9.375</v>
      </c>
      <c r="Y54" s="229">
        <f t="shared" si="86"/>
        <v>0</v>
      </c>
      <c r="Z54" s="232">
        <f t="shared" si="87"/>
        <v>9.625</v>
      </c>
      <c r="AA54" s="233">
        <f t="shared" si="88"/>
        <v>5</v>
      </c>
      <c r="AB54" s="263">
        <v>4</v>
      </c>
      <c r="AC54" s="234">
        <f t="shared" si="89"/>
        <v>4</v>
      </c>
      <c r="AD54" s="235">
        <f t="shared" si="90"/>
        <v>0</v>
      </c>
      <c r="AE54" s="262">
        <v>2.5</v>
      </c>
      <c r="AF54" s="263">
        <v>2.5</v>
      </c>
      <c r="AG54" s="228">
        <f t="shared" si="91"/>
        <v>2.5</v>
      </c>
      <c r="AH54" s="229">
        <f t="shared" si="92"/>
        <v>0</v>
      </c>
      <c r="AI54" s="262">
        <v>10</v>
      </c>
      <c r="AJ54" s="263">
        <v>3</v>
      </c>
      <c r="AK54" s="228">
        <f t="shared" si="93"/>
        <v>6.5</v>
      </c>
      <c r="AL54" s="229">
        <f t="shared" si="94"/>
        <v>0</v>
      </c>
      <c r="AM54" s="236">
        <f t="shared" si="95"/>
        <v>4.4000000000000004</v>
      </c>
      <c r="AN54" s="237">
        <f t="shared" si="96"/>
        <v>0</v>
      </c>
      <c r="AO54" s="262">
        <v>11.5</v>
      </c>
      <c r="AP54" s="263">
        <v>3</v>
      </c>
      <c r="AQ54" s="228">
        <f t="shared" si="97"/>
        <v>7.25</v>
      </c>
      <c r="AR54" s="229">
        <f t="shared" si="98"/>
        <v>0</v>
      </c>
      <c r="AS54" s="263">
        <v>3</v>
      </c>
      <c r="AT54" s="234">
        <f t="shared" si="99"/>
        <v>3</v>
      </c>
      <c r="AU54" s="238">
        <f t="shared" si="100"/>
        <v>0</v>
      </c>
      <c r="AV54" s="236">
        <f t="shared" si="101"/>
        <v>5.125</v>
      </c>
      <c r="AW54" s="237">
        <f t="shared" si="102"/>
        <v>0</v>
      </c>
      <c r="AX54" s="263">
        <v>15</v>
      </c>
      <c r="AY54" s="263">
        <v>4</v>
      </c>
      <c r="AZ54" s="228">
        <f t="shared" si="103"/>
        <v>9.5</v>
      </c>
      <c r="BA54" s="229">
        <f t="shared" si="104"/>
        <v>0</v>
      </c>
      <c r="BB54" s="236">
        <f t="shared" si="105"/>
        <v>9.5</v>
      </c>
      <c r="BC54" s="237">
        <f t="shared" si="106"/>
        <v>0</v>
      </c>
      <c r="BD54" s="239">
        <f t="shared" si="107"/>
        <v>7.1071428571428568</v>
      </c>
      <c r="BE54" s="240">
        <f t="shared" si="108"/>
        <v>5</v>
      </c>
      <c r="BF54" s="263"/>
      <c r="BG54" s="263"/>
      <c r="BH54" s="264">
        <f t="shared" si="109"/>
        <v>0</v>
      </c>
      <c r="BI54" s="265">
        <f t="shared" si="110"/>
        <v>0</v>
      </c>
      <c r="BJ54" s="263"/>
      <c r="BK54" s="263"/>
      <c r="BL54" s="264">
        <f t="shared" si="111"/>
        <v>0</v>
      </c>
      <c r="BM54" s="265">
        <f t="shared" si="112"/>
        <v>0</v>
      </c>
      <c r="BN54" s="263"/>
      <c r="BO54" s="263"/>
      <c r="BP54" s="264">
        <f t="shared" si="113"/>
        <v>0</v>
      </c>
      <c r="BQ54" s="265">
        <f t="shared" si="114"/>
        <v>0</v>
      </c>
      <c r="BR54" s="266">
        <f t="shared" si="115"/>
        <v>0</v>
      </c>
      <c r="BS54" s="267">
        <f t="shared" si="116"/>
        <v>0</v>
      </c>
      <c r="BT54" s="263"/>
      <c r="BU54" s="263"/>
      <c r="BV54" s="264">
        <f t="shared" si="117"/>
        <v>0</v>
      </c>
      <c r="BW54" s="265">
        <f t="shared" si="118"/>
        <v>0</v>
      </c>
      <c r="BX54" s="263"/>
      <c r="BY54" s="263"/>
      <c r="BZ54" s="264">
        <f t="shared" si="119"/>
        <v>0</v>
      </c>
      <c r="CA54" s="265">
        <f t="shared" si="120"/>
        <v>0</v>
      </c>
      <c r="CB54" s="268">
        <f t="shared" si="121"/>
        <v>0</v>
      </c>
      <c r="CC54" s="267">
        <f t="shared" si="122"/>
        <v>0</v>
      </c>
      <c r="CD54" s="263"/>
      <c r="CE54" s="263"/>
      <c r="CF54" s="264">
        <f t="shared" si="123"/>
        <v>0</v>
      </c>
      <c r="CG54" s="265">
        <f t="shared" si="124"/>
        <v>0</v>
      </c>
      <c r="CH54" s="268">
        <f t="shared" si="125"/>
        <v>0</v>
      </c>
      <c r="CI54" s="267">
        <f t="shared" si="126"/>
        <v>0</v>
      </c>
      <c r="CJ54" s="263"/>
      <c r="CK54" s="269">
        <f t="shared" si="127"/>
        <v>0</v>
      </c>
      <c r="CL54" s="270">
        <f t="shared" si="128"/>
        <v>0</v>
      </c>
      <c r="CM54" s="268">
        <f t="shared" si="129"/>
        <v>0</v>
      </c>
      <c r="CN54" s="267">
        <f t="shared" si="130"/>
        <v>0</v>
      </c>
      <c r="CO54" s="65">
        <f t="shared" si="131"/>
        <v>0</v>
      </c>
      <c r="CP54" s="66">
        <f t="shared" si="132"/>
        <v>0</v>
      </c>
      <c r="CQ54" s="31">
        <f t="shared" si="72"/>
        <v>7.1071428571428568</v>
      </c>
      <c r="CR54" s="32">
        <f t="shared" si="73"/>
        <v>5</v>
      </c>
      <c r="CS54" s="33">
        <f t="shared" si="74"/>
        <v>0</v>
      </c>
      <c r="CT54" s="34">
        <f t="shared" si="75"/>
        <v>0</v>
      </c>
      <c r="CU54" s="67">
        <f t="shared" si="76"/>
        <v>3.5535714285714284</v>
      </c>
      <c r="CV54" s="35">
        <f t="shared" si="77"/>
        <v>5</v>
      </c>
      <c r="CW54" s="59">
        <f t="shared" si="78"/>
        <v>37</v>
      </c>
      <c r="CX54" s="43" t="str">
        <f t="shared" si="133"/>
        <v>مؤجل(ة)</v>
      </c>
      <c r="CY54" s="44"/>
      <c r="CZ54" s="50"/>
      <c r="DA54" s="46"/>
    </row>
    <row r="55" spans="2:105" ht="27.75" customHeight="1" thickBot="1">
      <c r="B55" s="1">
        <f t="shared" si="134"/>
        <v>6</v>
      </c>
      <c r="C55" s="323" t="s">
        <v>574</v>
      </c>
      <c r="D55" s="249" t="s">
        <v>575</v>
      </c>
      <c r="E55" s="47" t="s">
        <v>755</v>
      </c>
      <c r="F55" s="276"/>
      <c r="G55" s="136"/>
      <c r="H55" s="131"/>
      <c r="I55" s="132">
        <v>21</v>
      </c>
      <c r="J55" s="133">
        <v>9.93</v>
      </c>
      <c r="K55" s="134">
        <v>23</v>
      </c>
      <c r="L55" s="53">
        <f t="shared" si="79"/>
        <v>4.9649999999999999</v>
      </c>
      <c r="M55" s="58">
        <f t="shared" si="80"/>
        <v>44</v>
      </c>
      <c r="N55" s="262">
        <v>14</v>
      </c>
      <c r="O55" s="263">
        <v>7</v>
      </c>
      <c r="P55" s="228">
        <f t="shared" si="81"/>
        <v>10.5</v>
      </c>
      <c r="Q55" s="229">
        <f t="shared" si="82"/>
        <v>5</v>
      </c>
      <c r="R55" s="262">
        <v>15</v>
      </c>
      <c r="S55" s="263">
        <v>12</v>
      </c>
      <c r="T55" s="228">
        <f t="shared" si="83"/>
        <v>13.5</v>
      </c>
      <c r="U55" s="229">
        <f t="shared" si="84"/>
        <v>6</v>
      </c>
      <c r="V55" s="262">
        <v>16</v>
      </c>
      <c r="W55" s="263">
        <v>9.25</v>
      </c>
      <c r="X55" s="228">
        <f t="shared" si="85"/>
        <v>12.625</v>
      </c>
      <c r="Y55" s="229">
        <f t="shared" si="86"/>
        <v>6</v>
      </c>
      <c r="Z55" s="232">
        <f t="shared" si="87"/>
        <v>12.208333333333334</v>
      </c>
      <c r="AA55" s="233">
        <f t="shared" si="88"/>
        <v>17</v>
      </c>
      <c r="AB55" s="263">
        <v>13</v>
      </c>
      <c r="AC55" s="234">
        <f t="shared" si="89"/>
        <v>13</v>
      </c>
      <c r="AD55" s="235">
        <f t="shared" si="90"/>
        <v>1</v>
      </c>
      <c r="AE55" s="262">
        <v>3</v>
      </c>
      <c r="AF55" s="263">
        <v>3</v>
      </c>
      <c r="AG55" s="228">
        <f t="shared" si="91"/>
        <v>3</v>
      </c>
      <c r="AH55" s="229">
        <f t="shared" si="92"/>
        <v>0</v>
      </c>
      <c r="AI55" s="262">
        <v>13</v>
      </c>
      <c r="AJ55" s="263">
        <v>4</v>
      </c>
      <c r="AK55" s="228">
        <f t="shared" si="93"/>
        <v>8.5</v>
      </c>
      <c r="AL55" s="229">
        <f t="shared" si="94"/>
        <v>0</v>
      </c>
      <c r="AM55" s="236">
        <f t="shared" si="95"/>
        <v>7.2</v>
      </c>
      <c r="AN55" s="237">
        <f t="shared" si="96"/>
        <v>1</v>
      </c>
      <c r="AO55" s="262">
        <v>10</v>
      </c>
      <c r="AP55" s="263">
        <v>4</v>
      </c>
      <c r="AQ55" s="228">
        <f t="shared" si="97"/>
        <v>7</v>
      </c>
      <c r="AR55" s="229">
        <f t="shared" si="98"/>
        <v>0</v>
      </c>
      <c r="AS55" s="263">
        <v>10</v>
      </c>
      <c r="AT55" s="234">
        <f t="shared" si="99"/>
        <v>10</v>
      </c>
      <c r="AU55" s="238">
        <f t="shared" si="100"/>
        <v>1</v>
      </c>
      <c r="AV55" s="236">
        <f t="shared" si="101"/>
        <v>8.5</v>
      </c>
      <c r="AW55" s="237">
        <f t="shared" si="102"/>
        <v>1</v>
      </c>
      <c r="AX55" s="263">
        <v>16.5</v>
      </c>
      <c r="AY55" s="263">
        <v>4.5</v>
      </c>
      <c r="AZ55" s="228">
        <f t="shared" si="103"/>
        <v>10.5</v>
      </c>
      <c r="BA55" s="229">
        <f t="shared" si="104"/>
        <v>1</v>
      </c>
      <c r="BB55" s="236">
        <f t="shared" si="105"/>
        <v>10.5</v>
      </c>
      <c r="BC55" s="237">
        <f t="shared" si="106"/>
        <v>1</v>
      </c>
      <c r="BD55" s="239">
        <f t="shared" si="107"/>
        <v>9.7678571428571423</v>
      </c>
      <c r="BE55" s="240">
        <f t="shared" si="108"/>
        <v>20</v>
      </c>
      <c r="BF55" s="263"/>
      <c r="BG55" s="263"/>
      <c r="BH55" s="264">
        <f t="shared" si="109"/>
        <v>0</v>
      </c>
      <c r="BI55" s="265">
        <f t="shared" si="110"/>
        <v>0</v>
      </c>
      <c r="BJ55" s="263"/>
      <c r="BK55" s="263"/>
      <c r="BL55" s="264">
        <f t="shared" si="111"/>
        <v>0</v>
      </c>
      <c r="BM55" s="265">
        <f t="shared" si="112"/>
        <v>0</v>
      </c>
      <c r="BN55" s="263"/>
      <c r="BO55" s="263"/>
      <c r="BP55" s="264">
        <f t="shared" si="113"/>
        <v>0</v>
      </c>
      <c r="BQ55" s="265">
        <f t="shared" si="114"/>
        <v>0</v>
      </c>
      <c r="BR55" s="266">
        <f t="shared" si="115"/>
        <v>0</v>
      </c>
      <c r="BS55" s="267">
        <f t="shared" si="116"/>
        <v>0</v>
      </c>
      <c r="BT55" s="263"/>
      <c r="BU55" s="263"/>
      <c r="BV55" s="264">
        <f t="shared" si="117"/>
        <v>0</v>
      </c>
      <c r="BW55" s="265">
        <f t="shared" si="118"/>
        <v>0</v>
      </c>
      <c r="BX55" s="263"/>
      <c r="BY55" s="263"/>
      <c r="BZ55" s="264">
        <f t="shared" si="119"/>
        <v>0</v>
      </c>
      <c r="CA55" s="265">
        <f t="shared" si="120"/>
        <v>0</v>
      </c>
      <c r="CB55" s="268">
        <f t="shared" si="121"/>
        <v>0</v>
      </c>
      <c r="CC55" s="267">
        <f t="shared" si="122"/>
        <v>0</v>
      </c>
      <c r="CD55" s="263"/>
      <c r="CE55" s="263"/>
      <c r="CF55" s="264">
        <f t="shared" si="123"/>
        <v>0</v>
      </c>
      <c r="CG55" s="265">
        <f t="shared" si="124"/>
        <v>0</v>
      </c>
      <c r="CH55" s="268">
        <f t="shared" si="125"/>
        <v>0</v>
      </c>
      <c r="CI55" s="267">
        <f t="shared" si="126"/>
        <v>0</v>
      </c>
      <c r="CJ55" s="263"/>
      <c r="CK55" s="269">
        <f t="shared" si="127"/>
        <v>0</v>
      </c>
      <c r="CL55" s="270">
        <f t="shared" si="128"/>
        <v>0</v>
      </c>
      <c r="CM55" s="268">
        <f t="shared" si="129"/>
        <v>0</v>
      </c>
      <c r="CN55" s="267">
        <f t="shared" si="130"/>
        <v>0</v>
      </c>
      <c r="CO55" s="65">
        <f t="shared" si="131"/>
        <v>0</v>
      </c>
      <c r="CP55" s="66">
        <f t="shared" si="132"/>
        <v>0</v>
      </c>
      <c r="CQ55" s="31">
        <f t="shared" si="72"/>
        <v>9.7678571428571423</v>
      </c>
      <c r="CR55" s="32">
        <f t="shared" si="73"/>
        <v>20</v>
      </c>
      <c r="CS55" s="33">
        <f t="shared" si="74"/>
        <v>0</v>
      </c>
      <c r="CT55" s="34">
        <f t="shared" si="75"/>
        <v>0</v>
      </c>
      <c r="CU55" s="67">
        <f t="shared" si="76"/>
        <v>4.8839285714285712</v>
      </c>
      <c r="CV55" s="35">
        <f t="shared" si="77"/>
        <v>20</v>
      </c>
      <c r="CW55" s="59">
        <f t="shared" si="78"/>
        <v>64</v>
      </c>
      <c r="CX55" s="43" t="str">
        <f t="shared" si="133"/>
        <v>مؤجل(ة)</v>
      </c>
      <c r="CY55" s="44"/>
      <c r="CZ55" s="50"/>
      <c r="DA55" s="46"/>
    </row>
    <row r="56" spans="2:105" ht="27.75" customHeight="1" thickBot="1">
      <c r="B56" s="1">
        <f t="shared" si="134"/>
        <v>7</v>
      </c>
      <c r="C56" s="323" t="s">
        <v>242</v>
      </c>
      <c r="D56" s="249" t="s">
        <v>243</v>
      </c>
      <c r="E56" s="47" t="s">
        <v>434</v>
      </c>
      <c r="F56" s="276">
        <v>35473</v>
      </c>
      <c r="G56" s="136" t="s">
        <v>746</v>
      </c>
      <c r="H56" s="131">
        <v>10.11</v>
      </c>
      <c r="I56" s="132">
        <v>30</v>
      </c>
      <c r="J56" s="133">
        <v>7.49</v>
      </c>
      <c r="K56" s="134">
        <v>10</v>
      </c>
      <c r="L56" s="53">
        <f t="shared" si="79"/>
        <v>8.8000000000000007</v>
      </c>
      <c r="M56" s="58">
        <f t="shared" si="80"/>
        <v>40</v>
      </c>
      <c r="N56" s="262">
        <v>11.5</v>
      </c>
      <c r="O56" s="263">
        <v>11.5</v>
      </c>
      <c r="P56" s="228">
        <f t="shared" si="81"/>
        <v>11.5</v>
      </c>
      <c r="Q56" s="229">
        <f t="shared" si="82"/>
        <v>5</v>
      </c>
      <c r="R56" s="262">
        <v>10.88</v>
      </c>
      <c r="S56" s="263">
        <v>10.88</v>
      </c>
      <c r="T56" s="228">
        <f t="shared" si="83"/>
        <v>10.88</v>
      </c>
      <c r="U56" s="229">
        <f t="shared" si="84"/>
        <v>6</v>
      </c>
      <c r="V56" s="262">
        <v>10.5</v>
      </c>
      <c r="W56" s="263">
        <v>1</v>
      </c>
      <c r="X56" s="228">
        <f t="shared" si="85"/>
        <v>5.75</v>
      </c>
      <c r="Y56" s="229">
        <f t="shared" si="86"/>
        <v>0</v>
      </c>
      <c r="Z56" s="232">
        <f t="shared" si="87"/>
        <v>9.3766666666666669</v>
      </c>
      <c r="AA56" s="233">
        <f t="shared" si="88"/>
        <v>11</v>
      </c>
      <c r="AB56" s="263">
        <v>10.5</v>
      </c>
      <c r="AC56" s="234">
        <f t="shared" si="89"/>
        <v>10.5</v>
      </c>
      <c r="AD56" s="235">
        <f t="shared" si="90"/>
        <v>1</v>
      </c>
      <c r="AE56" s="262">
        <v>0</v>
      </c>
      <c r="AF56" s="263">
        <v>0</v>
      </c>
      <c r="AG56" s="228">
        <f t="shared" si="91"/>
        <v>0</v>
      </c>
      <c r="AH56" s="229">
        <f t="shared" si="92"/>
        <v>0</v>
      </c>
      <c r="AI56" s="262">
        <v>0</v>
      </c>
      <c r="AJ56" s="263">
        <v>0</v>
      </c>
      <c r="AK56" s="228">
        <f t="shared" si="93"/>
        <v>0</v>
      </c>
      <c r="AL56" s="229">
        <f t="shared" si="94"/>
        <v>0</v>
      </c>
      <c r="AM56" s="236">
        <f t="shared" si="95"/>
        <v>2.1</v>
      </c>
      <c r="AN56" s="237">
        <f t="shared" si="96"/>
        <v>1</v>
      </c>
      <c r="AO56" s="262"/>
      <c r="AP56" s="263">
        <v>4</v>
      </c>
      <c r="AQ56" s="228">
        <f t="shared" si="97"/>
        <v>2</v>
      </c>
      <c r="AR56" s="229">
        <f t="shared" si="98"/>
        <v>0</v>
      </c>
      <c r="AS56" s="263">
        <v>10.5</v>
      </c>
      <c r="AT56" s="234">
        <f t="shared" si="99"/>
        <v>10.5</v>
      </c>
      <c r="AU56" s="238">
        <f t="shared" si="100"/>
        <v>1</v>
      </c>
      <c r="AV56" s="236">
        <f t="shared" si="101"/>
        <v>6.25</v>
      </c>
      <c r="AW56" s="237">
        <f t="shared" si="102"/>
        <v>1</v>
      </c>
      <c r="AX56" s="263">
        <v>11.5</v>
      </c>
      <c r="AY56" s="263">
        <v>11.5</v>
      </c>
      <c r="AZ56" s="228">
        <f t="shared" si="103"/>
        <v>11.5</v>
      </c>
      <c r="BA56" s="229">
        <f t="shared" si="104"/>
        <v>1</v>
      </c>
      <c r="BB56" s="236">
        <f t="shared" si="105"/>
        <v>11.5</v>
      </c>
      <c r="BC56" s="237">
        <f t="shared" si="106"/>
        <v>1</v>
      </c>
      <c r="BD56" s="239">
        <f t="shared" si="107"/>
        <v>6.4828571428571431</v>
      </c>
      <c r="BE56" s="240">
        <f t="shared" si="108"/>
        <v>14</v>
      </c>
      <c r="BF56" s="263"/>
      <c r="BG56" s="263"/>
      <c r="BH56" s="264">
        <f t="shared" si="109"/>
        <v>0</v>
      </c>
      <c r="BI56" s="265">
        <f t="shared" si="110"/>
        <v>0</v>
      </c>
      <c r="BJ56" s="263"/>
      <c r="BK56" s="263"/>
      <c r="BL56" s="264">
        <f t="shared" si="111"/>
        <v>0</v>
      </c>
      <c r="BM56" s="265">
        <f t="shared" si="112"/>
        <v>0</v>
      </c>
      <c r="BN56" s="263"/>
      <c r="BO56" s="263"/>
      <c r="BP56" s="264">
        <f t="shared" si="113"/>
        <v>0</v>
      </c>
      <c r="BQ56" s="265">
        <f t="shared" si="114"/>
        <v>0</v>
      </c>
      <c r="BR56" s="266">
        <f t="shared" si="115"/>
        <v>0</v>
      </c>
      <c r="BS56" s="267">
        <f t="shared" si="116"/>
        <v>0</v>
      </c>
      <c r="BT56" s="263"/>
      <c r="BU56" s="263"/>
      <c r="BV56" s="264">
        <f t="shared" si="117"/>
        <v>0</v>
      </c>
      <c r="BW56" s="265">
        <f t="shared" si="118"/>
        <v>0</v>
      </c>
      <c r="BX56" s="263"/>
      <c r="BY56" s="263"/>
      <c r="BZ56" s="264">
        <f t="shared" si="119"/>
        <v>0</v>
      </c>
      <c r="CA56" s="265">
        <f t="shared" si="120"/>
        <v>0</v>
      </c>
      <c r="CB56" s="268">
        <f t="shared" si="121"/>
        <v>0</v>
      </c>
      <c r="CC56" s="267">
        <f t="shared" si="122"/>
        <v>0</v>
      </c>
      <c r="CD56" s="263"/>
      <c r="CE56" s="263"/>
      <c r="CF56" s="264">
        <f t="shared" si="123"/>
        <v>0</v>
      </c>
      <c r="CG56" s="265">
        <f t="shared" si="124"/>
        <v>0</v>
      </c>
      <c r="CH56" s="268">
        <f t="shared" si="125"/>
        <v>0</v>
      </c>
      <c r="CI56" s="267">
        <f t="shared" si="126"/>
        <v>0</v>
      </c>
      <c r="CJ56" s="263"/>
      <c r="CK56" s="269">
        <f t="shared" si="127"/>
        <v>0</v>
      </c>
      <c r="CL56" s="270">
        <f t="shared" si="128"/>
        <v>0</v>
      </c>
      <c r="CM56" s="268">
        <f t="shared" si="129"/>
        <v>0</v>
      </c>
      <c r="CN56" s="267">
        <f t="shared" si="130"/>
        <v>0</v>
      </c>
      <c r="CO56" s="65">
        <f t="shared" si="131"/>
        <v>0</v>
      </c>
      <c r="CP56" s="66">
        <f t="shared" si="132"/>
        <v>0</v>
      </c>
      <c r="CQ56" s="31">
        <f t="shared" si="72"/>
        <v>6.4828571428571431</v>
      </c>
      <c r="CR56" s="32">
        <f t="shared" si="73"/>
        <v>14</v>
      </c>
      <c r="CS56" s="33">
        <f t="shared" si="74"/>
        <v>0</v>
      </c>
      <c r="CT56" s="34">
        <f t="shared" si="75"/>
        <v>0</v>
      </c>
      <c r="CU56" s="67">
        <f t="shared" si="76"/>
        <v>3.2414285714285715</v>
      </c>
      <c r="CV56" s="35">
        <f t="shared" si="77"/>
        <v>14</v>
      </c>
      <c r="CW56" s="59">
        <f t="shared" si="78"/>
        <v>54</v>
      </c>
      <c r="CX56" s="43" t="str">
        <f t="shared" si="133"/>
        <v>مؤجل(ة)</v>
      </c>
      <c r="CY56" s="44"/>
      <c r="CZ56" s="50"/>
      <c r="DA56" s="46"/>
    </row>
    <row r="57" spans="2:105" ht="27.75" customHeight="1" thickBot="1">
      <c r="B57" s="1">
        <f t="shared" si="134"/>
        <v>8</v>
      </c>
      <c r="C57" s="323" t="s">
        <v>576</v>
      </c>
      <c r="D57" s="249" t="s">
        <v>298</v>
      </c>
      <c r="E57" s="47" t="s">
        <v>466</v>
      </c>
      <c r="F57" s="135">
        <v>34502</v>
      </c>
      <c r="G57" s="136" t="s">
        <v>746</v>
      </c>
      <c r="H57" s="131"/>
      <c r="I57" s="132"/>
      <c r="J57" s="133"/>
      <c r="K57" s="134"/>
      <c r="L57" s="53">
        <f t="shared" si="79"/>
        <v>0</v>
      </c>
      <c r="M57" s="58">
        <f t="shared" si="80"/>
        <v>0</v>
      </c>
      <c r="N57" s="262">
        <v>11.5</v>
      </c>
      <c r="O57" s="263">
        <v>11.5</v>
      </c>
      <c r="P57" s="228">
        <f t="shared" si="81"/>
        <v>11.5</v>
      </c>
      <c r="Q57" s="229">
        <f t="shared" si="82"/>
        <v>5</v>
      </c>
      <c r="R57" s="262">
        <v>8.75</v>
      </c>
      <c r="S57" s="263">
        <v>8.75</v>
      </c>
      <c r="T57" s="228">
        <f t="shared" si="83"/>
        <v>8.75</v>
      </c>
      <c r="U57" s="229">
        <f t="shared" si="84"/>
        <v>0</v>
      </c>
      <c r="V57" s="262">
        <v>10.75</v>
      </c>
      <c r="W57" s="263">
        <v>10.75</v>
      </c>
      <c r="X57" s="228">
        <f t="shared" si="85"/>
        <v>10.75</v>
      </c>
      <c r="Y57" s="229">
        <f t="shared" si="86"/>
        <v>6</v>
      </c>
      <c r="Z57" s="232">
        <f t="shared" si="87"/>
        <v>10.333333333333334</v>
      </c>
      <c r="AA57" s="233">
        <f t="shared" si="88"/>
        <v>17</v>
      </c>
      <c r="AB57" s="263">
        <v>8</v>
      </c>
      <c r="AC57" s="234">
        <f t="shared" si="89"/>
        <v>8</v>
      </c>
      <c r="AD57" s="235">
        <f t="shared" si="90"/>
        <v>0</v>
      </c>
      <c r="AE57" s="262">
        <v>6</v>
      </c>
      <c r="AF57" s="263">
        <v>6</v>
      </c>
      <c r="AG57" s="228">
        <f t="shared" si="91"/>
        <v>6</v>
      </c>
      <c r="AH57" s="229">
        <f t="shared" si="92"/>
        <v>0</v>
      </c>
      <c r="AI57" s="262">
        <v>10</v>
      </c>
      <c r="AJ57" s="263">
        <v>0</v>
      </c>
      <c r="AK57" s="228">
        <f t="shared" si="93"/>
        <v>5</v>
      </c>
      <c r="AL57" s="229">
        <f t="shared" si="94"/>
        <v>0</v>
      </c>
      <c r="AM57" s="236">
        <f t="shared" si="95"/>
        <v>6</v>
      </c>
      <c r="AN57" s="237">
        <f t="shared" si="96"/>
        <v>0</v>
      </c>
      <c r="AO57" s="262">
        <v>10.5</v>
      </c>
      <c r="AP57" s="263">
        <v>1</v>
      </c>
      <c r="AQ57" s="228">
        <f t="shared" si="97"/>
        <v>5.75</v>
      </c>
      <c r="AR57" s="229">
        <f t="shared" si="98"/>
        <v>0</v>
      </c>
      <c r="AS57" s="263">
        <v>9</v>
      </c>
      <c r="AT57" s="234">
        <f t="shared" si="99"/>
        <v>9</v>
      </c>
      <c r="AU57" s="238">
        <f t="shared" si="100"/>
        <v>0</v>
      </c>
      <c r="AV57" s="236">
        <f t="shared" si="101"/>
        <v>7.375</v>
      </c>
      <c r="AW57" s="237">
        <f t="shared" si="102"/>
        <v>0</v>
      </c>
      <c r="AX57" s="263">
        <v>12.5</v>
      </c>
      <c r="AY57" s="263">
        <v>6.5</v>
      </c>
      <c r="AZ57" s="228">
        <f t="shared" si="103"/>
        <v>9.5</v>
      </c>
      <c r="BA57" s="229">
        <f t="shared" si="104"/>
        <v>0</v>
      </c>
      <c r="BB57" s="236">
        <f t="shared" si="105"/>
        <v>9.5</v>
      </c>
      <c r="BC57" s="237">
        <f t="shared" si="106"/>
        <v>0</v>
      </c>
      <c r="BD57" s="239">
        <f t="shared" si="107"/>
        <v>8.3035714285714288</v>
      </c>
      <c r="BE57" s="240">
        <f t="shared" si="108"/>
        <v>17</v>
      </c>
      <c r="BF57" s="263"/>
      <c r="BG57" s="263"/>
      <c r="BH57" s="264">
        <f t="shared" si="109"/>
        <v>0</v>
      </c>
      <c r="BI57" s="265">
        <f t="shared" si="110"/>
        <v>0</v>
      </c>
      <c r="BJ57" s="263"/>
      <c r="BK57" s="263"/>
      <c r="BL57" s="264">
        <f t="shared" si="111"/>
        <v>0</v>
      </c>
      <c r="BM57" s="265">
        <f t="shared" si="112"/>
        <v>0</v>
      </c>
      <c r="BN57" s="263"/>
      <c r="BO57" s="263"/>
      <c r="BP57" s="264">
        <f t="shared" si="113"/>
        <v>0</v>
      </c>
      <c r="BQ57" s="265">
        <f t="shared" si="114"/>
        <v>0</v>
      </c>
      <c r="BR57" s="266">
        <f t="shared" si="115"/>
        <v>0</v>
      </c>
      <c r="BS57" s="267">
        <f t="shared" si="116"/>
        <v>0</v>
      </c>
      <c r="BT57" s="263"/>
      <c r="BU57" s="263"/>
      <c r="BV57" s="264">
        <f t="shared" si="117"/>
        <v>0</v>
      </c>
      <c r="BW57" s="265">
        <f t="shared" si="118"/>
        <v>0</v>
      </c>
      <c r="BX57" s="263"/>
      <c r="BY57" s="263"/>
      <c r="BZ57" s="264">
        <f t="shared" si="119"/>
        <v>0</v>
      </c>
      <c r="CA57" s="265">
        <f t="shared" si="120"/>
        <v>0</v>
      </c>
      <c r="CB57" s="268">
        <f t="shared" si="121"/>
        <v>0</v>
      </c>
      <c r="CC57" s="267">
        <f t="shared" si="122"/>
        <v>0</v>
      </c>
      <c r="CD57" s="263"/>
      <c r="CE57" s="263"/>
      <c r="CF57" s="264">
        <f t="shared" si="123"/>
        <v>0</v>
      </c>
      <c r="CG57" s="265">
        <f t="shared" si="124"/>
        <v>0</v>
      </c>
      <c r="CH57" s="268">
        <f t="shared" si="125"/>
        <v>0</v>
      </c>
      <c r="CI57" s="267">
        <f t="shared" si="126"/>
        <v>0</v>
      </c>
      <c r="CJ57" s="263"/>
      <c r="CK57" s="269">
        <f t="shared" si="127"/>
        <v>0</v>
      </c>
      <c r="CL57" s="270">
        <f t="shared" si="128"/>
        <v>0</v>
      </c>
      <c r="CM57" s="268">
        <f t="shared" si="129"/>
        <v>0</v>
      </c>
      <c r="CN57" s="267">
        <f t="shared" si="130"/>
        <v>0</v>
      </c>
      <c r="CO57" s="65">
        <f t="shared" si="131"/>
        <v>0</v>
      </c>
      <c r="CP57" s="66">
        <f t="shared" si="132"/>
        <v>0</v>
      </c>
      <c r="CQ57" s="31">
        <f t="shared" si="72"/>
        <v>8.3035714285714288</v>
      </c>
      <c r="CR57" s="32">
        <f t="shared" si="73"/>
        <v>17</v>
      </c>
      <c r="CS57" s="33">
        <f t="shared" si="74"/>
        <v>0</v>
      </c>
      <c r="CT57" s="34">
        <f t="shared" si="75"/>
        <v>0</v>
      </c>
      <c r="CU57" s="67">
        <f t="shared" si="76"/>
        <v>4.1517857142857144</v>
      </c>
      <c r="CV57" s="35">
        <f t="shared" si="77"/>
        <v>17</v>
      </c>
      <c r="CW57" s="59">
        <f t="shared" si="78"/>
        <v>17</v>
      </c>
      <c r="CX57" s="43" t="str">
        <f t="shared" si="133"/>
        <v>مؤجل(ة)</v>
      </c>
      <c r="CY57" s="44"/>
      <c r="CZ57" s="50"/>
      <c r="DA57" s="46"/>
    </row>
    <row r="58" spans="2:105" ht="27.75" customHeight="1" thickBot="1">
      <c r="B58" s="1">
        <f t="shared" si="134"/>
        <v>9</v>
      </c>
      <c r="C58" s="323" t="s">
        <v>577</v>
      </c>
      <c r="D58" s="249" t="s">
        <v>578</v>
      </c>
      <c r="E58" s="47" t="s">
        <v>793</v>
      </c>
      <c r="F58" s="135">
        <v>35526</v>
      </c>
      <c r="G58" s="136" t="s">
        <v>746</v>
      </c>
      <c r="H58" s="131">
        <v>9.5299999999999994</v>
      </c>
      <c r="I58" s="132">
        <v>20</v>
      </c>
      <c r="J58" s="133">
        <v>8.7100000000000009</v>
      </c>
      <c r="K58" s="134">
        <v>17</v>
      </c>
      <c r="L58" s="53">
        <f t="shared" si="79"/>
        <v>9.120000000000001</v>
      </c>
      <c r="M58" s="58">
        <f t="shared" si="80"/>
        <v>37</v>
      </c>
      <c r="N58" s="262">
        <v>11</v>
      </c>
      <c r="O58" s="263">
        <v>7</v>
      </c>
      <c r="P58" s="228">
        <f t="shared" si="81"/>
        <v>9</v>
      </c>
      <c r="Q58" s="229">
        <f t="shared" si="82"/>
        <v>0</v>
      </c>
      <c r="R58" s="262">
        <v>12.5</v>
      </c>
      <c r="S58" s="263">
        <v>3</v>
      </c>
      <c r="T58" s="228">
        <f t="shared" si="83"/>
        <v>7.75</v>
      </c>
      <c r="U58" s="229">
        <f t="shared" si="84"/>
        <v>0</v>
      </c>
      <c r="V58" s="262">
        <v>14.5</v>
      </c>
      <c r="W58" s="263">
        <v>8</v>
      </c>
      <c r="X58" s="228">
        <f t="shared" si="85"/>
        <v>11.25</v>
      </c>
      <c r="Y58" s="229">
        <f t="shared" si="86"/>
        <v>6</v>
      </c>
      <c r="Z58" s="232">
        <f t="shared" si="87"/>
        <v>9.3333333333333339</v>
      </c>
      <c r="AA58" s="233">
        <f t="shared" si="88"/>
        <v>6</v>
      </c>
      <c r="AB58" s="263">
        <v>2</v>
      </c>
      <c r="AC58" s="234">
        <f t="shared" si="89"/>
        <v>2</v>
      </c>
      <c r="AD58" s="235">
        <f t="shared" si="90"/>
        <v>0</v>
      </c>
      <c r="AE58" s="262"/>
      <c r="AF58" s="263"/>
      <c r="AG58" s="228">
        <f t="shared" si="91"/>
        <v>0</v>
      </c>
      <c r="AH58" s="229">
        <f t="shared" si="92"/>
        <v>0</v>
      </c>
      <c r="AI58" s="262">
        <v>5</v>
      </c>
      <c r="AJ58" s="263">
        <v>0</v>
      </c>
      <c r="AK58" s="228">
        <f t="shared" si="93"/>
        <v>2.5</v>
      </c>
      <c r="AL58" s="229">
        <f t="shared" si="94"/>
        <v>0</v>
      </c>
      <c r="AM58" s="236">
        <f t="shared" si="95"/>
        <v>1.4</v>
      </c>
      <c r="AN58" s="237">
        <f t="shared" si="96"/>
        <v>0</v>
      </c>
      <c r="AO58" s="262">
        <v>10</v>
      </c>
      <c r="AP58" s="263">
        <v>3</v>
      </c>
      <c r="AQ58" s="228">
        <f t="shared" si="97"/>
        <v>6.5</v>
      </c>
      <c r="AR58" s="229">
        <f t="shared" si="98"/>
        <v>0</v>
      </c>
      <c r="AS58" s="263">
        <v>9</v>
      </c>
      <c r="AT58" s="234">
        <f t="shared" si="99"/>
        <v>9</v>
      </c>
      <c r="AU58" s="238">
        <f t="shared" si="100"/>
        <v>0</v>
      </c>
      <c r="AV58" s="236">
        <f t="shared" si="101"/>
        <v>7.75</v>
      </c>
      <c r="AW58" s="237">
        <f t="shared" si="102"/>
        <v>0</v>
      </c>
      <c r="AX58" s="263">
        <v>15.5</v>
      </c>
      <c r="AY58" s="263">
        <v>6.5</v>
      </c>
      <c r="AZ58" s="228">
        <f t="shared" si="103"/>
        <v>11</v>
      </c>
      <c r="BA58" s="229">
        <f t="shared" si="104"/>
        <v>1</v>
      </c>
      <c r="BB58" s="236">
        <f t="shared" si="105"/>
        <v>11</v>
      </c>
      <c r="BC58" s="237">
        <f t="shared" si="106"/>
        <v>1</v>
      </c>
      <c r="BD58" s="239">
        <f t="shared" si="107"/>
        <v>6.3928571428571432</v>
      </c>
      <c r="BE58" s="240">
        <f t="shared" si="108"/>
        <v>7</v>
      </c>
      <c r="BF58" s="263"/>
      <c r="BG58" s="263"/>
      <c r="BH58" s="264">
        <f t="shared" si="109"/>
        <v>0</v>
      </c>
      <c r="BI58" s="265">
        <f t="shared" si="110"/>
        <v>0</v>
      </c>
      <c r="BJ58" s="263"/>
      <c r="BK58" s="263"/>
      <c r="BL58" s="264">
        <f t="shared" si="111"/>
        <v>0</v>
      </c>
      <c r="BM58" s="265">
        <f t="shared" si="112"/>
        <v>0</v>
      </c>
      <c r="BN58" s="263"/>
      <c r="BO58" s="263"/>
      <c r="BP58" s="264">
        <f t="shared" si="113"/>
        <v>0</v>
      </c>
      <c r="BQ58" s="265">
        <f t="shared" si="114"/>
        <v>0</v>
      </c>
      <c r="BR58" s="266">
        <f t="shared" si="115"/>
        <v>0</v>
      </c>
      <c r="BS58" s="267">
        <f t="shared" si="116"/>
        <v>0</v>
      </c>
      <c r="BT58" s="263"/>
      <c r="BU58" s="263"/>
      <c r="BV58" s="264">
        <f t="shared" si="117"/>
        <v>0</v>
      </c>
      <c r="BW58" s="265">
        <f t="shared" si="118"/>
        <v>0</v>
      </c>
      <c r="BX58" s="263"/>
      <c r="BY58" s="263"/>
      <c r="BZ58" s="264">
        <f t="shared" si="119"/>
        <v>0</v>
      </c>
      <c r="CA58" s="265">
        <f t="shared" si="120"/>
        <v>0</v>
      </c>
      <c r="CB58" s="268">
        <f t="shared" si="121"/>
        <v>0</v>
      </c>
      <c r="CC58" s="267">
        <f t="shared" si="122"/>
        <v>0</v>
      </c>
      <c r="CD58" s="263"/>
      <c r="CE58" s="263"/>
      <c r="CF58" s="264">
        <f t="shared" si="123"/>
        <v>0</v>
      </c>
      <c r="CG58" s="265">
        <f t="shared" si="124"/>
        <v>0</v>
      </c>
      <c r="CH58" s="268">
        <f t="shared" si="125"/>
        <v>0</v>
      </c>
      <c r="CI58" s="267">
        <f t="shared" si="126"/>
        <v>0</v>
      </c>
      <c r="CJ58" s="263"/>
      <c r="CK58" s="269">
        <f t="shared" si="127"/>
        <v>0</v>
      </c>
      <c r="CL58" s="270">
        <f t="shared" si="128"/>
        <v>0</v>
      </c>
      <c r="CM58" s="268">
        <f t="shared" si="129"/>
        <v>0</v>
      </c>
      <c r="CN58" s="267">
        <f t="shared" si="130"/>
        <v>0</v>
      </c>
      <c r="CO58" s="65">
        <f t="shared" si="131"/>
        <v>0</v>
      </c>
      <c r="CP58" s="66">
        <f t="shared" si="132"/>
        <v>0</v>
      </c>
      <c r="CQ58" s="31">
        <f t="shared" si="72"/>
        <v>6.3928571428571432</v>
      </c>
      <c r="CR58" s="32">
        <f t="shared" si="73"/>
        <v>7</v>
      </c>
      <c r="CS58" s="33">
        <f t="shared" si="74"/>
        <v>0</v>
      </c>
      <c r="CT58" s="34">
        <f t="shared" si="75"/>
        <v>0</v>
      </c>
      <c r="CU58" s="67">
        <f t="shared" si="76"/>
        <v>3.1964285714285716</v>
      </c>
      <c r="CV58" s="35">
        <f t="shared" si="77"/>
        <v>7</v>
      </c>
      <c r="CW58" s="59">
        <f t="shared" si="78"/>
        <v>44</v>
      </c>
      <c r="CX58" s="43" t="str">
        <f t="shared" si="133"/>
        <v>مؤجل(ة)</v>
      </c>
      <c r="CY58" s="44"/>
      <c r="CZ58" s="50"/>
      <c r="DA58" s="46"/>
    </row>
    <row r="59" spans="2:105" ht="27.75" customHeight="1" thickBot="1">
      <c r="B59" s="1">
        <f t="shared" si="134"/>
        <v>10</v>
      </c>
      <c r="C59" s="323" t="s">
        <v>579</v>
      </c>
      <c r="D59" s="249" t="s">
        <v>580</v>
      </c>
      <c r="E59" s="47" t="s">
        <v>756</v>
      </c>
      <c r="F59" s="135"/>
      <c r="G59" s="136"/>
      <c r="H59" s="131">
        <v>11.51</v>
      </c>
      <c r="I59" s="132">
        <v>30</v>
      </c>
      <c r="J59" s="133">
        <v>10.19</v>
      </c>
      <c r="K59" s="134">
        <v>30</v>
      </c>
      <c r="L59" s="53">
        <f t="shared" si="79"/>
        <v>10.85</v>
      </c>
      <c r="M59" s="58">
        <f t="shared" si="80"/>
        <v>60</v>
      </c>
      <c r="N59" s="262">
        <v>13</v>
      </c>
      <c r="O59" s="263">
        <v>4</v>
      </c>
      <c r="P59" s="228">
        <f t="shared" si="81"/>
        <v>8.5</v>
      </c>
      <c r="Q59" s="229">
        <f t="shared" si="82"/>
        <v>0</v>
      </c>
      <c r="R59" s="262">
        <v>12</v>
      </c>
      <c r="S59" s="263">
        <v>6.5</v>
      </c>
      <c r="T59" s="228">
        <f t="shared" si="83"/>
        <v>9.25</v>
      </c>
      <c r="U59" s="229">
        <f t="shared" si="84"/>
        <v>0</v>
      </c>
      <c r="V59" s="262">
        <v>12.5</v>
      </c>
      <c r="W59" s="263">
        <v>3.5</v>
      </c>
      <c r="X59" s="228">
        <f t="shared" si="85"/>
        <v>8</v>
      </c>
      <c r="Y59" s="229">
        <f t="shared" si="86"/>
        <v>0</v>
      </c>
      <c r="Z59" s="232">
        <f t="shared" si="87"/>
        <v>8.5833333333333339</v>
      </c>
      <c r="AA59" s="233">
        <f t="shared" si="88"/>
        <v>0</v>
      </c>
      <c r="AB59" s="263">
        <v>12.5</v>
      </c>
      <c r="AC59" s="234">
        <f t="shared" si="89"/>
        <v>12.5</v>
      </c>
      <c r="AD59" s="235">
        <f t="shared" si="90"/>
        <v>1</v>
      </c>
      <c r="AE59" s="262">
        <v>1</v>
      </c>
      <c r="AF59" s="263">
        <v>1</v>
      </c>
      <c r="AG59" s="228">
        <f t="shared" si="91"/>
        <v>1</v>
      </c>
      <c r="AH59" s="229">
        <f t="shared" si="92"/>
        <v>0</v>
      </c>
      <c r="AI59" s="262">
        <v>5</v>
      </c>
      <c r="AJ59" s="263">
        <v>1.5</v>
      </c>
      <c r="AK59" s="228">
        <f t="shared" si="93"/>
        <v>3.25</v>
      </c>
      <c r="AL59" s="229">
        <f t="shared" si="94"/>
        <v>0</v>
      </c>
      <c r="AM59" s="236">
        <f t="shared" si="95"/>
        <v>4.2</v>
      </c>
      <c r="AN59" s="237">
        <f t="shared" si="96"/>
        <v>1</v>
      </c>
      <c r="AO59" s="262">
        <v>10</v>
      </c>
      <c r="AP59" s="263">
        <v>3</v>
      </c>
      <c r="AQ59" s="228">
        <f t="shared" si="97"/>
        <v>6.5</v>
      </c>
      <c r="AR59" s="229">
        <f t="shared" si="98"/>
        <v>0</v>
      </c>
      <c r="AS59" s="263">
        <v>7</v>
      </c>
      <c r="AT59" s="234">
        <f t="shared" si="99"/>
        <v>7</v>
      </c>
      <c r="AU59" s="238">
        <f t="shared" si="100"/>
        <v>0</v>
      </c>
      <c r="AV59" s="236">
        <f t="shared" si="101"/>
        <v>6.75</v>
      </c>
      <c r="AW59" s="237">
        <f t="shared" si="102"/>
        <v>0</v>
      </c>
      <c r="AX59" s="263">
        <v>16</v>
      </c>
      <c r="AY59" s="263">
        <v>10.5</v>
      </c>
      <c r="AZ59" s="228">
        <f t="shared" si="103"/>
        <v>13.25</v>
      </c>
      <c r="BA59" s="229">
        <f t="shared" si="104"/>
        <v>1</v>
      </c>
      <c r="BB59" s="236">
        <f t="shared" si="105"/>
        <v>13.25</v>
      </c>
      <c r="BC59" s="237">
        <f t="shared" si="106"/>
        <v>1</v>
      </c>
      <c r="BD59" s="239">
        <f t="shared" si="107"/>
        <v>7.0892857142857144</v>
      </c>
      <c r="BE59" s="240">
        <f t="shared" si="108"/>
        <v>2</v>
      </c>
      <c r="BF59" s="263"/>
      <c r="BG59" s="263"/>
      <c r="BH59" s="264">
        <f t="shared" si="109"/>
        <v>0</v>
      </c>
      <c r="BI59" s="265">
        <f t="shared" si="110"/>
        <v>0</v>
      </c>
      <c r="BJ59" s="263"/>
      <c r="BK59" s="263"/>
      <c r="BL59" s="264">
        <f t="shared" si="111"/>
        <v>0</v>
      </c>
      <c r="BM59" s="265">
        <f t="shared" si="112"/>
        <v>0</v>
      </c>
      <c r="BN59" s="263"/>
      <c r="BO59" s="263"/>
      <c r="BP59" s="264">
        <f t="shared" si="113"/>
        <v>0</v>
      </c>
      <c r="BQ59" s="265">
        <f t="shared" si="114"/>
        <v>0</v>
      </c>
      <c r="BR59" s="266">
        <f t="shared" si="115"/>
        <v>0</v>
      </c>
      <c r="BS59" s="267">
        <f t="shared" si="116"/>
        <v>0</v>
      </c>
      <c r="BT59" s="263"/>
      <c r="BU59" s="263"/>
      <c r="BV59" s="264">
        <f t="shared" si="117"/>
        <v>0</v>
      </c>
      <c r="BW59" s="265">
        <f t="shared" si="118"/>
        <v>0</v>
      </c>
      <c r="BX59" s="263"/>
      <c r="BY59" s="263"/>
      <c r="BZ59" s="264">
        <f t="shared" si="119"/>
        <v>0</v>
      </c>
      <c r="CA59" s="265">
        <f t="shared" si="120"/>
        <v>0</v>
      </c>
      <c r="CB59" s="268">
        <f t="shared" si="121"/>
        <v>0</v>
      </c>
      <c r="CC59" s="267">
        <f t="shared" si="122"/>
        <v>0</v>
      </c>
      <c r="CD59" s="263"/>
      <c r="CE59" s="263"/>
      <c r="CF59" s="264">
        <f t="shared" si="123"/>
        <v>0</v>
      </c>
      <c r="CG59" s="265">
        <f t="shared" si="124"/>
        <v>0</v>
      </c>
      <c r="CH59" s="268">
        <f t="shared" si="125"/>
        <v>0</v>
      </c>
      <c r="CI59" s="267">
        <f t="shared" si="126"/>
        <v>0</v>
      </c>
      <c r="CJ59" s="263"/>
      <c r="CK59" s="269">
        <f t="shared" si="127"/>
        <v>0</v>
      </c>
      <c r="CL59" s="270">
        <f t="shared" si="128"/>
        <v>0</v>
      </c>
      <c r="CM59" s="268">
        <f t="shared" si="129"/>
        <v>0</v>
      </c>
      <c r="CN59" s="267">
        <f t="shared" si="130"/>
        <v>0</v>
      </c>
      <c r="CO59" s="65">
        <f t="shared" si="131"/>
        <v>0</v>
      </c>
      <c r="CP59" s="66">
        <f t="shared" si="132"/>
        <v>0</v>
      </c>
      <c r="CQ59" s="31">
        <f t="shared" si="72"/>
        <v>7.0892857142857144</v>
      </c>
      <c r="CR59" s="32">
        <f t="shared" si="73"/>
        <v>2</v>
      </c>
      <c r="CS59" s="33">
        <f t="shared" si="74"/>
        <v>0</v>
      </c>
      <c r="CT59" s="34">
        <f t="shared" si="75"/>
        <v>0</v>
      </c>
      <c r="CU59" s="67">
        <f t="shared" si="76"/>
        <v>3.5446428571428572</v>
      </c>
      <c r="CV59" s="35">
        <f t="shared" si="77"/>
        <v>2</v>
      </c>
      <c r="CW59" s="59">
        <f t="shared" si="78"/>
        <v>62</v>
      </c>
      <c r="CX59" s="43" t="str">
        <f t="shared" si="133"/>
        <v>مؤجل(ة)</v>
      </c>
      <c r="CY59" s="44"/>
      <c r="CZ59" s="50"/>
      <c r="DA59" s="46"/>
    </row>
    <row r="60" spans="2:105" ht="27.75" customHeight="1" thickBot="1">
      <c r="B60" s="1">
        <f t="shared" si="134"/>
        <v>11</v>
      </c>
      <c r="C60" s="323" t="s">
        <v>581</v>
      </c>
      <c r="D60" s="249" t="s">
        <v>582</v>
      </c>
      <c r="E60" s="47" t="s">
        <v>794</v>
      </c>
      <c r="F60" s="135">
        <v>35943</v>
      </c>
      <c r="G60" s="136" t="s">
        <v>746</v>
      </c>
      <c r="H60" s="131">
        <v>10.210000000000001</v>
      </c>
      <c r="I60" s="132">
        <v>30</v>
      </c>
      <c r="J60" s="133">
        <v>8.42</v>
      </c>
      <c r="K60" s="134">
        <v>11</v>
      </c>
      <c r="L60" s="53">
        <f t="shared" si="79"/>
        <v>9.3150000000000013</v>
      </c>
      <c r="M60" s="58">
        <f t="shared" si="80"/>
        <v>41</v>
      </c>
      <c r="N60" s="262">
        <v>9</v>
      </c>
      <c r="O60" s="263">
        <v>4</v>
      </c>
      <c r="P60" s="228">
        <f t="shared" si="81"/>
        <v>6.5</v>
      </c>
      <c r="Q60" s="229">
        <f t="shared" si="82"/>
        <v>0</v>
      </c>
      <c r="R60" s="262"/>
      <c r="S60" s="263">
        <v>1.5</v>
      </c>
      <c r="T60" s="228">
        <f t="shared" si="83"/>
        <v>0.75</v>
      </c>
      <c r="U60" s="229">
        <f t="shared" si="84"/>
        <v>0</v>
      </c>
      <c r="V60" s="262"/>
      <c r="W60" s="263">
        <v>1.75</v>
      </c>
      <c r="X60" s="228">
        <f t="shared" si="85"/>
        <v>0.875</v>
      </c>
      <c r="Y60" s="229">
        <f t="shared" si="86"/>
        <v>0</v>
      </c>
      <c r="Z60" s="232">
        <f t="shared" si="87"/>
        <v>2.7083333333333335</v>
      </c>
      <c r="AA60" s="233">
        <f t="shared" si="88"/>
        <v>0</v>
      </c>
      <c r="AB60" s="263">
        <v>6</v>
      </c>
      <c r="AC60" s="234">
        <f t="shared" si="89"/>
        <v>6</v>
      </c>
      <c r="AD60" s="235">
        <f t="shared" si="90"/>
        <v>0</v>
      </c>
      <c r="AE60" s="262">
        <v>0</v>
      </c>
      <c r="AF60" s="263">
        <v>0</v>
      </c>
      <c r="AG60" s="228">
        <f t="shared" si="91"/>
        <v>0</v>
      </c>
      <c r="AH60" s="229">
        <f t="shared" si="92"/>
        <v>0</v>
      </c>
      <c r="AI60" s="262">
        <v>10</v>
      </c>
      <c r="AJ60" s="263">
        <v>0</v>
      </c>
      <c r="AK60" s="228">
        <f t="shared" si="93"/>
        <v>5</v>
      </c>
      <c r="AL60" s="229">
        <f t="shared" si="94"/>
        <v>0</v>
      </c>
      <c r="AM60" s="236">
        <f t="shared" si="95"/>
        <v>3.2</v>
      </c>
      <c r="AN60" s="237">
        <f t="shared" si="96"/>
        <v>0</v>
      </c>
      <c r="AO60" s="262"/>
      <c r="AP60" s="263">
        <v>1</v>
      </c>
      <c r="AQ60" s="228">
        <f t="shared" si="97"/>
        <v>0.5</v>
      </c>
      <c r="AR60" s="229">
        <f t="shared" si="98"/>
        <v>0</v>
      </c>
      <c r="AS60" s="263">
        <v>0</v>
      </c>
      <c r="AT60" s="234">
        <f t="shared" si="99"/>
        <v>0</v>
      </c>
      <c r="AU60" s="238">
        <f t="shared" si="100"/>
        <v>0</v>
      </c>
      <c r="AV60" s="236">
        <f t="shared" si="101"/>
        <v>0.25</v>
      </c>
      <c r="AW60" s="237">
        <f t="shared" si="102"/>
        <v>0</v>
      </c>
      <c r="AX60" s="263"/>
      <c r="AY60" s="263">
        <v>8</v>
      </c>
      <c r="AZ60" s="228">
        <f t="shared" si="103"/>
        <v>4</v>
      </c>
      <c r="BA60" s="229">
        <f t="shared" si="104"/>
        <v>0</v>
      </c>
      <c r="BB60" s="236">
        <f t="shared" si="105"/>
        <v>4</v>
      </c>
      <c r="BC60" s="237">
        <f t="shared" si="106"/>
        <v>0</v>
      </c>
      <c r="BD60" s="239">
        <f t="shared" si="107"/>
        <v>2.625</v>
      </c>
      <c r="BE60" s="240">
        <f t="shared" si="108"/>
        <v>0</v>
      </c>
      <c r="BF60" s="263"/>
      <c r="BG60" s="263"/>
      <c r="BH60" s="264">
        <f t="shared" si="109"/>
        <v>0</v>
      </c>
      <c r="BI60" s="265">
        <f t="shared" si="110"/>
        <v>0</v>
      </c>
      <c r="BJ60" s="263"/>
      <c r="BK60" s="263"/>
      <c r="BL60" s="264">
        <f t="shared" si="111"/>
        <v>0</v>
      </c>
      <c r="BM60" s="265">
        <f t="shared" si="112"/>
        <v>0</v>
      </c>
      <c r="BN60" s="263"/>
      <c r="BO60" s="263"/>
      <c r="BP60" s="264">
        <f t="shared" si="113"/>
        <v>0</v>
      </c>
      <c r="BQ60" s="265">
        <f t="shared" si="114"/>
        <v>0</v>
      </c>
      <c r="BR60" s="266">
        <f t="shared" si="115"/>
        <v>0</v>
      </c>
      <c r="BS60" s="267">
        <f t="shared" si="116"/>
        <v>0</v>
      </c>
      <c r="BT60" s="263"/>
      <c r="BU60" s="263"/>
      <c r="BV60" s="264">
        <f t="shared" si="117"/>
        <v>0</v>
      </c>
      <c r="BW60" s="265">
        <f t="shared" si="118"/>
        <v>0</v>
      </c>
      <c r="BX60" s="263"/>
      <c r="BY60" s="263"/>
      <c r="BZ60" s="264">
        <f t="shared" si="119"/>
        <v>0</v>
      </c>
      <c r="CA60" s="265">
        <f t="shared" si="120"/>
        <v>0</v>
      </c>
      <c r="CB60" s="268">
        <f t="shared" si="121"/>
        <v>0</v>
      </c>
      <c r="CC60" s="267">
        <f t="shared" si="122"/>
        <v>0</v>
      </c>
      <c r="CD60" s="263"/>
      <c r="CE60" s="263"/>
      <c r="CF60" s="264">
        <f t="shared" si="123"/>
        <v>0</v>
      </c>
      <c r="CG60" s="265">
        <f t="shared" si="124"/>
        <v>0</v>
      </c>
      <c r="CH60" s="268">
        <f t="shared" si="125"/>
        <v>0</v>
      </c>
      <c r="CI60" s="267">
        <f t="shared" si="126"/>
        <v>0</v>
      </c>
      <c r="CJ60" s="263"/>
      <c r="CK60" s="269">
        <f t="shared" si="127"/>
        <v>0</v>
      </c>
      <c r="CL60" s="270">
        <f t="shared" si="128"/>
        <v>0</v>
      </c>
      <c r="CM60" s="268">
        <f t="shared" si="129"/>
        <v>0</v>
      </c>
      <c r="CN60" s="267">
        <f t="shared" si="130"/>
        <v>0</v>
      </c>
      <c r="CO60" s="65">
        <f t="shared" si="131"/>
        <v>0</v>
      </c>
      <c r="CP60" s="66">
        <f t="shared" si="132"/>
        <v>0</v>
      </c>
      <c r="CQ60" s="31">
        <f t="shared" si="72"/>
        <v>2.625</v>
      </c>
      <c r="CR60" s="32">
        <f t="shared" si="73"/>
        <v>0</v>
      </c>
      <c r="CS60" s="33">
        <f t="shared" si="74"/>
        <v>0</v>
      </c>
      <c r="CT60" s="34">
        <f t="shared" si="75"/>
        <v>0</v>
      </c>
      <c r="CU60" s="67">
        <f t="shared" si="76"/>
        <v>1.3125</v>
      </c>
      <c r="CV60" s="35">
        <f t="shared" si="77"/>
        <v>0</v>
      </c>
      <c r="CW60" s="59">
        <f t="shared" si="78"/>
        <v>41</v>
      </c>
      <c r="CX60" s="43" t="str">
        <f t="shared" si="133"/>
        <v>مؤجل(ة)</v>
      </c>
      <c r="CY60" s="44"/>
      <c r="CZ60" s="51"/>
      <c r="DA60" s="46"/>
    </row>
    <row r="61" spans="2:105" ht="27.75" customHeight="1" thickBot="1">
      <c r="B61" s="1">
        <f t="shared" si="134"/>
        <v>12</v>
      </c>
      <c r="C61" s="324" t="s">
        <v>583</v>
      </c>
      <c r="D61" s="249" t="s">
        <v>584</v>
      </c>
      <c r="E61" s="47" t="s">
        <v>757</v>
      </c>
      <c r="F61" s="135"/>
      <c r="G61" s="52"/>
      <c r="H61" s="131">
        <v>9</v>
      </c>
      <c r="I61" s="132">
        <v>21</v>
      </c>
      <c r="J61" s="133">
        <v>9.23</v>
      </c>
      <c r="K61" s="134">
        <v>16</v>
      </c>
      <c r="L61" s="53">
        <f t="shared" si="79"/>
        <v>9.1150000000000002</v>
      </c>
      <c r="M61" s="58">
        <f t="shared" si="80"/>
        <v>37</v>
      </c>
      <c r="N61" s="262">
        <v>16</v>
      </c>
      <c r="O61" s="263">
        <v>13</v>
      </c>
      <c r="P61" s="228">
        <f t="shared" si="81"/>
        <v>14.5</v>
      </c>
      <c r="Q61" s="229">
        <f t="shared" si="82"/>
        <v>5</v>
      </c>
      <c r="R61" s="262">
        <v>12</v>
      </c>
      <c r="S61" s="263">
        <v>12.5</v>
      </c>
      <c r="T61" s="228">
        <f t="shared" si="83"/>
        <v>12.25</v>
      </c>
      <c r="U61" s="229">
        <f t="shared" si="84"/>
        <v>6</v>
      </c>
      <c r="V61" s="262">
        <v>16</v>
      </c>
      <c r="W61" s="263">
        <v>8.25</v>
      </c>
      <c r="X61" s="228">
        <f t="shared" si="85"/>
        <v>12.125</v>
      </c>
      <c r="Y61" s="229">
        <f t="shared" si="86"/>
        <v>6</v>
      </c>
      <c r="Z61" s="232">
        <f t="shared" si="87"/>
        <v>12.958333333333334</v>
      </c>
      <c r="AA61" s="233">
        <f t="shared" si="88"/>
        <v>17</v>
      </c>
      <c r="AB61" s="263">
        <v>10</v>
      </c>
      <c r="AC61" s="234">
        <f t="shared" si="89"/>
        <v>10</v>
      </c>
      <c r="AD61" s="235">
        <f t="shared" si="90"/>
        <v>1</v>
      </c>
      <c r="AE61" s="262">
        <v>3.5</v>
      </c>
      <c r="AF61" s="263">
        <v>3.5</v>
      </c>
      <c r="AG61" s="228">
        <f t="shared" si="91"/>
        <v>3.5</v>
      </c>
      <c r="AH61" s="229">
        <f t="shared" si="92"/>
        <v>0</v>
      </c>
      <c r="AI61" s="262">
        <v>14</v>
      </c>
      <c r="AJ61" s="263">
        <v>1.5</v>
      </c>
      <c r="AK61" s="228">
        <f t="shared" si="93"/>
        <v>7.75</v>
      </c>
      <c r="AL61" s="229">
        <f t="shared" si="94"/>
        <v>0</v>
      </c>
      <c r="AM61" s="236">
        <f t="shared" si="95"/>
        <v>6.5</v>
      </c>
      <c r="AN61" s="237">
        <f t="shared" si="96"/>
        <v>1</v>
      </c>
      <c r="AO61" s="262">
        <v>11.5</v>
      </c>
      <c r="AP61" s="263">
        <v>3</v>
      </c>
      <c r="AQ61" s="228">
        <f t="shared" si="97"/>
        <v>7.25</v>
      </c>
      <c r="AR61" s="229">
        <f t="shared" si="98"/>
        <v>0</v>
      </c>
      <c r="AS61" s="263">
        <v>7.5</v>
      </c>
      <c r="AT61" s="234">
        <f t="shared" si="99"/>
        <v>7.5</v>
      </c>
      <c r="AU61" s="238">
        <f t="shared" si="100"/>
        <v>0</v>
      </c>
      <c r="AV61" s="236">
        <f t="shared" si="101"/>
        <v>7.375</v>
      </c>
      <c r="AW61" s="237">
        <f t="shared" si="102"/>
        <v>0</v>
      </c>
      <c r="AX61" s="263">
        <v>14.5</v>
      </c>
      <c r="AY61" s="263">
        <v>8</v>
      </c>
      <c r="AZ61" s="228">
        <f t="shared" si="103"/>
        <v>11.25</v>
      </c>
      <c r="BA61" s="229">
        <f t="shared" si="104"/>
        <v>1</v>
      </c>
      <c r="BB61" s="236">
        <f t="shared" si="105"/>
        <v>11.25</v>
      </c>
      <c r="BC61" s="237">
        <f t="shared" si="106"/>
        <v>1</v>
      </c>
      <c r="BD61" s="239">
        <f t="shared" si="107"/>
        <v>9.7321428571428577</v>
      </c>
      <c r="BE61" s="240">
        <f t="shared" si="108"/>
        <v>19</v>
      </c>
      <c r="BF61" s="263"/>
      <c r="BG61" s="263"/>
      <c r="BH61" s="264">
        <f t="shared" si="109"/>
        <v>0</v>
      </c>
      <c r="BI61" s="265">
        <f t="shared" si="110"/>
        <v>0</v>
      </c>
      <c r="BJ61" s="263"/>
      <c r="BK61" s="263"/>
      <c r="BL61" s="264">
        <f t="shared" si="111"/>
        <v>0</v>
      </c>
      <c r="BM61" s="265">
        <f t="shared" si="112"/>
        <v>0</v>
      </c>
      <c r="BN61" s="263"/>
      <c r="BO61" s="263"/>
      <c r="BP61" s="264">
        <f t="shared" si="113"/>
        <v>0</v>
      </c>
      <c r="BQ61" s="265">
        <f t="shared" si="114"/>
        <v>0</v>
      </c>
      <c r="BR61" s="266">
        <f t="shared" si="115"/>
        <v>0</v>
      </c>
      <c r="BS61" s="267">
        <f t="shared" si="116"/>
        <v>0</v>
      </c>
      <c r="BT61" s="263"/>
      <c r="BU61" s="263"/>
      <c r="BV61" s="264">
        <f t="shared" si="117"/>
        <v>0</v>
      </c>
      <c r="BW61" s="265">
        <f t="shared" si="118"/>
        <v>0</v>
      </c>
      <c r="BX61" s="263"/>
      <c r="BY61" s="263"/>
      <c r="BZ61" s="264">
        <f t="shared" si="119"/>
        <v>0</v>
      </c>
      <c r="CA61" s="265">
        <f t="shared" si="120"/>
        <v>0</v>
      </c>
      <c r="CB61" s="268">
        <f t="shared" si="121"/>
        <v>0</v>
      </c>
      <c r="CC61" s="267">
        <f t="shared" si="122"/>
        <v>0</v>
      </c>
      <c r="CD61" s="263"/>
      <c r="CE61" s="263"/>
      <c r="CF61" s="264">
        <f t="shared" si="123"/>
        <v>0</v>
      </c>
      <c r="CG61" s="265">
        <f t="shared" si="124"/>
        <v>0</v>
      </c>
      <c r="CH61" s="268">
        <f t="shared" si="125"/>
        <v>0</v>
      </c>
      <c r="CI61" s="267">
        <f t="shared" si="126"/>
        <v>0</v>
      </c>
      <c r="CJ61" s="263"/>
      <c r="CK61" s="269">
        <f t="shared" si="127"/>
        <v>0</v>
      </c>
      <c r="CL61" s="270">
        <f t="shared" si="128"/>
        <v>0</v>
      </c>
      <c r="CM61" s="268">
        <f t="shared" si="129"/>
        <v>0</v>
      </c>
      <c r="CN61" s="267">
        <f t="shared" si="130"/>
        <v>0</v>
      </c>
      <c r="CO61" s="65">
        <f t="shared" si="131"/>
        <v>0</v>
      </c>
      <c r="CP61" s="66">
        <f t="shared" si="132"/>
        <v>0</v>
      </c>
      <c r="CQ61" s="31">
        <f t="shared" si="72"/>
        <v>9.7321428571428577</v>
      </c>
      <c r="CR61" s="32">
        <f t="shared" si="73"/>
        <v>19</v>
      </c>
      <c r="CS61" s="33">
        <f t="shared" si="74"/>
        <v>0</v>
      </c>
      <c r="CT61" s="34">
        <f t="shared" si="75"/>
        <v>0</v>
      </c>
      <c r="CU61" s="67">
        <f t="shared" si="76"/>
        <v>4.8660714285714288</v>
      </c>
      <c r="CV61" s="35">
        <f t="shared" si="77"/>
        <v>19</v>
      </c>
      <c r="CW61" s="59">
        <f t="shared" si="78"/>
        <v>56</v>
      </c>
      <c r="CX61" s="43" t="str">
        <f t="shared" si="133"/>
        <v>مؤجل(ة)</v>
      </c>
      <c r="CY61" s="44"/>
      <c r="CZ61" s="50"/>
      <c r="DA61" s="46"/>
    </row>
    <row r="62" spans="2:105" ht="27.75" customHeight="1" thickBot="1">
      <c r="B62" s="1">
        <f t="shared" si="134"/>
        <v>13</v>
      </c>
      <c r="C62" s="323" t="s">
        <v>585</v>
      </c>
      <c r="D62" s="249" t="s">
        <v>586</v>
      </c>
      <c r="E62" s="47" t="s">
        <v>758</v>
      </c>
      <c r="F62" s="135"/>
      <c r="G62" s="136"/>
      <c r="H62" s="131">
        <v>9.36</v>
      </c>
      <c r="I62" s="132">
        <v>21</v>
      </c>
      <c r="J62" s="133">
        <v>8.81</v>
      </c>
      <c r="K62" s="134">
        <v>13</v>
      </c>
      <c r="L62" s="53">
        <f t="shared" si="79"/>
        <v>9.0850000000000009</v>
      </c>
      <c r="M62" s="58">
        <f t="shared" si="80"/>
        <v>34</v>
      </c>
      <c r="N62" s="262">
        <v>10</v>
      </c>
      <c r="O62" s="263">
        <v>5</v>
      </c>
      <c r="P62" s="228">
        <f t="shared" si="81"/>
        <v>7.5</v>
      </c>
      <c r="Q62" s="229">
        <f t="shared" si="82"/>
        <v>0</v>
      </c>
      <c r="R62" s="262">
        <v>13</v>
      </c>
      <c r="S62" s="263">
        <v>3</v>
      </c>
      <c r="T62" s="228">
        <f t="shared" si="83"/>
        <v>8</v>
      </c>
      <c r="U62" s="229">
        <f t="shared" si="84"/>
        <v>0</v>
      </c>
      <c r="V62" s="262">
        <v>17</v>
      </c>
      <c r="W62" s="263">
        <v>3</v>
      </c>
      <c r="X62" s="228">
        <f t="shared" si="85"/>
        <v>10</v>
      </c>
      <c r="Y62" s="229">
        <f t="shared" si="86"/>
        <v>6</v>
      </c>
      <c r="Z62" s="232">
        <f t="shared" si="87"/>
        <v>8.5</v>
      </c>
      <c r="AA62" s="233">
        <f t="shared" si="88"/>
        <v>6</v>
      </c>
      <c r="AB62" s="263">
        <v>5</v>
      </c>
      <c r="AC62" s="234">
        <f t="shared" si="89"/>
        <v>5</v>
      </c>
      <c r="AD62" s="235">
        <f t="shared" si="90"/>
        <v>0</v>
      </c>
      <c r="AE62" s="262">
        <v>5.5</v>
      </c>
      <c r="AF62" s="263">
        <v>5.5</v>
      </c>
      <c r="AG62" s="228">
        <f t="shared" si="91"/>
        <v>5.5</v>
      </c>
      <c r="AH62" s="229">
        <f t="shared" si="92"/>
        <v>0</v>
      </c>
      <c r="AI62" s="262">
        <v>10</v>
      </c>
      <c r="AJ62" s="263">
        <v>0</v>
      </c>
      <c r="AK62" s="228">
        <f t="shared" si="93"/>
        <v>5</v>
      </c>
      <c r="AL62" s="229">
        <f t="shared" si="94"/>
        <v>0</v>
      </c>
      <c r="AM62" s="236">
        <f t="shared" si="95"/>
        <v>5.2</v>
      </c>
      <c r="AN62" s="237">
        <f t="shared" si="96"/>
        <v>0</v>
      </c>
      <c r="AO62" s="262">
        <v>11.5</v>
      </c>
      <c r="AP62" s="263">
        <v>3</v>
      </c>
      <c r="AQ62" s="228">
        <f t="shared" si="97"/>
        <v>7.25</v>
      </c>
      <c r="AR62" s="229">
        <f t="shared" si="98"/>
        <v>0</v>
      </c>
      <c r="AS62" s="263">
        <v>9</v>
      </c>
      <c r="AT62" s="234">
        <f t="shared" si="99"/>
        <v>9</v>
      </c>
      <c r="AU62" s="238">
        <f t="shared" si="100"/>
        <v>0</v>
      </c>
      <c r="AV62" s="236">
        <f t="shared" si="101"/>
        <v>8.125</v>
      </c>
      <c r="AW62" s="237">
        <f t="shared" si="102"/>
        <v>0</v>
      </c>
      <c r="AX62" s="263">
        <v>15.5</v>
      </c>
      <c r="AY62" s="263">
        <v>6</v>
      </c>
      <c r="AZ62" s="228">
        <f t="shared" si="103"/>
        <v>10.75</v>
      </c>
      <c r="BA62" s="229">
        <f t="shared" si="104"/>
        <v>1</v>
      </c>
      <c r="BB62" s="236">
        <f t="shared" si="105"/>
        <v>10.75</v>
      </c>
      <c r="BC62" s="237">
        <f t="shared" si="106"/>
        <v>1</v>
      </c>
      <c r="BD62" s="239">
        <f t="shared" si="107"/>
        <v>7.4285714285714288</v>
      </c>
      <c r="BE62" s="240">
        <f t="shared" si="108"/>
        <v>7</v>
      </c>
      <c r="BF62" s="263"/>
      <c r="BG62" s="263"/>
      <c r="BH62" s="264">
        <f t="shared" si="109"/>
        <v>0</v>
      </c>
      <c r="BI62" s="265">
        <f t="shared" si="110"/>
        <v>0</v>
      </c>
      <c r="BJ62" s="263"/>
      <c r="BK62" s="263"/>
      <c r="BL62" s="264">
        <f t="shared" si="111"/>
        <v>0</v>
      </c>
      <c r="BM62" s="265">
        <f t="shared" si="112"/>
        <v>0</v>
      </c>
      <c r="BN62" s="263"/>
      <c r="BO62" s="263"/>
      <c r="BP62" s="264">
        <f t="shared" si="113"/>
        <v>0</v>
      </c>
      <c r="BQ62" s="265">
        <f t="shared" si="114"/>
        <v>0</v>
      </c>
      <c r="BR62" s="266">
        <f t="shared" si="115"/>
        <v>0</v>
      </c>
      <c r="BS62" s="267">
        <f t="shared" si="116"/>
        <v>0</v>
      </c>
      <c r="BT62" s="263"/>
      <c r="BU62" s="263"/>
      <c r="BV62" s="264">
        <f t="shared" si="117"/>
        <v>0</v>
      </c>
      <c r="BW62" s="265">
        <f t="shared" si="118"/>
        <v>0</v>
      </c>
      <c r="BX62" s="263"/>
      <c r="BY62" s="263"/>
      <c r="BZ62" s="264">
        <f t="shared" si="119"/>
        <v>0</v>
      </c>
      <c r="CA62" s="265">
        <f t="shared" si="120"/>
        <v>0</v>
      </c>
      <c r="CB62" s="268">
        <f t="shared" si="121"/>
        <v>0</v>
      </c>
      <c r="CC62" s="267">
        <f t="shared" si="122"/>
        <v>0</v>
      </c>
      <c r="CD62" s="263"/>
      <c r="CE62" s="263"/>
      <c r="CF62" s="264">
        <f t="shared" si="123"/>
        <v>0</v>
      </c>
      <c r="CG62" s="265">
        <f t="shared" si="124"/>
        <v>0</v>
      </c>
      <c r="CH62" s="268">
        <f t="shared" si="125"/>
        <v>0</v>
      </c>
      <c r="CI62" s="267">
        <f t="shared" si="126"/>
        <v>0</v>
      </c>
      <c r="CJ62" s="263"/>
      <c r="CK62" s="269">
        <f t="shared" si="127"/>
        <v>0</v>
      </c>
      <c r="CL62" s="270">
        <f t="shared" si="128"/>
        <v>0</v>
      </c>
      <c r="CM62" s="268">
        <f t="shared" si="129"/>
        <v>0</v>
      </c>
      <c r="CN62" s="267">
        <f t="shared" si="130"/>
        <v>0</v>
      </c>
      <c r="CO62" s="65">
        <f t="shared" si="131"/>
        <v>0</v>
      </c>
      <c r="CP62" s="66">
        <f t="shared" si="132"/>
        <v>0</v>
      </c>
      <c r="CQ62" s="31">
        <f t="shared" si="72"/>
        <v>7.4285714285714288</v>
      </c>
      <c r="CR62" s="32">
        <f t="shared" si="73"/>
        <v>7</v>
      </c>
      <c r="CS62" s="33">
        <f t="shared" si="74"/>
        <v>0</v>
      </c>
      <c r="CT62" s="34">
        <f t="shared" si="75"/>
        <v>0</v>
      </c>
      <c r="CU62" s="67">
        <f t="shared" si="76"/>
        <v>3.7142857142857144</v>
      </c>
      <c r="CV62" s="35">
        <f t="shared" si="77"/>
        <v>7</v>
      </c>
      <c r="CW62" s="59">
        <f t="shared" si="78"/>
        <v>41</v>
      </c>
      <c r="CX62" s="43" t="str">
        <f t="shared" si="133"/>
        <v>مؤجل(ة)</v>
      </c>
      <c r="CY62" s="44"/>
      <c r="CZ62" s="50"/>
      <c r="DA62" s="46"/>
    </row>
    <row r="63" spans="2:105" ht="27.75" customHeight="1" thickBot="1">
      <c r="B63" s="1">
        <f t="shared" si="134"/>
        <v>14</v>
      </c>
      <c r="C63" s="323" t="s">
        <v>587</v>
      </c>
      <c r="D63" s="249" t="s">
        <v>588</v>
      </c>
      <c r="E63" s="47" t="s">
        <v>760</v>
      </c>
      <c r="F63" s="135"/>
      <c r="G63" s="136"/>
      <c r="H63" s="131">
        <v>9.7100000000000009</v>
      </c>
      <c r="I63" s="132">
        <v>16</v>
      </c>
      <c r="J63" s="133">
        <v>9.0500000000000007</v>
      </c>
      <c r="K63" s="134">
        <v>16</v>
      </c>
      <c r="L63" s="53">
        <f t="shared" si="79"/>
        <v>9.3800000000000008</v>
      </c>
      <c r="M63" s="58">
        <f t="shared" si="80"/>
        <v>32</v>
      </c>
      <c r="N63" s="262">
        <v>16</v>
      </c>
      <c r="O63" s="263">
        <v>9</v>
      </c>
      <c r="P63" s="228">
        <f t="shared" si="81"/>
        <v>12.5</v>
      </c>
      <c r="Q63" s="229">
        <f t="shared" si="82"/>
        <v>5</v>
      </c>
      <c r="R63" s="262">
        <v>13</v>
      </c>
      <c r="S63" s="263"/>
      <c r="T63" s="228">
        <f t="shared" si="83"/>
        <v>6.5</v>
      </c>
      <c r="U63" s="229">
        <f t="shared" si="84"/>
        <v>0</v>
      </c>
      <c r="V63" s="262">
        <v>16.5</v>
      </c>
      <c r="W63" s="263">
        <v>6</v>
      </c>
      <c r="X63" s="228">
        <f t="shared" si="85"/>
        <v>11.25</v>
      </c>
      <c r="Y63" s="229">
        <f t="shared" si="86"/>
        <v>6</v>
      </c>
      <c r="Z63" s="232">
        <f t="shared" si="87"/>
        <v>10.083333333333334</v>
      </c>
      <c r="AA63" s="233">
        <f t="shared" si="88"/>
        <v>17</v>
      </c>
      <c r="AB63" s="263">
        <v>6.5</v>
      </c>
      <c r="AC63" s="234">
        <f t="shared" si="89"/>
        <v>6.5</v>
      </c>
      <c r="AD63" s="235">
        <f t="shared" si="90"/>
        <v>0</v>
      </c>
      <c r="AE63" s="262">
        <v>6.5</v>
      </c>
      <c r="AF63" s="263">
        <v>6.5</v>
      </c>
      <c r="AG63" s="228">
        <f t="shared" si="91"/>
        <v>6.5</v>
      </c>
      <c r="AH63" s="229">
        <f t="shared" si="92"/>
        <v>0</v>
      </c>
      <c r="AI63" s="262">
        <v>10</v>
      </c>
      <c r="AJ63" s="263">
        <v>3</v>
      </c>
      <c r="AK63" s="228">
        <f t="shared" si="93"/>
        <v>6.5</v>
      </c>
      <c r="AL63" s="229">
        <f t="shared" si="94"/>
        <v>0</v>
      </c>
      <c r="AM63" s="236">
        <f t="shared" si="95"/>
        <v>6.5</v>
      </c>
      <c r="AN63" s="237">
        <f t="shared" si="96"/>
        <v>0</v>
      </c>
      <c r="AO63" s="262"/>
      <c r="AP63" s="263">
        <v>4</v>
      </c>
      <c r="AQ63" s="228">
        <f t="shared" si="97"/>
        <v>2</v>
      </c>
      <c r="AR63" s="229">
        <f t="shared" si="98"/>
        <v>0</v>
      </c>
      <c r="AS63" s="263">
        <v>4.5</v>
      </c>
      <c r="AT63" s="234">
        <f t="shared" si="99"/>
        <v>4.5</v>
      </c>
      <c r="AU63" s="238">
        <f t="shared" si="100"/>
        <v>0</v>
      </c>
      <c r="AV63" s="236">
        <f t="shared" si="101"/>
        <v>3.25</v>
      </c>
      <c r="AW63" s="237">
        <f t="shared" si="102"/>
        <v>0</v>
      </c>
      <c r="AX63" s="263">
        <v>15</v>
      </c>
      <c r="AY63" s="263">
        <v>6</v>
      </c>
      <c r="AZ63" s="228">
        <f t="shared" si="103"/>
        <v>10.5</v>
      </c>
      <c r="BA63" s="229">
        <f t="shared" si="104"/>
        <v>1</v>
      </c>
      <c r="BB63" s="236">
        <f t="shared" si="105"/>
        <v>10.5</v>
      </c>
      <c r="BC63" s="237">
        <f t="shared" si="106"/>
        <v>1</v>
      </c>
      <c r="BD63" s="239">
        <f t="shared" si="107"/>
        <v>7.8571428571428568</v>
      </c>
      <c r="BE63" s="240">
        <f t="shared" si="108"/>
        <v>18</v>
      </c>
      <c r="BF63" s="263"/>
      <c r="BG63" s="263"/>
      <c r="BH63" s="264">
        <f t="shared" si="109"/>
        <v>0</v>
      </c>
      <c r="BI63" s="265">
        <f t="shared" si="110"/>
        <v>0</v>
      </c>
      <c r="BJ63" s="263"/>
      <c r="BK63" s="263"/>
      <c r="BL63" s="264">
        <f t="shared" si="111"/>
        <v>0</v>
      </c>
      <c r="BM63" s="265">
        <f t="shared" si="112"/>
        <v>0</v>
      </c>
      <c r="BN63" s="263"/>
      <c r="BO63" s="263"/>
      <c r="BP63" s="264">
        <f t="shared" si="113"/>
        <v>0</v>
      </c>
      <c r="BQ63" s="265">
        <f t="shared" si="114"/>
        <v>0</v>
      </c>
      <c r="BR63" s="266">
        <f t="shared" si="115"/>
        <v>0</v>
      </c>
      <c r="BS63" s="267">
        <f t="shared" si="116"/>
        <v>0</v>
      </c>
      <c r="BT63" s="263"/>
      <c r="BU63" s="263"/>
      <c r="BV63" s="264">
        <f t="shared" si="117"/>
        <v>0</v>
      </c>
      <c r="BW63" s="265">
        <f t="shared" si="118"/>
        <v>0</v>
      </c>
      <c r="BX63" s="263"/>
      <c r="BY63" s="263"/>
      <c r="BZ63" s="264">
        <f t="shared" si="119"/>
        <v>0</v>
      </c>
      <c r="CA63" s="265">
        <f t="shared" si="120"/>
        <v>0</v>
      </c>
      <c r="CB63" s="268">
        <f t="shared" si="121"/>
        <v>0</v>
      </c>
      <c r="CC63" s="267">
        <f t="shared" si="122"/>
        <v>0</v>
      </c>
      <c r="CD63" s="263"/>
      <c r="CE63" s="263"/>
      <c r="CF63" s="264">
        <f t="shared" si="123"/>
        <v>0</v>
      </c>
      <c r="CG63" s="265">
        <f t="shared" si="124"/>
        <v>0</v>
      </c>
      <c r="CH63" s="268">
        <f t="shared" si="125"/>
        <v>0</v>
      </c>
      <c r="CI63" s="267">
        <f t="shared" si="126"/>
        <v>0</v>
      </c>
      <c r="CJ63" s="263"/>
      <c r="CK63" s="269">
        <f t="shared" si="127"/>
        <v>0</v>
      </c>
      <c r="CL63" s="270">
        <f t="shared" si="128"/>
        <v>0</v>
      </c>
      <c r="CM63" s="268">
        <f t="shared" si="129"/>
        <v>0</v>
      </c>
      <c r="CN63" s="267">
        <f t="shared" si="130"/>
        <v>0</v>
      </c>
      <c r="CO63" s="65">
        <f t="shared" si="131"/>
        <v>0</v>
      </c>
      <c r="CP63" s="66">
        <f t="shared" si="132"/>
        <v>0</v>
      </c>
      <c r="CQ63" s="31">
        <f t="shared" si="72"/>
        <v>7.8571428571428568</v>
      </c>
      <c r="CR63" s="32">
        <f t="shared" si="73"/>
        <v>18</v>
      </c>
      <c r="CS63" s="33">
        <f t="shared" si="74"/>
        <v>0</v>
      </c>
      <c r="CT63" s="34">
        <f t="shared" si="75"/>
        <v>0</v>
      </c>
      <c r="CU63" s="67">
        <f t="shared" si="76"/>
        <v>3.9285714285714284</v>
      </c>
      <c r="CV63" s="35">
        <f t="shared" si="77"/>
        <v>18</v>
      </c>
      <c r="CW63" s="59">
        <f t="shared" si="78"/>
        <v>50</v>
      </c>
      <c r="CX63" s="43" t="str">
        <f t="shared" si="133"/>
        <v>مؤجل(ة)</v>
      </c>
      <c r="CY63" s="44"/>
      <c r="CZ63" s="50"/>
      <c r="DA63" s="46"/>
    </row>
    <row r="64" spans="2:105" ht="27.75" customHeight="1" thickBot="1">
      <c r="B64" s="1">
        <f t="shared" si="134"/>
        <v>15</v>
      </c>
      <c r="C64" s="323" t="s">
        <v>589</v>
      </c>
      <c r="D64" s="249" t="s">
        <v>590</v>
      </c>
      <c r="E64" s="47" t="s">
        <v>786</v>
      </c>
      <c r="F64" s="135">
        <v>34334</v>
      </c>
      <c r="G64" s="136" t="s">
        <v>746</v>
      </c>
      <c r="H64" s="131">
        <v>8.6300000000000008</v>
      </c>
      <c r="I64" s="132">
        <v>19</v>
      </c>
      <c r="J64" s="133">
        <v>7.58</v>
      </c>
      <c r="K64" s="134">
        <v>11</v>
      </c>
      <c r="L64" s="53">
        <f t="shared" si="79"/>
        <v>8.1050000000000004</v>
      </c>
      <c r="M64" s="58">
        <f t="shared" si="80"/>
        <v>30</v>
      </c>
      <c r="N64" s="262">
        <v>11</v>
      </c>
      <c r="O64" s="263">
        <v>11</v>
      </c>
      <c r="P64" s="228">
        <f t="shared" si="81"/>
        <v>11</v>
      </c>
      <c r="Q64" s="229">
        <f t="shared" si="82"/>
        <v>5</v>
      </c>
      <c r="R64" s="262">
        <v>8.1300000000000008</v>
      </c>
      <c r="S64" s="263">
        <v>8.1300000000000008</v>
      </c>
      <c r="T64" s="228">
        <f t="shared" si="83"/>
        <v>8.1300000000000008</v>
      </c>
      <c r="U64" s="229">
        <f t="shared" si="84"/>
        <v>0</v>
      </c>
      <c r="V64" s="262">
        <v>11.5</v>
      </c>
      <c r="W64" s="263">
        <v>11.5</v>
      </c>
      <c r="X64" s="228">
        <f t="shared" si="85"/>
        <v>11.5</v>
      </c>
      <c r="Y64" s="229">
        <f t="shared" si="86"/>
        <v>6</v>
      </c>
      <c r="Z64" s="232">
        <f t="shared" si="87"/>
        <v>10.210000000000001</v>
      </c>
      <c r="AA64" s="233">
        <f t="shared" si="88"/>
        <v>17</v>
      </c>
      <c r="AB64" s="263">
        <v>5</v>
      </c>
      <c r="AC64" s="234">
        <f t="shared" si="89"/>
        <v>5</v>
      </c>
      <c r="AD64" s="235">
        <f t="shared" si="90"/>
        <v>0</v>
      </c>
      <c r="AE64" s="262">
        <v>6.5</v>
      </c>
      <c r="AF64" s="263">
        <v>6.5</v>
      </c>
      <c r="AG64" s="228">
        <f t="shared" si="91"/>
        <v>6.5</v>
      </c>
      <c r="AH64" s="229">
        <f t="shared" si="92"/>
        <v>0</v>
      </c>
      <c r="AI64" s="262">
        <v>10</v>
      </c>
      <c r="AJ64" s="263">
        <v>1.5</v>
      </c>
      <c r="AK64" s="228">
        <f t="shared" si="93"/>
        <v>5.75</v>
      </c>
      <c r="AL64" s="229">
        <f t="shared" si="94"/>
        <v>0</v>
      </c>
      <c r="AM64" s="236">
        <f t="shared" si="95"/>
        <v>5.9</v>
      </c>
      <c r="AN64" s="237">
        <f t="shared" si="96"/>
        <v>0</v>
      </c>
      <c r="AO64" s="262">
        <v>11.5</v>
      </c>
      <c r="AP64" s="263">
        <v>11.5</v>
      </c>
      <c r="AQ64" s="228">
        <f t="shared" si="97"/>
        <v>11.5</v>
      </c>
      <c r="AR64" s="229">
        <f t="shared" si="98"/>
        <v>4</v>
      </c>
      <c r="AS64" s="263">
        <v>6.5</v>
      </c>
      <c r="AT64" s="234">
        <f t="shared" si="99"/>
        <v>6.5</v>
      </c>
      <c r="AU64" s="238">
        <f t="shared" si="100"/>
        <v>0</v>
      </c>
      <c r="AV64" s="236">
        <f t="shared" si="101"/>
        <v>9</v>
      </c>
      <c r="AW64" s="237">
        <f t="shared" si="102"/>
        <v>4</v>
      </c>
      <c r="AX64" s="263">
        <v>10.88</v>
      </c>
      <c r="AY64" s="263">
        <v>10.88</v>
      </c>
      <c r="AZ64" s="228">
        <f t="shared" si="103"/>
        <v>10.88</v>
      </c>
      <c r="BA64" s="229">
        <f t="shared" si="104"/>
        <v>1</v>
      </c>
      <c r="BB64" s="236">
        <f t="shared" si="105"/>
        <v>10.88</v>
      </c>
      <c r="BC64" s="237">
        <f t="shared" si="106"/>
        <v>1</v>
      </c>
      <c r="BD64" s="239">
        <f t="shared" si="107"/>
        <v>8.5457142857142863</v>
      </c>
      <c r="BE64" s="240">
        <f t="shared" si="108"/>
        <v>22</v>
      </c>
      <c r="BF64" s="263"/>
      <c r="BG64" s="263"/>
      <c r="BH64" s="264">
        <f t="shared" si="109"/>
        <v>0</v>
      </c>
      <c r="BI64" s="265">
        <f t="shared" si="110"/>
        <v>0</v>
      </c>
      <c r="BJ64" s="263"/>
      <c r="BK64" s="263"/>
      <c r="BL64" s="264">
        <f t="shared" si="111"/>
        <v>0</v>
      </c>
      <c r="BM64" s="265">
        <f t="shared" si="112"/>
        <v>0</v>
      </c>
      <c r="BN64" s="263"/>
      <c r="BO64" s="263"/>
      <c r="BP64" s="264">
        <f t="shared" si="113"/>
        <v>0</v>
      </c>
      <c r="BQ64" s="265">
        <f t="shared" si="114"/>
        <v>0</v>
      </c>
      <c r="BR64" s="266">
        <f t="shared" si="115"/>
        <v>0</v>
      </c>
      <c r="BS64" s="267">
        <f t="shared" si="116"/>
        <v>0</v>
      </c>
      <c r="BT64" s="263"/>
      <c r="BU64" s="263"/>
      <c r="BV64" s="264">
        <f t="shared" si="117"/>
        <v>0</v>
      </c>
      <c r="BW64" s="265">
        <f t="shared" si="118"/>
        <v>0</v>
      </c>
      <c r="BX64" s="263"/>
      <c r="BY64" s="263"/>
      <c r="BZ64" s="264">
        <f t="shared" si="119"/>
        <v>0</v>
      </c>
      <c r="CA64" s="265">
        <f t="shared" si="120"/>
        <v>0</v>
      </c>
      <c r="CB64" s="268">
        <f t="shared" si="121"/>
        <v>0</v>
      </c>
      <c r="CC64" s="267">
        <f t="shared" si="122"/>
        <v>0</v>
      </c>
      <c r="CD64" s="263"/>
      <c r="CE64" s="263"/>
      <c r="CF64" s="264">
        <f t="shared" si="123"/>
        <v>0</v>
      </c>
      <c r="CG64" s="265">
        <f t="shared" si="124"/>
        <v>0</v>
      </c>
      <c r="CH64" s="268">
        <f t="shared" si="125"/>
        <v>0</v>
      </c>
      <c r="CI64" s="267">
        <f t="shared" si="126"/>
        <v>0</v>
      </c>
      <c r="CJ64" s="263"/>
      <c r="CK64" s="269">
        <f t="shared" si="127"/>
        <v>0</v>
      </c>
      <c r="CL64" s="270">
        <f t="shared" si="128"/>
        <v>0</v>
      </c>
      <c r="CM64" s="268">
        <f t="shared" si="129"/>
        <v>0</v>
      </c>
      <c r="CN64" s="267">
        <f t="shared" si="130"/>
        <v>0</v>
      </c>
      <c r="CO64" s="65">
        <f t="shared" si="131"/>
        <v>0</v>
      </c>
      <c r="CP64" s="66">
        <f t="shared" si="132"/>
        <v>0</v>
      </c>
      <c r="CQ64" s="31">
        <f t="shared" si="72"/>
        <v>8.5457142857142863</v>
      </c>
      <c r="CR64" s="32">
        <f t="shared" si="73"/>
        <v>22</v>
      </c>
      <c r="CS64" s="33">
        <f t="shared" si="74"/>
        <v>0</v>
      </c>
      <c r="CT64" s="34">
        <f t="shared" si="75"/>
        <v>0</v>
      </c>
      <c r="CU64" s="67">
        <f t="shared" si="76"/>
        <v>4.2728571428571431</v>
      </c>
      <c r="CV64" s="35">
        <f t="shared" si="77"/>
        <v>22</v>
      </c>
      <c r="CW64" s="59">
        <f t="shared" si="78"/>
        <v>52</v>
      </c>
      <c r="CX64" s="43" t="str">
        <f t="shared" si="133"/>
        <v>مؤجل(ة)</v>
      </c>
      <c r="CY64" s="44"/>
      <c r="CZ64" s="50"/>
      <c r="DA64" s="46"/>
    </row>
    <row r="65" spans="2:105" ht="27.75" customHeight="1" thickBot="1">
      <c r="B65" s="1">
        <f t="shared" si="134"/>
        <v>16</v>
      </c>
      <c r="C65" s="323" t="s">
        <v>591</v>
      </c>
      <c r="D65" s="249" t="s">
        <v>592</v>
      </c>
      <c r="E65" s="47" t="s">
        <v>761</v>
      </c>
      <c r="F65" s="135"/>
      <c r="G65" s="136"/>
      <c r="H65" s="131">
        <v>9.92</v>
      </c>
      <c r="I65" s="132">
        <v>24</v>
      </c>
      <c r="J65" s="133">
        <v>8.76</v>
      </c>
      <c r="K65" s="134">
        <v>13</v>
      </c>
      <c r="L65" s="53">
        <f t="shared" si="79"/>
        <v>9.34</v>
      </c>
      <c r="M65" s="58">
        <f t="shared" si="80"/>
        <v>37</v>
      </c>
      <c r="N65" s="262">
        <v>11</v>
      </c>
      <c r="O65" s="263">
        <v>5</v>
      </c>
      <c r="P65" s="228">
        <f t="shared" si="81"/>
        <v>8</v>
      </c>
      <c r="Q65" s="229">
        <f t="shared" si="82"/>
        <v>0</v>
      </c>
      <c r="R65" s="262">
        <v>12</v>
      </c>
      <c r="S65" s="263">
        <v>5</v>
      </c>
      <c r="T65" s="228">
        <f t="shared" si="83"/>
        <v>8.5</v>
      </c>
      <c r="U65" s="229">
        <f t="shared" si="84"/>
        <v>0</v>
      </c>
      <c r="V65" s="262">
        <v>16</v>
      </c>
      <c r="W65" s="263">
        <v>7</v>
      </c>
      <c r="X65" s="228">
        <f t="shared" si="85"/>
        <v>11.5</v>
      </c>
      <c r="Y65" s="229">
        <f t="shared" si="86"/>
        <v>6</v>
      </c>
      <c r="Z65" s="232">
        <f t="shared" si="87"/>
        <v>9.3333333333333339</v>
      </c>
      <c r="AA65" s="233">
        <f t="shared" si="88"/>
        <v>6</v>
      </c>
      <c r="AB65" s="263">
        <v>14.5</v>
      </c>
      <c r="AC65" s="234">
        <f t="shared" si="89"/>
        <v>14.5</v>
      </c>
      <c r="AD65" s="235">
        <f t="shared" si="90"/>
        <v>1</v>
      </c>
      <c r="AE65" s="262">
        <v>8</v>
      </c>
      <c r="AF65" s="263">
        <v>8</v>
      </c>
      <c r="AG65" s="228">
        <f t="shared" si="91"/>
        <v>8</v>
      </c>
      <c r="AH65" s="229">
        <f t="shared" si="92"/>
        <v>0</v>
      </c>
      <c r="AI65" s="262">
        <v>13</v>
      </c>
      <c r="AJ65" s="263">
        <v>1.5</v>
      </c>
      <c r="AK65" s="228">
        <f t="shared" si="93"/>
        <v>7.25</v>
      </c>
      <c r="AL65" s="229">
        <f t="shared" si="94"/>
        <v>0</v>
      </c>
      <c r="AM65" s="236">
        <f t="shared" si="95"/>
        <v>9</v>
      </c>
      <c r="AN65" s="237">
        <f t="shared" si="96"/>
        <v>1</v>
      </c>
      <c r="AO65" s="262">
        <v>10</v>
      </c>
      <c r="AP65" s="263">
        <v>1</v>
      </c>
      <c r="AQ65" s="228">
        <f t="shared" si="97"/>
        <v>5.5</v>
      </c>
      <c r="AR65" s="229">
        <f t="shared" si="98"/>
        <v>0</v>
      </c>
      <c r="AS65" s="263">
        <v>5.5</v>
      </c>
      <c r="AT65" s="234">
        <f t="shared" si="99"/>
        <v>5.5</v>
      </c>
      <c r="AU65" s="238">
        <f t="shared" si="100"/>
        <v>0</v>
      </c>
      <c r="AV65" s="236">
        <f t="shared" si="101"/>
        <v>5.5</v>
      </c>
      <c r="AW65" s="237">
        <f t="shared" si="102"/>
        <v>0</v>
      </c>
      <c r="AX65" s="263">
        <v>13</v>
      </c>
      <c r="AY65" s="263">
        <v>6</v>
      </c>
      <c r="AZ65" s="228">
        <f t="shared" si="103"/>
        <v>9.5</v>
      </c>
      <c r="BA65" s="229">
        <f t="shared" si="104"/>
        <v>0</v>
      </c>
      <c r="BB65" s="236">
        <f t="shared" si="105"/>
        <v>9.5</v>
      </c>
      <c r="BC65" s="237">
        <f t="shared" si="106"/>
        <v>0</v>
      </c>
      <c r="BD65" s="239">
        <f t="shared" si="107"/>
        <v>8.6785714285714288</v>
      </c>
      <c r="BE65" s="240">
        <f t="shared" si="108"/>
        <v>7</v>
      </c>
      <c r="BF65" s="263"/>
      <c r="BG65" s="263"/>
      <c r="BH65" s="264">
        <f t="shared" si="109"/>
        <v>0</v>
      </c>
      <c r="BI65" s="265">
        <f t="shared" si="110"/>
        <v>0</v>
      </c>
      <c r="BJ65" s="263"/>
      <c r="BK65" s="263"/>
      <c r="BL65" s="264">
        <f t="shared" si="111"/>
        <v>0</v>
      </c>
      <c r="BM65" s="265">
        <f t="shared" si="112"/>
        <v>0</v>
      </c>
      <c r="BN65" s="263"/>
      <c r="BO65" s="263"/>
      <c r="BP65" s="264">
        <f t="shared" si="113"/>
        <v>0</v>
      </c>
      <c r="BQ65" s="265">
        <f t="shared" si="114"/>
        <v>0</v>
      </c>
      <c r="BR65" s="266">
        <f t="shared" si="115"/>
        <v>0</v>
      </c>
      <c r="BS65" s="267">
        <f t="shared" si="116"/>
        <v>0</v>
      </c>
      <c r="BT65" s="263"/>
      <c r="BU65" s="263"/>
      <c r="BV65" s="264">
        <f t="shared" si="117"/>
        <v>0</v>
      </c>
      <c r="BW65" s="265">
        <f t="shared" si="118"/>
        <v>0</v>
      </c>
      <c r="BX65" s="263"/>
      <c r="BY65" s="263"/>
      <c r="BZ65" s="264">
        <f t="shared" si="119"/>
        <v>0</v>
      </c>
      <c r="CA65" s="265">
        <f t="shared" si="120"/>
        <v>0</v>
      </c>
      <c r="CB65" s="268">
        <f t="shared" si="121"/>
        <v>0</v>
      </c>
      <c r="CC65" s="267">
        <f t="shared" si="122"/>
        <v>0</v>
      </c>
      <c r="CD65" s="263"/>
      <c r="CE65" s="263"/>
      <c r="CF65" s="264">
        <f t="shared" si="123"/>
        <v>0</v>
      </c>
      <c r="CG65" s="265">
        <f t="shared" si="124"/>
        <v>0</v>
      </c>
      <c r="CH65" s="268">
        <f t="shared" si="125"/>
        <v>0</v>
      </c>
      <c r="CI65" s="267">
        <f t="shared" si="126"/>
        <v>0</v>
      </c>
      <c r="CJ65" s="263"/>
      <c r="CK65" s="269">
        <f t="shared" si="127"/>
        <v>0</v>
      </c>
      <c r="CL65" s="270">
        <f t="shared" si="128"/>
        <v>0</v>
      </c>
      <c r="CM65" s="268">
        <f t="shared" si="129"/>
        <v>0</v>
      </c>
      <c r="CN65" s="267">
        <f t="shared" si="130"/>
        <v>0</v>
      </c>
      <c r="CO65" s="65">
        <f t="shared" si="131"/>
        <v>0</v>
      </c>
      <c r="CP65" s="66">
        <f t="shared" si="132"/>
        <v>0</v>
      </c>
      <c r="CQ65" s="31">
        <f t="shared" si="72"/>
        <v>8.6785714285714288</v>
      </c>
      <c r="CR65" s="32">
        <f t="shared" si="73"/>
        <v>7</v>
      </c>
      <c r="CS65" s="33">
        <f t="shared" si="74"/>
        <v>0</v>
      </c>
      <c r="CT65" s="34">
        <f t="shared" si="75"/>
        <v>0</v>
      </c>
      <c r="CU65" s="67">
        <f t="shared" si="76"/>
        <v>4.3392857142857144</v>
      </c>
      <c r="CV65" s="35">
        <f t="shared" si="77"/>
        <v>7</v>
      </c>
      <c r="CW65" s="59">
        <f t="shared" si="78"/>
        <v>44</v>
      </c>
      <c r="CX65" s="43" t="str">
        <f t="shared" si="133"/>
        <v>مؤجل(ة)</v>
      </c>
      <c r="CY65" s="44"/>
      <c r="CZ65" s="50"/>
      <c r="DA65" s="46"/>
    </row>
    <row r="66" spans="2:105" ht="27.75" customHeight="1" thickBot="1">
      <c r="B66" s="1">
        <f t="shared" si="134"/>
        <v>17</v>
      </c>
      <c r="C66" s="325" t="s">
        <v>593</v>
      </c>
      <c r="D66" s="249" t="s">
        <v>594</v>
      </c>
      <c r="E66" s="47" t="s">
        <v>344</v>
      </c>
      <c r="F66" s="135">
        <v>34568</v>
      </c>
      <c r="G66" s="136" t="s">
        <v>390</v>
      </c>
      <c r="H66" s="131"/>
      <c r="I66" s="132"/>
      <c r="J66" s="133"/>
      <c r="K66" s="134"/>
      <c r="L66" s="53">
        <f t="shared" si="79"/>
        <v>0</v>
      </c>
      <c r="M66" s="58">
        <f t="shared" si="80"/>
        <v>0</v>
      </c>
      <c r="N66" s="262">
        <v>10</v>
      </c>
      <c r="O66" s="263">
        <v>10</v>
      </c>
      <c r="P66" s="228">
        <f t="shared" si="81"/>
        <v>10</v>
      </c>
      <c r="Q66" s="229">
        <f t="shared" si="82"/>
        <v>5</v>
      </c>
      <c r="R66" s="262">
        <v>11.5</v>
      </c>
      <c r="S66" s="263">
        <v>2.5</v>
      </c>
      <c r="T66" s="228">
        <f t="shared" si="83"/>
        <v>7</v>
      </c>
      <c r="U66" s="229">
        <f t="shared" si="84"/>
        <v>0</v>
      </c>
      <c r="V66" s="262">
        <v>13.5</v>
      </c>
      <c r="W66" s="263">
        <v>8</v>
      </c>
      <c r="X66" s="228">
        <f t="shared" si="85"/>
        <v>10.75</v>
      </c>
      <c r="Y66" s="229">
        <f t="shared" si="86"/>
        <v>6</v>
      </c>
      <c r="Z66" s="232">
        <f t="shared" si="87"/>
        <v>9.25</v>
      </c>
      <c r="AA66" s="233">
        <f t="shared" si="88"/>
        <v>11</v>
      </c>
      <c r="AB66" s="263">
        <v>5</v>
      </c>
      <c r="AC66" s="234">
        <f t="shared" si="89"/>
        <v>5</v>
      </c>
      <c r="AD66" s="235">
        <f t="shared" si="90"/>
        <v>0</v>
      </c>
      <c r="AE66" s="262">
        <v>1</v>
      </c>
      <c r="AF66" s="263">
        <v>1</v>
      </c>
      <c r="AG66" s="228">
        <f t="shared" si="91"/>
        <v>1</v>
      </c>
      <c r="AH66" s="229">
        <f t="shared" si="92"/>
        <v>0</v>
      </c>
      <c r="AI66" s="262">
        <v>8</v>
      </c>
      <c r="AJ66" s="263">
        <v>2</v>
      </c>
      <c r="AK66" s="228">
        <f t="shared" si="93"/>
        <v>5</v>
      </c>
      <c r="AL66" s="229">
        <f t="shared" si="94"/>
        <v>0</v>
      </c>
      <c r="AM66" s="236">
        <f t="shared" si="95"/>
        <v>3.4</v>
      </c>
      <c r="AN66" s="237">
        <f t="shared" si="96"/>
        <v>0</v>
      </c>
      <c r="AO66" s="262">
        <v>10</v>
      </c>
      <c r="AP66" s="263">
        <v>3</v>
      </c>
      <c r="AQ66" s="228">
        <f t="shared" si="97"/>
        <v>6.5</v>
      </c>
      <c r="AR66" s="229">
        <f t="shared" si="98"/>
        <v>0</v>
      </c>
      <c r="AS66" s="263">
        <v>6</v>
      </c>
      <c r="AT66" s="234">
        <f t="shared" si="99"/>
        <v>6</v>
      </c>
      <c r="AU66" s="238">
        <f t="shared" si="100"/>
        <v>0</v>
      </c>
      <c r="AV66" s="236">
        <f t="shared" si="101"/>
        <v>6.25</v>
      </c>
      <c r="AW66" s="237">
        <f t="shared" si="102"/>
        <v>0</v>
      </c>
      <c r="AX66" s="263">
        <v>13.5</v>
      </c>
      <c r="AY66" s="263">
        <v>5</v>
      </c>
      <c r="AZ66" s="228">
        <f t="shared" si="103"/>
        <v>9.25</v>
      </c>
      <c r="BA66" s="229">
        <f t="shared" si="104"/>
        <v>0</v>
      </c>
      <c r="BB66" s="236">
        <f t="shared" si="105"/>
        <v>9.25</v>
      </c>
      <c r="BC66" s="237">
        <f t="shared" si="106"/>
        <v>0</v>
      </c>
      <c r="BD66" s="239">
        <f t="shared" si="107"/>
        <v>6.7321428571428568</v>
      </c>
      <c r="BE66" s="240">
        <f t="shared" si="108"/>
        <v>11</v>
      </c>
      <c r="BF66" s="263"/>
      <c r="BG66" s="263"/>
      <c r="BH66" s="264">
        <f t="shared" si="109"/>
        <v>0</v>
      </c>
      <c r="BI66" s="265">
        <f t="shared" si="110"/>
        <v>0</v>
      </c>
      <c r="BJ66" s="263"/>
      <c r="BK66" s="263"/>
      <c r="BL66" s="264">
        <f t="shared" si="111"/>
        <v>0</v>
      </c>
      <c r="BM66" s="265">
        <f t="shared" si="112"/>
        <v>0</v>
      </c>
      <c r="BN66" s="263"/>
      <c r="BO66" s="263"/>
      <c r="BP66" s="264">
        <f t="shared" si="113"/>
        <v>0</v>
      </c>
      <c r="BQ66" s="265">
        <f t="shared" si="114"/>
        <v>0</v>
      </c>
      <c r="BR66" s="266">
        <f t="shared" si="115"/>
        <v>0</v>
      </c>
      <c r="BS66" s="267">
        <f t="shared" si="116"/>
        <v>0</v>
      </c>
      <c r="BT66" s="263"/>
      <c r="BU66" s="263"/>
      <c r="BV66" s="264">
        <f t="shared" si="117"/>
        <v>0</v>
      </c>
      <c r="BW66" s="265">
        <f t="shared" si="118"/>
        <v>0</v>
      </c>
      <c r="BX66" s="263"/>
      <c r="BY66" s="263"/>
      <c r="BZ66" s="264">
        <f t="shared" si="119"/>
        <v>0</v>
      </c>
      <c r="CA66" s="265">
        <f t="shared" si="120"/>
        <v>0</v>
      </c>
      <c r="CB66" s="268">
        <f t="shared" si="121"/>
        <v>0</v>
      </c>
      <c r="CC66" s="267">
        <f t="shared" si="122"/>
        <v>0</v>
      </c>
      <c r="CD66" s="263"/>
      <c r="CE66" s="263"/>
      <c r="CF66" s="264">
        <f t="shared" si="123"/>
        <v>0</v>
      </c>
      <c r="CG66" s="265">
        <f t="shared" si="124"/>
        <v>0</v>
      </c>
      <c r="CH66" s="268">
        <f t="shared" si="125"/>
        <v>0</v>
      </c>
      <c r="CI66" s="267">
        <f t="shared" si="126"/>
        <v>0</v>
      </c>
      <c r="CJ66" s="263"/>
      <c r="CK66" s="269">
        <f t="shared" si="127"/>
        <v>0</v>
      </c>
      <c r="CL66" s="270">
        <f t="shared" si="128"/>
        <v>0</v>
      </c>
      <c r="CM66" s="268">
        <f t="shared" si="129"/>
        <v>0</v>
      </c>
      <c r="CN66" s="267">
        <f t="shared" si="130"/>
        <v>0</v>
      </c>
      <c r="CO66" s="65">
        <f t="shared" si="131"/>
        <v>0</v>
      </c>
      <c r="CP66" s="66">
        <f t="shared" si="132"/>
        <v>0</v>
      </c>
      <c r="CQ66" s="31">
        <f t="shared" si="72"/>
        <v>6.7321428571428568</v>
      </c>
      <c r="CR66" s="32">
        <f t="shared" si="73"/>
        <v>11</v>
      </c>
      <c r="CS66" s="33">
        <f t="shared" si="74"/>
        <v>0</v>
      </c>
      <c r="CT66" s="34">
        <f t="shared" si="75"/>
        <v>0</v>
      </c>
      <c r="CU66" s="67">
        <f t="shared" si="76"/>
        <v>3.3660714285714284</v>
      </c>
      <c r="CV66" s="35">
        <f t="shared" si="77"/>
        <v>11</v>
      </c>
      <c r="CW66" s="59">
        <f t="shared" si="78"/>
        <v>11</v>
      </c>
      <c r="CX66" s="43" t="str">
        <f t="shared" si="133"/>
        <v>مؤجل(ة)</v>
      </c>
      <c r="CZ66" s="51"/>
      <c r="DA66" s="46"/>
    </row>
    <row r="67" spans="2:105" ht="27.75" customHeight="1" thickBot="1">
      <c r="B67" s="1">
        <f t="shared" si="134"/>
        <v>18</v>
      </c>
      <c r="C67" s="324" t="s">
        <v>595</v>
      </c>
      <c r="D67" s="249" t="s">
        <v>596</v>
      </c>
      <c r="E67" s="47" t="s">
        <v>762</v>
      </c>
      <c r="F67" s="135"/>
      <c r="G67" s="136"/>
      <c r="H67" s="131">
        <v>9.61</v>
      </c>
      <c r="I67" s="132">
        <v>26</v>
      </c>
      <c r="J67" s="133"/>
      <c r="K67" s="134">
        <v>10</v>
      </c>
      <c r="L67" s="53">
        <f t="shared" si="79"/>
        <v>4.8049999999999997</v>
      </c>
      <c r="M67" s="58">
        <f t="shared" si="80"/>
        <v>36</v>
      </c>
      <c r="N67" s="262">
        <v>11</v>
      </c>
      <c r="O67" s="263">
        <v>4</v>
      </c>
      <c r="P67" s="228">
        <f t="shared" si="81"/>
        <v>7.5</v>
      </c>
      <c r="Q67" s="229">
        <f t="shared" si="82"/>
        <v>0</v>
      </c>
      <c r="R67" s="262">
        <v>11</v>
      </c>
      <c r="S67" s="263">
        <v>4</v>
      </c>
      <c r="T67" s="228">
        <f t="shared" si="83"/>
        <v>7.5</v>
      </c>
      <c r="U67" s="229">
        <f t="shared" si="84"/>
        <v>0</v>
      </c>
      <c r="V67" s="262">
        <v>7</v>
      </c>
      <c r="W67" s="263">
        <v>3</v>
      </c>
      <c r="X67" s="228">
        <f t="shared" si="85"/>
        <v>5</v>
      </c>
      <c r="Y67" s="229">
        <f t="shared" si="86"/>
        <v>0</v>
      </c>
      <c r="Z67" s="232">
        <f t="shared" si="87"/>
        <v>6.666666666666667</v>
      </c>
      <c r="AA67" s="233">
        <f t="shared" si="88"/>
        <v>0</v>
      </c>
      <c r="AB67" s="263">
        <v>5.5</v>
      </c>
      <c r="AC67" s="234">
        <f t="shared" si="89"/>
        <v>5.5</v>
      </c>
      <c r="AD67" s="235">
        <f t="shared" si="90"/>
        <v>0</v>
      </c>
      <c r="AE67" s="262">
        <v>4</v>
      </c>
      <c r="AF67" s="263">
        <v>4</v>
      </c>
      <c r="AG67" s="228">
        <f t="shared" si="91"/>
        <v>4</v>
      </c>
      <c r="AH67" s="229">
        <f t="shared" si="92"/>
        <v>0</v>
      </c>
      <c r="AI67" s="262">
        <v>8</v>
      </c>
      <c r="AJ67" s="263">
        <v>0</v>
      </c>
      <c r="AK67" s="228">
        <f t="shared" si="93"/>
        <v>4</v>
      </c>
      <c r="AL67" s="229">
        <f t="shared" si="94"/>
        <v>0</v>
      </c>
      <c r="AM67" s="236">
        <f t="shared" si="95"/>
        <v>4.3</v>
      </c>
      <c r="AN67" s="237">
        <f t="shared" si="96"/>
        <v>0</v>
      </c>
      <c r="AO67" s="262">
        <v>10</v>
      </c>
      <c r="AP67" s="263">
        <v>3</v>
      </c>
      <c r="AQ67" s="228">
        <f t="shared" si="97"/>
        <v>6.5</v>
      </c>
      <c r="AR67" s="229">
        <f t="shared" si="98"/>
        <v>0</v>
      </c>
      <c r="AS67" s="263">
        <v>5</v>
      </c>
      <c r="AT67" s="234">
        <f t="shared" si="99"/>
        <v>5</v>
      </c>
      <c r="AU67" s="238">
        <f t="shared" si="100"/>
        <v>0</v>
      </c>
      <c r="AV67" s="236">
        <f t="shared" si="101"/>
        <v>5.75</v>
      </c>
      <c r="AW67" s="237">
        <f t="shared" si="102"/>
        <v>0</v>
      </c>
      <c r="AX67" s="263">
        <v>13</v>
      </c>
      <c r="AY67" s="263">
        <v>7</v>
      </c>
      <c r="AZ67" s="228">
        <f t="shared" si="103"/>
        <v>10</v>
      </c>
      <c r="BA67" s="229">
        <f t="shared" si="104"/>
        <v>1</v>
      </c>
      <c r="BB67" s="236">
        <f t="shared" si="105"/>
        <v>10</v>
      </c>
      <c r="BC67" s="237">
        <f t="shared" si="106"/>
        <v>1</v>
      </c>
      <c r="BD67" s="239">
        <f t="shared" si="107"/>
        <v>5.9285714285714288</v>
      </c>
      <c r="BE67" s="240">
        <f t="shared" si="108"/>
        <v>1</v>
      </c>
      <c r="BF67" s="263"/>
      <c r="BG67" s="263"/>
      <c r="BH67" s="264">
        <f t="shared" si="109"/>
        <v>0</v>
      </c>
      <c r="BI67" s="265">
        <f t="shared" si="110"/>
        <v>0</v>
      </c>
      <c r="BJ67" s="263"/>
      <c r="BK67" s="263"/>
      <c r="BL67" s="264">
        <f t="shared" si="111"/>
        <v>0</v>
      </c>
      <c r="BM67" s="265">
        <f t="shared" si="112"/>
        <v>0</v>
      </c>
      <c r="BN67" s="263"/>
      <c r="BO67" s="263"/>
      <c r="BP67" s="264">
        <f t="shared" si="113"/>
        <v>0</v>
      </c>
      <c r="BQ67" s="265">
        <f t="shared" si="114"/>
        <v>0</v>
      </c>
      <c r="BR67" s="266">
        <f t="shared" si="115"/>
        <v>0</v>
      </c>
      <c r="BS67" s="267">
        <f t="shared" si="116"/>
        <v>0</v>
      </c>
      <c r="BT67" s="263"/>
      <c r="BU67" s="263"/>
      <c r="BV67" s="264">
        <f t="shared" si="117"/>
        <v>0</v>
      </c>
      <c r="BW67" s="265">
        <f t="shared" si="118"/>
        <v>0</v>
      </c>
      <c r="BX67" s="263"/>
      <c r="BY67" s="263"/>
      <c r="BZ67" s="264">
        <f t="shared" si="119"/>
        <v>0</v>
      </c>
      <c r="CA67" s="265">
        <f t="shared" si="120"/>
        <v>0</v>
      </c>
      <c r="CB67" s="268">
        <f t="shared" si="121"/>
        <v>0</v>
      </c>
      <c r="CC67" s="267">
        <f t="shared" si="122"/>
        <v>0</v>
      </c>
      <c r="CD67" s="263"/>
      <c r="CE67" s="263"/>
      <c r="CF67" s="264">
        <f t="shared" si="123"/>
        <v>0</v>
      </c>
      <c r="CG67" s="265">
        <f t="shared" si="124"/>
        <v>0</v>
      </c>
      <c r="CH67" s="268">
        <f t="shared" si="125"/>
        <v>0</v>
      </c>
      <c r="CI67" s="267">
        <f t="shared" si="126"/>
        <v>0</v>
      </c>
      <c r="CJ67" s="263"/>
      <c r="CK67" s="269">
        <f t="shared" si="127"/>
        <v>0</v>
      </c>
      <c r="CL67" s="270">
        <f t="shared" si="128"/>
        <v>0</v>
      </c>
      <c r="CM67" s="268">
        <f t="shared" si="129"/>
        <v>0</v>
      </c>
      <c r="CN67" s="267">
        <f t="shared" si="130"/>
        <v>0</v>
      </c>
      <c r="CO67" s="65">
        <f t="shared" si="131"/>
        <v>0</v>
      </c>
      <c r="CP67" s="66">
        <f t="shared" si="132"/>
        <v>0</v>
      </c>
      <c r="CQ67" s="31">
        <f t="shared" si="72"/>
        <v>5.9285714285714288</v>
      </c>
      <c r="CR67" s="32">
        <f t="shared" si="73"/>
        <v>1</v>
      </c>
      <c r="CS67" s="33">
        <f t="shared" si="74"/>
        <v>0</v>
      </c>
      <c r="CT67" s="34">
        <f t="shared" si="75"/>
        <v>0</v>
      </c>
      <c r="CU67" s="67">
        <f t="shared" si="76"/>
        <v>2.9642857142857144</v>
      </c>
      <c r="CV67" s="35">
        <f t="shared" si="77"/>
        <v>1</v>
      </c>
      <c r="CW67" s="59">
        <f t="shared" si="78"/>
        <v>37</v>
      </c>
      <c r="CX67" s="43" t="str">
        <f t="shared" si="133"/>
        <v>مؤجل(ة)</v>
      </c>
      <c r="CZ67" s="51"/>
      <c r="DA67" s="46"/>
    </row>
    <row r="68" spans="2:105" ht="27.75" customHeight="1" thickBot="1">
      <c r="B68" s="1">
        <f t="shared" si="134"/>
        <v>19</v>
      </c>
      <c r="C68" s="324" t="s">
        <v>809</v>
      </c>
      <c r="D68" s="249" t="s">
        <v>810</v>
      </c>
      <c r="E68" s="137" t="s">
        <v>763</v>
      </c>
      <c r="F68" s="135"/>
      <c r="G68" s="136"/>
      <c r="H68" s="131">
        <v>9.8699999999999992</v>
      </c>
      <c r="I68" s="132">
        <v>30</v>
      </c>
      <c r="J68" s="133">
        <v>10.130000000000001</v>
      </c>
      <c r="K68" s="134">
        <v>30</v>
      </c>
      <c r="L68" s="53">
        <f t="shared" si="79"/>
        <v>10</v>
      </c>
      <c r="M68" s="58">
        <f t="shared" si="80"/>
        <v>60</v>
      </c>
      <c r="N68" s="262"/>
      <c r="O68" s="263"/>
      <c r="P68" s="228">
        <f t="shared" si="81"/>
        <v>0</v>
      </c>
      <c r="Q68" s="229">
        <f t="shared" si="82"/>
        <v>0</v>
      </c>
      <c r="R68" s="262"/>
      <c r="S68" s="263"/>
      <c r="T68" s="228">
        <f t="shared" si="83"/>
        <v>0</v>
      </c>
      <c r="U68" s="229">
        <f t="shared" si="84"/>
        <v>0</v>
      </c>
      <c r="V68" s="262"/>
      <c r="W68" s="263"/>
      <c r="X68" s="228">
        <f t="shared" si="85"/>
        <v>0</v>
      </c>
      <c r="Y68" s="229">
        <f t="shared" si="86"/>
        <v>0</v>
      </c>
      <c r="Z68" s="232">
        <f t="shared" si="87"/>
        <v>0</v>
      </c>
      <c r="AA68" s="233">
        <f t="shared" si="88"/>
        <v>0</v>
      </c>
      <c r="AB68" s="263"/>
      <c r="AC68" s="234">
        <f t="shared" si="89"/>
        <v>0</v>
      </c>
      <c r="AD68" s="235">
        <f t="shared" si="90"/>
        <v>0</v>
      </c>
      <c r="AE68" s="262"/>
      <c r="AF68" s="263"/>
      <c r="AG68" s="228">
        <f t="shared" si="91"/>
        <v>0</v>
      </c>
      <c r="AH68" s="229">
        <f t="shared" si="92"/>
        <v>0</v>
      </c>
      <c r="AI68" s="262"/>
      <c r="AJ68" s="263"/>
      <c r="AK68" s="228">
        <f t="shared" si="93"/>
        <v>0</v>
      </c>
      <c r="AL68" s="229">
        <f t="shared" si="94"/>
        <v>0</v>
      </c>
      <c r="AM68" s="236">
        <f t="shared" si="95"/>
        <v>0</v>
      </c>
      <c r="AN68" s="237">
        <f t="shared" si="96"/>
        <v>0</v>
      </c>
      <c r="AO68" s="262"/>
      <c r="AP68" s="263"/>
      <c r="AQ68" s="228">
        <f t="shared" si="97"/>
        <v>0</v>
      </c>
      <c r="AR68" s="229">
        <f t="shared" si="98"/>
        <v>0</v>
      </c>
      <c r="AS68" s="263">
        <v>5</v>
      </c>
      <c r="AT68" s="234">
        <f t="shared" si="99"/>
        <v>5</v>
      </c>
      <c r="AU68" s="238">
        <f t="shared" si="100"/>
        <v>0</v>
      </c>
      <c r="AV68" s="236">
        <f t="shared" si="101"/>
        <v>2.5</v>
      </c>
      <c r="AW68" s="237">
        <f t="shared" si="102"/>
        <v>0</v>
      </c>
      <c r="AX68" s="263"/>
      <c r="AY68" s="263"/>
      <c r="AZ68" s="228">
        <f t="shared" si="103"/>
        <v>0</v>
      </c>
      <c r="BA68" s="229">
        <f t="shared" si="104"/>
        <v>0</v>
      </c>
      <c r="BB68" s="236">
        <f t="shared" si="105"/>
        <v>0</v>
      </c>
      <c r="BC68" s="237">
        <f t="shared" si="106"/>
        <v>0</v>
      </c>
      <c r="BD68" s="239">
        <f t="shared" si="107"/>
        <v>0.35714285714285715</v>
      </c>
      <c r="BE68" s="240">
        <f t="shared" si="108"/>
        <v>0</v>
      </c>
      <c r="BF68" s="263"/>
      <c r="BG68" s="263"/>
      <c r="BH68" s="264">
        <f t="shared" si="109"/>
        <v>0</v>
      </c>
      <c r="BI68" s="265">
        <f t="shared" si="110"/>
        <v>0</v>
      </c>
      <c r="BJ68" s="263"/>
      <c r="BK68" s="263"/>
      <c r="BL68" s="264">
        <f t="shared" si="111"/>
        <v>0</v>
      </c>
      <c r="BM68" s="265">
        <f t="shared" si="112"/>
        <v>0</v>
      </c>
      <c r="BN68" s="263"/>
      <c r="BO68" s="263"/>
      <c r="BP68" s="264">
        <f t="shared" si="113"/>
        <v>0</v>
      </c>
      <c r="BQ68" s="265">
        <f t="shared" si="114"/>
        <v>0</v>
      </c>
      <c r="BR68" s="266">
        <f t="shared" si="115"/>
        <v>0</v>
      </c>
      <c r="BS68" s="267">
        <f t="shared" si="116"/>
        <v>0</v>
      </c>
      <c r="BT68" s="263"/>
      <c r="BU68" s="263"/>
      <c r="BV68" s="264">
        <f t="shared" si="117"/>
        <v>0</v>
      </c>
      <c r="BW68" s="265">
        <f t="shared" si="118"/>
        <v>0</v>
      </c>
      <c r="BX68" s="263"/>
      <c r="BY68" s="263"/>
      <c r="BZ68" s="264">
        <f t="shared" si="119"/>
        <v>0</v>
      </c>
      <c r="CA68" s="265">
        <f t="shared" si="120"/>
        <v>0</v>
      </c>
      <c r="CB68" s="268">
        <f t="shared" si="121"/>
        <v>0</v>
      </c>
      <c r="CC68" s="267">
        <f t="shared" si="122"/>
        <v>0</v>
      </c>
      <c r="CD68" s="263"/>
      <c r="CE68" s="263"/>
      <c r="CF68" s="264">
        <f t="shared" si="123"/>
        <v>0</v>
      </c>
      <c r="CG68" s="265">
        <f t="shared" si="124"/>
        <v>0</v>
      </c>
      <c r="CH68" s="268">
        <f t="shared" si="125"/>
        <v>0</v>
      </c>
      <c r="CI68" s="267">
        <f t="shared" si="126"/>
        <v>0</v>
      </c>
      <c r="CJ68" s="263"/>
      <c r="CK68" s="269">
        <f t="shared" si="127"/>
        <v>0</v>
      </c>
      <c r="CL68" s="270">
        <f t="shared" si="128"/>
        <v>0</v>
      </c>
      <c r="CM68" s="268">
        <f t="shared" si="129"/>
        <v>0</v>
      </c>
      <c r="CN68" s="267">
        <f t="shared" si="130"/>
        <v>0</v>
      </c>
      <c r="CO68" s="65">
        <f t="shared" si="131"/>
        <v>0</v>
      </c>
      <c r="CP68" s="66">
        <f t="shared" si="132"/>
        <v>0</v>
      </c>
      <c r="CQ68" s="31">
        <f t="shared" si="72"/>
        <v>0.35714285714285715</v>
      </c>
      <c r="CR68" s="32">
        <f t="shared" si="73"/>
        <v>0</v>
      </c>
      <c r="CS68" s="33">
        <f t="shared" si="74"/>
        <v>0</v>
      </c>
      <c r="CT68" s="34">
        <f t="shared" si="75"/>
        <v>0</v>
      </c>
      <c r="CU68" s="67">
        <f t="shared" si="76"/>
        <v>0.17857142857142858</v>
      </c>
      <c r="CV68" s="35">
        <f t="shared" si="77"/>
        <v>0</v>
      </c>
      <c r="CW68" s="59">
        <f t="shared" si="78"/>
        <v>60</v>
      </c>
      <c r="CX68" s="43" t="str">
        <f t="shared" si="133"/>
        <v>مؤجل(ة)</v>
      </c>
      <c r="CY68" s="44"/>
      <c r="CZ68" s="50"/>
      <c r="DA68" s="46"/>
    </row>
    <row r="69" spans="2:105" ht="27.75" customHeight="1" thickBot="1">
      <c r="B69" s="1">
        <f t="shared" si="134"/>
        <v>20</v>
      </c>
      <c r="C69" s="323" t="s">
        <v>597</v>
      </c>
      <c r="D69" s="249" t="s">
        <v>598</v>
      </c>
      <c r="E69" s="47" t="s">
        <v>764</v>
      </c>
      <c r="F69" s="135"/>
      <c r="G69" s="136"/>
      <c r="H69" s="131">
        <v>7.86</v>
      </c>
      <c r="I69" s="132">
        <v>12</v>
      </c>
      <c r="J69" s="133">
        <v>9.98</v>
      </c>
      <c r="K69" s="134">
        <v>20</v>
      </c>
      <c r="L69" s="53">
        <f t="shared" si="79"/>
        <v>8.92</v>
      </c>
      <c r="M69" s="58">
        <f t="shared" si="80"/>
        <v>32</v>
      </c>
      <c r="N69" s="262">
        <v>11</v>
      </c>
      <c r="O69" s="263">
        <v>4</v>
      </c>
      <c r="P69" s="228">
        <f t="shared" si="81"/>
        <v>7.5</v>
      </c>
      <c r="Q69" s="229">
        <f t="shared" si="82"/>
        <v>0</v>
      </c>
      <c r="R69" s="262">
        <v>12</v>
      </c>
      <c r="S69" s="263">
        <v>8</v>
      </c>
      <c r="T69" s="228">
        <f t="shared" si="83"/>
        <v>10</v>
      </c>
      <c r="U69" s="229">
        <f t="shared" si="84"/>
        <v>6</v>
      </c>
      <c r="V69" s="262">
        <v>16.5</v>
      </c>
      <c r="W69" s="263">
        <v>6.75</v>
      </c>
      <c r="X69" s="228">
        <f t="shared" si="85"/>
        <v>11.625</v>
      </c>
      <c r="Y69" s="229">
        <f t="shared" si="86"/>
        <v>6</v>
      </c>
      <c r="Z69" s="232">
        <f t="shared" si="87"/>
        <v>9.7083333333333339</v>
      </c>
      <c r="AA69" s="233">
        <f t="shared" si="88"/>
        <v>12</v>
      </c>
      <c r="AB69" s="263">
        <v>8</v>
      </c>
      <c r="AC69" s="234">
        <f t="shared" si="89"/>
        <v>8</v>
      </c>
      <c r="AD69" s="235">
        <f t="shared" si="90"/>
        <v>0</v>
      </c>
      <c r="AE69" s="262">
        <v>8.5</v>
      </c>
      <c r="AF69" s="263">
        <v>8.5</v>
      </c>
      <c r="AG69" s="228">
        <f t="shared" si="91"/>
        <v>8.5</v>
      </c>
      <c r="AH69" s="229">
        <f t="shared" si="92"/>
        <v>0</v>
      </c>
      <c r="AI69" s="262">
        <v>10</v>
      </c>
      <c r="AJ69" s="263">
        <v>1.5</v>
      </c>
      <c r="AK69" s="228">
        <f t="shared" si="93"/>
        <v>5.75</v>
      </c>
      <c r="AL69" s="229">
        <f t="shared" si="94"/>
        <v>0</v>
      </c>
      <c r="AM69" s="236">
        <f t="shared" si="95"/>
        <v>7.3</v>
      </c>
      <c r="AN69" s="237">
        <f t="shared" si="96"/>
        <v>0</v>
      </c>
      <c r="AO69" s="262">
        <v>11.5</v>
      </c>
      <c r="AP69" s="263">
        <v>4</v>
      </c>
      <c r="AQ69" s="228">
        <f t="shared" si="97"/>
        <v>7.75</v>
      </c>
      <c r="AR69" s="229">
        <f t="shared" si="98"/>
        <v>0</v>
      </c>
      <c r="AS69" s="263">
        <v>8</v>
      </c>
      <c r="AT69" s="234">
        <f t="shared" si="99"/>
        <v>8</v>
      </c>
      <c r="AU69" s="238">
        <f t="shared" si="100"/>
        <v>0</v>
      </c>
      <c r="AV69" s="236">
        <f t="shared" si="101"/>
        <v>7.875</v>
      </c>
      <c r="AW69" s="237">
        <f t="shared" si="102"/>
        <v>0</v>
      </c>
      <c r="AX69" s="263">
        <v>13.5</v>
      </c>
      <c r="AY69" s="263">
        <v>13</v>
      </c>
      <c r="AZ69" s="228">
        <f t="shared" si="103"/>
        <v>13.25</v>
      </c>
      <c r="BA69" s="229">
        <f t="shared" si="104"/>
        <v>1</v>
      </c>
      <c r="BB69" s="236">
        <f t="shared" si="105"/>
        <v>13.25</v>
      </c>
      <c r="BC69" s="237">
        <f t="shared" si="106"/>
        <v>1</v>
      </c>
      <c r="BD69" s="239">
        <f t="shared" si="107"/>
        <v>8.8392857142857135</v>
      </c>
      <c r="BE69" s="240">
        <f t="shared" si="108"/>
        <v>13</v>
      </c>
      <c r="BF69" s="263"/>
      <c r="BG69" s="263"/>
      <c r="BH69" s="264">
        <f t="shared" si="109"/>
        <v>0</v>
      </c>
      <c r="BI69" s="265">
        <f t="shared" si="110"/>
        <v>0</v>
      </c>
      <c r="BJ69" s="263"/>
      <c r="BK69" s="263"/>
      <c r="BL69" s="264">
        <f t="shared" si="111"/>
        <v>0</v>
      </c>
      <c r="BM69" s="265">
        <f t="shared" si="112"/>
        <v>0</v>
      </c>
      <c r="BN69" s="263"/>
      <c r="BO69" s="263"/>
      <c r="BP69" s="264">
        <f t="shared" si="113"/>
        <v>0</v>
      </c>
      <c r="BQ69" s="265">
        <f t="shared" si="114"/>
        <v>0</v>
      </c>
      <c r="BR69" s="266">
        <f t="shared" si="115"/>
        <v>0</v>
      </c>
      <c r="BS69" s="267">
        <f t="shared" si="116"/>
        <v>0</v>
      </c>
      <c r="BT69" s="263"/>
      <c r="BU69" s="263"/>
      <c r="BV69" s="264">
        <f t="shared" si="117"/>
        <v>0</v>
      </c>
      <c r="BW69" s="265">
        <f t="shared" si="118"/>
        <v>0</v>
      </c>
      <c r="BX69" s="263"/>
      <c r="BY69" s="263"/>
      <c r="BZ69" s="264">
        <f t="shared" si="119"/>
        <v>0</v>
      </c>
      <c r="CA69" s="265">
        <f t="shared" si="120"/>
        <v>0</v>
      </c>
      <c r="CB69" s="268">
        <f t="shared" si="121"/>
        <v>0</v>
      </c>
      <c r="CC69" s="267">
        <f t="shared" si="122"/>
        <v>0</v>
      </c>
      <c r="CD69" s="263"/>
      <c r="CE69" s="263"/>
      <c r="CF69" s="264">
        <f t="shared" si="123"/>
        <v>0</v>
      </c>
      <c r="CG69" s="265">
        <f t="shared" si="124"/>
        <v>0</v>
      </c>
      <c r="CH69" s="268">
        <f t="shared" si="125"/>
        <v>0</v>
      </c>
      <c r="CI69" s="267">
        <f t="shared" si="126"/>
        <v>0</v>
      </c>
      <c r="CJ69" s="263"/>
      <c r="CK69" s="269">
        <f t="shared" si="127"/>
        <v>0</v>
      </c>
      <c r="CL69" s="270">
        <f t="shared" si="128"/>
        <v>0</v>
      </c>
      <c r="CM69" s="268">
        <f t="shared" si="129"/>
        <v>0</v>
      </c>
      <c r="CN69" s="267">
        <f t="shared" si="130"/>
        <v>0</v>
      </c>
      <c r="CO69" s="65">
        <f t="shared" si="131"/>
        <v>0</v>
      </c>
      <c r="CP69" s="66">
        <f t="shared" si="132"/>
        <v>0</v>
      </c>
      <c r="CQ69" s="31">
        <f t="shared" si="72"/>
        <v>8.8392857142857135</v>
      </c>
      <c r="CR69" s="32">
        <f t="shared" si="73"/>
        <v>13</v>
      </c>
      <c r="CS69" s="33">
        <f t="shared" si="74"/>
        <v>0</v>
      </c>
      <c r="CT69" s="34">
        <f t="shared" si="75"/>
        <v>0</v>
      </c>
      <c r="CU69" s="67">
        <f t="shared" si="76"/>
        <v>4.4196428571428568</v>
      </c>
      <c r="CV69" s="35">
        <f t="shared" si="77"/>
        <v>13</v>
      </c>
      <c r="CW69" s="59">
        <f t="shared" si="78"/>
        <v>45</v>
      </c>
      <c r="CX69" s="43" t="str">
        <f t="shared" si="133"/>
        <v>مؤجل(ة)</v>
      </c>
      <c r="CY69" s="44"/>
      <c r="CZ69" s="50"/>
      <c r="DA69" s="46"/>
    </row>
    <row r="70" spans="2:105" ht="27.75" customHeight="1" thickBot="1">
      <c r="B70" s="1">
        <f t="shared" si="134"/>
        <v>21</v>
      </c>
      <c r="C70" s="323" t="s">
        <v>599</v>
      </c>
      <c r="D70" s="249" t="s">
        <v>600</v>
      </c>
      <c r="E70" s="47" t="s">
        <v>765</v>
      </c>
      <c r="F70" s="135"/>
      <c r="G70" s="52"/>
      <c r="H70" s="131">
        <v>9.77</v>
      </c>
      <c r="I70" s="132">
        <v>24</v>
      </c>
      <c r="J70" s="133">
        <v>8.92</v>
      </c>
      <c r="K70" s="134">
        <v>11</v>
      </c>
      <c r="L70" s="53">
        <f t="shared" si="79"/>
        <v>9.3449999999999989</v>
      </c>
      <c r="M70" s="58">
        <f t="shared" si="80"/>
        <v>35</v>
      </c>
      <c r="N70" s="262">
        <v>10</v>
      </c>
      <c r="O70" s="263">
        <v>4</v>
      </c>
      <c r="P70" s="228">
        <f t="shared" si="81"/>
        <v>7</v>
      </c>
      <c r="Q70" s="229">
        <f t="shared" si="82"/>
        <v>0</v>
      </c>
      <c r="R70" s="262">
        <v>11</v>
      </c>
      <c r="S70" s="263">
        <v>4</v>
      </c>
      <c r="T70" s="228">
        <f t="shared" si="83"/>
        <v>7.5</v>
      </c>
      <c r="U70" s="229">
        <f t="shared" si="84"/>
        <v>0</v>
      </c>
      <c r="V70" s="262">
        <v>16</v>
      </c>
      <c r="W70" s="263">
        <v>4</v>
      </c>
      <c r="X70" s="228">
        <f t="shared" si="85"/>
        <v>10</v>
      </c>
      <c r="Y70" s="229">
        <f t="shared" si="86"/>
        <v>6</v>
      </c>
      <c r="Z70" s="232">
        <f t="shared" si="87"/>
        <v>8.1666666666666661</v>
      </c>
      <c r="AA70" s="233">
        <f t="shared" si="88"/>
        <v>6</v>
      </c>
      <c r="AB70" s="263">
        <v>2.5</v>
      </c>
      <c r="AC70" s="234">
        <f t="shared" si="89"/>
        <v>2.5</v>
      </c>
      <c r="AD70" s="235">
        <f t="shared" si="90"/>
        <v>0</v>
      </c>
      <c r="AE70" s="262">
        <v>0.5</v>
      </c>
      <c r="AF70" s="263">
        <v>0.5</v>
      </c>
      <c r="AG70" s="228">
        <f t="shared" si="91"/>
        <v>0.5</v>
      </c>
      <c r="AH70" s="229">
        <f t="shared" si="92"/>
        <v>0</v>
      </c>
      <c r="AI70" s="262">
        <v>12</v>
      </c>
      <c r="AJ70" s="263">
        <v>2.5</v>
      </c>
      <c r="AK70" s="228">
        <f t="shared" si="93"/>
        <v>7.25</v>
      </c>
      <c r="AL70" s="229">
        <f t="shared" si="94"/>
        <v>0</v>
      </c>
      <c r="AM70" s="236">
        <f t="shared" si="95"/>
        <v>3.6</v>
      </c>
      <c r="AN70" s="237">
        <f t="shared" si="96"/>
        <v>0</v>
      </c>
      <c r="AO70" s="262"/>
      <c r="AP70" s="263">
        <v>1</v>
      </c>
      <c r="AQ70" s="228">
        <f t="shared" si="97"/>
        <v>0.5</v>
      </c>
      <c r="AR70" s="229">
        <f t="shared" si="98"/>
        <v>0</v>
      </c>
      <c r="AS70" s="263">
        <v>10</v>
      </c>
      <c r="AT70" s="234">
        <f t="shared" si="99"/>
        <v>10</v>
      </c>
      <c r="AU70" s="238">
        <f t="shared" si="100"/>
        <v>1</v>
      </c>
      <c r="AV70" s="236">
        <f t="shared" si="101"/>
        <v>5.25</v>
      </c>
      <c r="AW70" s="237">
        <f t="shared" si="102"/>
        <v>1</v>
      </c>
      <c r="AX70" s="263">
        <v>17</v>
      </c>
      <c r="AY70" s="263">
        <v>5.5</v>
      </c>
      <c r="AZ70" s="228">
        <f t="shared" si="103"/>
        <v>11.25</v>
      </c>
      <c r="BA70" s="229">
        <f t="shared" si="104"/>
        <v>1</v>
      </c>
      <c r="BB70" s="236">
        <f t="shared" si="105"/>
        <v>11.25</v>
      </c>
      <c r="BC70" s="237">
        <f t="shared" si="106"/>
        <v>1</v>
      </c>
      <c r="BD70" s="239">
        <f t="shared" si="107"/>
        <v>6.3392857142857144</v>
      </c>
      <c r="BE70" s="240">
        <f t="shared" si="108"/>
        <v>8</v>
      </c>
      <c r="BF70" s="263"/>
      <c r="BG70" s="263"/>
      <c r="BH70" s="264">
        <f t="shared" si="109"/>
        <v>0</v>
      </c>
      <c r="BI70" s="265">
        <f t="shared" si="110"/>
        <v>0</v>
      </c>
      <c r="BJ70" s="263"/>
      <c r="BK70" s="263"/>
      <c r="BL70" s="264">
        <f t="shared" si="111"/>
        <v>0</v>
      </c>
      <c r="BM70" s="265">
        <f t="shared" si="112"/>
        <v>0</v>
      </c>
      <c r="BN70" s="263"/>
      <c r="BO70" s="263"/>
      <c r="BP70" s="264">
        <f t="shared" si="113"/>
        <v>0</v>
      </c>
      <c r="BQ70" s="265">
        <f t="shared" si="114"/>
        <v>0</v>
      </c>
      <c r="BR70" s="266">
        <f t="shared" si="115"/>
        <v>0</v>
      </c>
      <c r="BS70" s="267">
        <f t="shared" si="116"/>
        <v>0</v>
      </c>
      <c r="BT70" s="263"/>
      <c r="BU70" s="263"/>
      <c r="BV70" s="264">
        <f t="shared" si="117"/>
        <v>0</v>
      </c>
      <c r="BW70" s="265">
        <f t="shared" si="118"/>
        <v>0</v>
      </c>
      <c r="BX70" s="263"/>
      <c r="BY70" s="263"/>
      <c r="BZ70" s="264">
        <f t="shared" si="119"/>
        <v>0</v>
      </c>
      <c r="CA70" s="265">
        <f t="shared" si="120"/>
        <v>0</v>
      </c>
      <c r="CB70" s="268">
        <f t="shared" si="121"/>
        <v>0</v>
      </c>
      <c r="CC70" s="267">
        <f t="shared" si="122"/>
        <v>0</v>
      </c>
      <c r="CD70" s="263"/>
      <c r="CE70" s="263"/>
      <c r="CF70" s="264">
        <f t="shared" si="123"/>
        <v>0</v>
      </c>
      <c r="CG70" s="265">
        <f t="shared" si="124"/>
        <v>0</v>
      </c>
      <c r="CH70" s="268">
        <f t="shared" si="125"/>
        <v>0</v>
      </c>
      <c r="CI70" s="267">
        <f t="shared" si="126"/>
        <v>0</v>
      </c>
      <c r="CJ70" s="263"/>
      <c r="CK70" s="269">
        <f t="shared" si="127"/>
        <v>0</v>
      </c>
      <c r="CL70" s="270">
        <f t="shared" si="128"/>
        <v>0</v>
      </c>
      <c r="CM70" s="268">
        <f t="shared" si="129"/>
        <v>0</v>
      </c>
      <c r="CN70" s="267">
        <f t="shared" si="130"/>
        <v>0</v>
      </c>
      <c r="CO70" s="65">
        <f t="shared" si="131"/>
        <v>0</v>
      </c>
      <c r="CP70" s="66">
        <f t="shared" si="132"/>
        <v>0</v>
      </c>
      <c r="CQ70" s="31">
        <f t="shared" si="72"/>
        <v>6.3392857142857144</v>
      </c>
      <c r="CR70" s="32">
        <f t="shared" si="73"/>
        <v>8</v>
      </c>
      <c r="CS70" s="33">
        <f t="shared" si="74"/>
        <v>0</v>
      </c>
      <c r="CT70" s="34">
        <f t="shared" si="75"/>
        <v>0</v>
      </c>
      <c r="CU70" s="67">
        <f t="shared" si="76"/>
        <v>3.1696428571428572</v>
      </c>
      <c r="CV70" s="35">
        <f t="shared" si="77"/>
        <v>8</v>
      </c>
      <c r="CW70" s="59">
        <f t="shared" si="78"/>
        <v>43</v>
      </c>
      <c r="CX70" s="43" t="str">
        <f t="shared" si="133"/>
        <v>مؤجل(ة)</v>
      </c>
      <c r="CY70" s="44"/>
      <c r="CZ70" s="50"/>
      <c r="DA70" s="46"/>
    </row>
    <row r="71" spans="2:105" ht="27.75" customHeight="1" thickBot="1">
      <c r="B71" s="1">
        <f t="shared" si="134"/>
        <v>22</v>
      </c>
      <c r="C71" s="323" t="s">
        <v>601</v>
      </c>
      <c r="D71" s="249" t="s">
        <v>602</v>
      </c>
      <c r="E71" s="45" t="s">
        <v>370</v>
      </c>
      <c r="F71" s="135">
        <v>34304</v>
      </c>
      <c r="G71" s="136" t="s">
        <v>746</v>
      </c>
      <c r="H71" s="131"/>
      <c r="I71" s="132"/>
      <c r="J71" s="133"/>
      <c r="K71" s="134"/>
      <c r="L71" s="53">
        <f t="shared" si="79"/>
        <v>0</v>
      </c>
      <c r="M71" s="58">
        <f t="shared" si="80"/>
        <v>0</v>
      </c>
      <c r="N71" s="262">
        <v>12</v>
      </c>
      <c r="O71" s="263">
        <v>12</v>
      </c>
      <c r="P71" s="228">
        <f t="shared" si="81"/>
        <v>12</v>
      </c>
      <c r="Q71" s="229">
        <f t="shared" si="82"/>
        <v>5</v>
      </c>
      <c r="R71" s="262">
        <v>10</v>
      </c>
      <c r="S71" s="263"/>
      <c r="T71" s="228">
        <f t="shared" si="83"/>
        <v>5</v>
      </c>
      <c r="U71" s="229">
        <f t="shared" si="84"/>
        <v>0</v>
      </c>
      <c r="V71" s="262">
        <v>10</v>
      </c>
      <c r="W71" s="263"/>
      <c r="X71" s="228">
        <f t="shared" si="85"/>
        <v>5</v>
      </c>
      <c r="Y71" s="229">
        <f t="shared" si="86"/>
        <v>0</v>
      </c>
      <c r="Z71" s="232">
        <f t="shared" si="87"/>
        <v>7.333333333333333</v>
      </c>
      <c r="AA71" s="233">
        <f t="shared" si="88"/>
        <v>5</v>
      </c>
      <c r="AB71" s="263"/>
      <c r="AC71" s="234">
        <f t="shared" si="89"/>
        <v>0</v>
      </c>
      <c r="AD71" s="235">
        <f t="shared" si="90"/>
        <v>0</v>
      </c>
      <c r="AE71" s="262"/>
      <c r="AF71" s="263"/>
      <c r="AG71" s="228">
        <f t="shared" si="91"/>
        <v>0</v>
      </c>
      <c r="AH71" s="229">
        <f t="shared" si="92"/>
        <v>0</v>
      </c>
      <c r="AI71" s="262">
        <v>11</v>
      </c>
      <c r="AJ71" s="263"/>
      <c r="AK71" s="228">
        <f t="shared" si="93"/>
        <v>5.5</v>
      </c>
      <c r="AL71" s="229">
        <f t="shared" si="94"/>
        <v>0</v>
      </c>
      <c r="AM71" s="236">
        <f t="shared" si="95"/>
        <v>2.2000000000000002</v>
      </c>
      <c r="AN71" s="237">
        <f t="shared" si="96"/>
        <v>0</v>
      </c>
      <c r="AO71" s="262"/>
      <c r="AP71" s="263"/>
      <c r="AQ71" s="228">
        <f t="shared" si="97"/>
        <v>0</v>
      </c>
      <c r="AR71" s="229">
        <f t="shared" si="98"/>
        <v>0</v>
      </c>
      <c r="AS71" s="263"/>
      <c r="AT71" s="234">
        <f t="shared" si="99"/>
        <v>0</v>
      </c>
      <c r="AU71" s="238">
        <f t="shared" si="100"/>
        <v>0</v>
      </c>
      <c r="AV71" s="236">
        <f t="shared" si="101"/>
        <v>0</v>
      </c>
      <c r="AW71" s="237">
        <f t="shared" si="102"/>
        <v>0</v>
      </c>
      <c r="AX71" s="263">
        <v>16.5</v>
      </c>
      <c r="AY71" s="263"/>
      <c r="AZ71" s="228">
        <f t="shared" si="103"/>
        <v>8.25</v>
      </c>
      <c r="BA71" s="229">
        <f t="shared" si="104"/>
        <v>0</v>
      </c>
      <c r="BB71" s="236">
        <f t="shared" si="105"/>
        <v>8.25</v>
      </c>
      <c r="BC71" s="237">
        <f t="shared" si="106"/>
        <v>0</v>
      </c>
      <c r="BD71" s="239">
        <f t="shared" si="107"/>
        <v>4.5178571428571432</v>
      </c>
      <c r="BE71" s="240">
        <f t="shared" si="108"/>
        <v>5</v>
      </c>
      <c r="BF71" s="263"/>
      <c r="BG71" s="263"/>
      <c r="BH71" s="264">
        <f t="shared" si="109"/>
        <v>0</v>
      </c>
      <c r="BI71" s="265">
        <f t="shared" si="110"/>
        <v>0</v>
      </c>
      <c r="BJ71" s="263"/>
      <c r="BK71" s="263"/>
      <c r="BL71" s="264">
        <f t="shared" si="111"/>
        <v>0</v>
      </c>
      <c r="BM71" s="265">
        <f t="shared" si="112"/>
        <v>0</v>
      </c>
      <c r="BN71" s="263"/>
      <c r="BO71" s="263"/>
      <c r="BP71" s="264">
        <f t="shared" si="113"/>
        <v>0</v>
      </c>
      <c r="BQ71" s="265">
        <f t="shared" si="114"/>
        <v>0</v>
      </c>
      <c r="BR71" s="266">
        <f t="shared" si="115"/>
        <v>0</v>
      </c>
      <c r="BS71" s="267">
        <f t="shared" si="116"/>
        <v>0</v>
      </c>
      <c r="BT71" s="263"/>
      <c r="BU71" s="263"/>
      <c r="BV71" s="264">
        <f t="shared" si="117"/>
        <v>0</v>
      </c>
      <c r="BW71" s="265">
        <f t="shared" si="118"/>
        <v>0</v>
      </c>
      <c r="BX71" s="263"/>
      <c r="BY71" s="263"/>
      <c r="BZ71" s="264">
        <f t="shared" si="119"/>
        <v>0</v>
      </c>
      <c r="CA71" s="265">
        <f t="shared" si="120"/>
        <v>0</v>
      </c>
      <c r="CB71" s="268">
        <f t="shared" si="121"/>
        <v>0</v>
      </c>
      <c r="CC71" s="267">
        <f t="shared" si="122"/>
        <v>0</v>
      </c>
      <c r="CD71" s="263"/>
      <c r="CE71" s="263"/>
      <c r="CF71" s="264">
        <f t="shared" si="123"/>
        <v>0</v>
      </c>
      <c r="CG71" s="265">
        <f t="shared" si="124"/>
        <v>0</v>
      </c>
      <c r="CH71" s="268">
        <f t="shared" si="125"/>
        <v>0</v>
      </c>
      <c r="CI71" s="267">
        <f t="shared" si="126"/>
        <v>0</v>
      </c>
      <c r="CJ71" s="263"/>
      <c r="CK71" s="269">
        <f t="shared" si="127"/>
        <v>0</v>
      </c>
      <c r="CL71" s="270">
        <f t="shared" si="128"/>
        <v>0</v>
      </c>
      <c r="CM71" s="268">
        <f t="shared" si="129"/>
        <v>0</v>
      </c>
      <c r="CN71" s="267">
        <f t="shared" si="130"/>
        <v>0</v>
      </c>
      <c r="CO71" s="65">
        <f t="shared" si="131"/>
        <v>0</v>
      </c>
      <c r="CP71" s="66">
        <f t="shared" si="132"/>
        <v>0</v>
      </c>
      <c r="CQ71" s="31">
        <f t="shared" si="72"/>
        <v>4.5178571428571432</v>
      </c>
      <c r="CR71" s="32">
        <f t="shared" si="73"/>
        <v>5</v>
      </c>
      <c r="CS71" s="33">
        <f t="shared" si="74"/>
        <v>0</v>
      </c>
      <c r="CT71" s="34">
        <f t="shared" si="75"/>
        <v>0</v>
      </c>
      <c r="CU71" s="67">
        <f t="shared" si="76"/>
        <v>2.2589285714285716</v>
      </c>
      <c r="CV71" s="35">
        <f t="shared" si="77"/>
        <v>5</v>
      </c>
      <c r="CW71" s="59">
        <f t="shared" si="78"/>
        <v>5</v>
      </c>
      <c r="CX71" s="43" t="str">
        <f t="shared" si="133"/>
        <v>مؤجل(ة)</v>
      </c>
      <c r="CY71" s="44"/>
      <c r="CZ71" s="50"/>
      <c r="DA71" s="46"/>
    </row>
    <row r="72" spans="2:105" ht="27.75" customHeight="1" thickBot="1">
      <c r="B72" s="1">
        <f t="shared" si="134"/>
        <v>23</v>
      </c>
      <c r="C72" s="326" t="s">
        <v>603</v>
      </c>
      <c r="D72" s="249" t="s">
        <v>604</v>
      </c>
      <c r="E72" s="47" t="s">
        <v>796</v>
      </c>
      <c r="F72" s="135">
        <v>34656</v>
      </c>
      <c r="G72" s="136" t="s">
        <v>746</v>
      </c>
      <c r="H72" s="131"/>
      <c r="I72" s="132"/>
      <c r="J72" s="133"/>
      <c r="K72" s="134"/>
      <c r="L72" s="53">
        <f t="shared" si="79"/>
        <v>0</v>
      </c>
      <c r="M72" s="58">
        <f t="shared" si="80"/>
        <v>0</v>
      </c>
      <c r="N72" s="262">
        <v>10</v>
      </c>
      <c r="O72" s="263">
        <v>4</v>
      </c>
      <c r="P72" s="228">
        <f t="shared" si="81"/>
        <v>7</v>
      </c>
      <c r="Q72" s="229">
        <f t="shared" si="82"/>
        <v>0</v>
      </c>
      <c r="R72" s="262">
        <v>15</v>
      </c>
      <c r="S72" s="263">
        <v>9</v>
      </c>
      <c r="T72" s="228">
        <f t="shared" si="83"/>
        <v>12</v>
      </c>
      <c r="U72" s="229">
        <f t="shared" si="84"/>
        <v>6</v>
      </c>
      <c r="V72" s="262">
        <v>17</v>
      </c>
      <c r="W72" s="263">
        <v>7</v>
      </c>
      <c r="X72" s="228">
        <f t="shared" si="85"/>
        <v>12</v>
      </c>
      <c r="Y72" s="229">
        <f t="shared" si="86"/>
        <v>6</v>
      </c>
      <c r="Z72" s="232">
        <f t="shared" si="87"/>
        <v>10.333333333333334</v>
      </c>
      <c r="AA72" s="233">
        <f t="shared" si="88"/>
        <v>17</v>
      </c>
      <c r="AB72" s="263">
        <v>13</v>
      </c>
      <c r="AC72" s="234">
        <f t="shared" si="89"/>
        <v>13</v>
      </c>
      <c r="AD72" s="235">
        <f t="shared" si="90"/>
        <v>1</v>
      </c>
      <c r="AE72" s="262">
        <v>0</v>
      </c>
      <c r="AF72" s="263">
        <v>0</v>
      </c>
      <c r="AG72" s="228">
        <f t="shared" si="91"/>
        <v>0</v>
      </c>
      <c r="AH72" s="229">
        <f t="shared" si="92"/>
        <v>0</v>
      </c>
      <c r="AI72" s="262">
        <v>8</v>
      </c>
      <c r="AJ72" s="263">
        <v>0.5</v>
      </c>
      <c r="AK72" s="228">
        <f t="shared" si="93"/>
        <v>4.25</v>
      </c>
      <c r="AL72" s="229">
        <f t="shared" si="94"/>
        <v>0</v>
      </c>
      <c r="AM72" s="236">
        <f t="shared" si="95"/>
        <v>4.3</v>
      </c>
      <c r="AN72" s="237">
        <f t="shared" si="96"/>
        <v>1</v>
      </c>
      <c r="AO72" s="262">
        <v>10</v>
      </c>
      <c r="AP72" s="263">
        <v>10</v>
      </c>
      <c r="AQ72" s="228">
        <f t="shared" si="97"/>
        <v>10</v>
      </c>
      <c r="AR72" s="229">
        <f t="shared" si="98"/>
        <v>4</v>
      </c>
      <c r="AS72" s="263">
        <v>0</v>
      </c>
      <c r="AT72" s="234">
        <f t="shared" si="99"/>
        <v>0</v>
      </c>
      <c r="AU72" s="238">
        <f t="shared" si="100"/>
        <v>0</v>
      </c>
      <c r="AV72" s="236">
        <f t="shared" si="101"/>
        <v>5</v>
      </c>
      <c r="AW72" s="237">
        <f t="shared" si="102"/>
        <v>4</v>
      </c>
      <c r="AX72" s="263">
        <v>10.5</v>
      </c>
      <c r="AY72" s="263">
        <v>10.5</v>
      </c>
      <c r="AZ72" s="228">
        <f t="shared" si="103"/>
        <v>10.5</v>
      </c>
      <c r="BA72" s="229">
        <f t="shared" si="104"/>
        <v>1</v>
      </c>
      <c r="BB72" s="236">
        <f t="shared" si="105"/>
        <v>10.5</v>
      </c>
      <c r="BC72" s="237">
        <f t="shared" si="106"/>
        <v>1</v>
      </c>
      <c r="BD72" s="239">
        <f t="shared" si="107"/>
        <v>7.4285714285714288</v>
      </c>
      <c r="BE72" s="240">
        <f t="shared" si="108"/>
        <v>23</v>
      </c>
      <c r="BF72" s="263"/>
      <c r="BG72" s="263"/>
      <c r="BH72" s="264">
        <f t="shared" si="109"/>
        <v>0</v>
      </c>
      <c r="BI72" s="265">
        <f t="shared" si="110"/>
        <v>0</v>
      </c>
      <c r="BJ72" s="263"/>
      <c r="BK72" s="263"/>
      <c r="BL72" s="264">
        <f t="shared" si="111"/>
        <v>0</v>
      </c>
      <c r="BM72" s="265">
        <f t="shared" si="112"/>
        <v>0</v>
      </c>
      <c r="BN72" s="263"/>
      <c r="BO72" s="263"/>
      <c r="BP72" s="264">
        <f t="shared" si="113"/>
        <v>0</v>
      </c>
      <c r="BQ72" s="265">
        <f t="shared" si="114"/>
        <v>0</v>
      </c>
      <c r="BR72" s="266">
        <f t="shared" si="115"/>
        <v>0</v>
      </c>
      <c r="BS72" s="267">
        <f t="shared" si="116"/>
        <v>0</v>
      </c>
      <c r="BT72" s="263"/>
      <c r="BU72" s="263"/>
      <c r="BV72" s="264">
        <f t="shared" si="117"/>
        <v>0</v>
      </c>
      <c r="BW72" s="265">
        <f t="shared" si="118"/>
        <v>0</v>
      </c>
      <c r="BX72" s="263"/>
      <c r="BY72" s="263"/>
      <c r="BZ72" s="264">
        <f t="shared" si="119"/>
        <v>0</v>
      </c>
      <c r="CA72" s="265">
        <f t="shared" si="120"/>
        <v>0</v>
      </c>
      <c r="CB72" s="268">
        <f t="shared" si="121"/>
        <v>0</v>
      </c>
      <c r="CC72" s="267">
        <f t="shared" si="122"/>
        <v>0</v>
      </c>
      <c r="CD72" s="263"/>
      <c r="CE72" s="263"/>
      <c r="CF72" s="264">
        <f t="shared" si="123"/>
        <v>0</v>
      </c>
      <c r="CG72" s="265">
        <f t="shared" si="124"/>
        <v>0</v>
      </c>
      <c r="CH72" s="268">
        <f t="shared" si="125"/>
        <v>0</v>
      </c>
      <c r="CI72" s="267">
        <f t="shared" si="126"/>
        <v>0</v>
      </c>
      <c r="CJ72" s="263"/>
      <c r="CK72" s="269">
        <f t="shared" si="127"/>
        <v>0</v>
      </c>
      <c r="CL72" s="270">
        <f t="shared" si="128"/>
        <v>0</v>
      </c>
      <c r="CM72" s="268">
        <f t="shared" si="129"/>
        <v>0</v>
      </c>
      <c r="CN72" s="267">
        <f t="shared" si="130"/>
        <v>0</v>
      </c>
      <c r="CO72" s="65">
        <f t="shared" si="131"/>
        <v>0</v>
      </c>
      <c r="CP72" s="66">
        <f t="shared" si="132"/>
        <v>0</v>
      </c>
      <c r="CQ72" s="31">
        <f t="shared" si="72"/>
        <v>7.4285714285714288</v>
      </c>
      <c r="CR72" s="32">
        <f t="shared" si="73"/>
        <v>23</v>
      </c>
      <c r="CS72" s="33">
        <f t="shared" si="74"/>
        <v>0</v>
      </c>
      <c r="CT72" s="34">
        <f t="shared" si="75"/>
        <v>0</v>
      </c>
      <c r="CU72" s="67">
        <f t="shared" si="76"/>
        <v>3.7142857142857144</v>
      </c>
      <c r="CV72" s="35">
        <f t="shared" si="77"/>
        <v>23</v>
      </c>
      <c r="CW72" s="59">
        <f t="shared" si="78"/>
        <v>23</v>
      </c>
      <c r="CX72" s="43" t="str">
        <f t="shared" si="133"/>
        <v>مؤجل(ة)</v>
      </c>
      <c r="CY72" s="44"/>
      <c r="CZ72" s="50"/>
      <c r="DA72" s="46"/>
    </row>
    <row r="73" spans="2:105" ht="27.75" customHeight="1" thickBot="1">
      <c r="B73" s="1">
        <f t="shared" si="134"/>
        <v>24</v>
      </c>
      <c r="C73" s="323" t="s">
        <v>605</v>
      </c>
      <c r="D73" s="249" t="s">
        <v>606</v>
      </c>
      <c r="E73" s="47" t="s">
        <v>766</v>
      </c>
      <c r="F73" s="135"/>
      <c r="G73" s="136"/>
      <c r="H73" s="131">
        <v>8.1</v>
      </c>
      <c r="I73" s="132">
        <v>16</v>
      </c>
      <c r="J73" s="133">
        <v>8.6300000000000008</v>
      </c>
      <c r="K73" s="134">
        <v>15</v>
      </c>
      <c r="L73" s="53">
        <f t="shared" si="79"/>
        <v>8.3650000000000002</v>
      </c>
      <c r="M73" s="58">
        <f t="shared" si="80"/>
        <v>31</v>
      </c>
      <c r="N73" s="262">
        <v>9</v>
      </c>
      <c r="O73" s="263">
        <v>5</v>
      </c>
      <c r="P73" s="228">
        <f t="shared" si="81"/>
        <v>7</v>
      </c>
      <c r="Q73" s="229">
        <f t="shared" si="82"/>
        <v>0</v>
      </c>
      <c r="R73" s="262">
        <v>12</v>
      </c>
      <c r="S73" s="263">
        <v>4.5</v>
      </c>
      <c r="T73" s="228">
        <f t="shared" si="83"/>
        <v>8.25</v>
      </c>
      <c r="U73" s="229">
        <f t="shared" si="84"/>
        <v>0</v>
      </c>
      <c r="V73" s="262">
        <v>11</v>
      </c>
      <c r="W73" s="263">
        <v>5</v>
      </c>
      <c r="X73" s="228">
        <f t="shared" si="85"/>
        <v>8</v>
      </c>
      <c r="Y73" s="229">
        <f t="shared" si="86"/>
        <v>0</v>
      </c>
      <c r="Z73" s="232">
        <f t="shared" si="87"/>
        <v>7.75</v>
      </c>
      <c r="AA73" s="233">
        <f t="shared" si="88"/>
        <v>0</v>
      </c>
      <c r="AB73" s="263">
        <v>5</v>
      </c>
      <c r="AC73" s="234">
        <f t="shared" si="89"/>
        <v>5</v>
      </c>
      <c r="AD73" s="235">
        <f t="shared" si="90"/>
        <v>0</v>
      </c>
      <c r="AE73" s="262">
        <v>1.5</v>
      </c>
      <c r="AF73" s="263">
        <v>1.5</v>
      </c>
      <c r="AG73" s="228">
        <f t="shared" si="91"/>
        <v>1.5</v>
      </c>
      <c r="AH73" s="229">
        <f t="shared" si="92"/>
        <v>0</v>
      </c>
      <c r="AI73" s="262">
        <v>6</v>
      </c>
      <c r="AJ73" s="263">
        <v>0</v>
      </c>
      <c r="AK73" s="228">
        <f t="shared" si="93"/>
        <v>3</v>
      </c>
      <c r="AL73" s="229">
        <f t="shared" si="94"/>
        <v>0</v>
      </c>
      <c r="AM73" s="236">
        <f t="shared" si="95"/>
        <v>2.8</v>
      </c>
      <c r="AN73" s="237">
        <f t="shared" si="96"/>
        <v>0</v>
      </c>
      <c r="AO73" s="262"/>
      <c r="AP73" s="263">
        <v>1</v>
      </c>
      <c r="AQ73" s="228">
        <f t="shared" si="97"/>
        <v>0.5</v>
      </c>
      <c r="AR73" s="229">
        <f t="shared" si="98"/>
        <v>0</v>
      </c>
      <c r="AS73" s="263">
        <v>0</v>
      </c>
      <c r="AT73" s="234">
        <f t="shared" si="99"/>
        <v>0</v>
      </c>
      <c r="AU73" s="238">
        <f t="shared" si="100"/>
        <v>0</v>
      </c>
      <c r="AV73" s="236">
        <f t="shared" si="101"/>
        <v>0.25</v>
      </c>
      <c r="AW73" s="237">
        <f t="shared" si="102"/>
        <v>0</v>
      </c>
      <c r="AX73" s="263">
        <v>14.5</v>
      </c>
      <c r="AY73" s="263">
        <v>10</v>
      </c>
      <c r="AZ73" s="228">
        <f t="shared" si="103"/>
        <v>12.25</v>
      </c>
      <c r="BA73" s="229">
        <f t="shared" si="104"/>
        <v>1</v>
      </c>
      <c r="BB73" s="236">
        <f t="shared" si="105"/>
        <v>12.25</v>
      </c>
      <c r="BC73" s="237">
        <f t="shared" si="106"/>
        <v>1</v>
      </c>
      <c r="BD73" s="239">
        <f t="shared" si="107"/>
        <v>5.2321428571428568</v>
      </c>
      <c r="BE73" s="240">
        <f t="shared" si="108"/>
        <v>1</v>
      </c>
      <c r="BF73" s="263"/>
      <c r="BG73" s="263"/>
      <c r="BH73" s="264">
        <f t="shared" si="109"/>
        <v>0</v>
      </c>
      <c r="BI73" s="265">
        <f t="shared" si="110"/>
        <v>0</v>
      </c>
      <c r="BJ73" s="263"/>
      <c r="BK73" s="263"/>
      <c r="BL73" s="264">
        <f t="shared" si="111"/>
        <v>0</v>
      </c>
      <c r="BM73" s="265">
        <f t="shared" si="112"/>
        <v>0</v>
      </c>
      <c r="BN73" s="263"/>
      <c r="BO73" s="263"/>
      <c r="BP73" s="264">
        <f t="shared" si="113"/>
        <v>0</v>
      </c>
      <c r="BQ73" s="265">
        <f t="shared" si="114"/>
        <v>0</v>
      </c>
      <c r="BR73" s="266">
        <f t="shared" si="115"/>
        <v>0</v>
      </c>
      <c r="BS73" s="267">
        <f t="shared" si="116"/>
        <v>0</v>
      </c>
      <c r="BT73" s="263"/>
      <c r="BU73" s="263"/>
      <c r="BV73" s="264">
        <f t="shared" si="117"/>
        <v>0</v>
      </c>
      <c r="BW73" s="265">
        <f t="shared" si="118"/>
        <v>0</v>
      </c>
      <c r="BX73" s="263"/>
      <c r="BY73" s="263"/>
      <c r="BZ73" s="264">
        <f t="shared" si="119"/>
        <v>0</v>
      </c>
      <c r="CA73" s="265">
        <f t="shared" si="120"/>
        <v>0</v>
      </c>
      <c r="CB73" s="268">
        <f t="shared" si="121"/>
        <v>0</v>
      </c>
      <c r="CC73" s="267">
        <f t="shared" si="122"/>
        <v>0</v>
      </c>
      <c r="CD73" s="263"/>
      <c r="CE73" s="263"/>
      <c r="CF73" s="264">
        <f t="shared" si="123"/>
        <v>0</v>
      </c>
      <c r="CG73" s="265">
        <f t="shared" si="124"/>
        <v>0</v>
      </c>
      <c r="CH73" s="268">
        <f t="shared" si="125"/>
        <v>0</v>
      </c>
      <c r="CI73" s="267">
        <f t="shared" si="126"/>
        <v>0</v>
      </c>
      <c r="CJ73" s="263"/>
      <c r="CK73" s="269">
        <f t="shared" si="127"/>
        <v>0</v>
      </c>
      <c r="CL73" s="270">
        <f t="shared" si="128"/>
        <v>0</v>
      </c>
      <c r="CM73" s="268">
        <f t="shared" si="129"/>
        <v>0</v>
      </c>
      <c r="CN73" s="267">
        <f t="shared" si="130"/>
        <v>0</v>
      </c>
      <c r="CO73" s="65">
        <f t="shared" si="131"/>
        <v>0</v>
      </c>
      <c r="CP73" s="66">
        <f t="shared" si="132"/>
        <v>0</v>
      </c>
      <c r="CQ73" s="31">
        <f t="shared" si="72"/>
        <v>5.2321428571428568</v>
      </c>
      <c r="CR73" s="32">
        <f t="shared" si="73"/>
        <v>1</v>
      </c>
      <c r="CS73" s="33">
        <f t="shared" si="74"/>
        <v>0</v>
      </c>
      <c r="CT73" s="34">
        <f t="shared" si="75"/>
        <v>0</v>
      </c>
      <c r="CU73" s="67">
        <f t="shared" si="76"/>
        <v>2.6160714285714284</v>
      </c>
      <c r="CV73" s="35">
        <f t="shared" si="77"/>
        <v>1</v>
      </c>
      <c r="CW73" s="59">
        <f t="shared" si="78"/>
        <v>32</v>
      </c>
      <c r="CX73" s="43" t="str">
        <f t="shared" si="133"/>
        <v>مؤجل(ة)</v>
      </c>
      <c r="CY73" s="44"/>
      <c r="CZ73" s="50"/>
      <c r="DA73" s="46"/>
    </row>
    <row r="74" spans="2:105" ht="27.75" customHeight="1" thickBot="1">
      <c r="B74" s="1">
        <f t="shared" si="134"/>
        <v>25</v>
      </c>
      <c r="C74" s="324" t="s">
        <v>270</v>
      </c>
      <c r="D74" s="249" t="s">
        <v>607</v>
      </c>
      <c r="E74" s="47" t="s">
        <v>451</v>
      </c>
      <c r="F74" s="135">
        <v>35122</v>
      </c>
      <c r="G74" s="136" t="s">
        <v>746</v>
      </c>
      <c r="H74" s="131"/>
      <c r="I74" s="132"/>
      <c r="J74" s="133"/>
      <c r="K74" s="134"/>
      <c r="L74" s="53">
        <f t="shared" si="79"/>
        <v>0</v>
      </c>
      <c r="M74" s="58">
        <f t="shared" si="80"/>
        <v>0</v>
      </c>
      <c r="N74" s="262">
        <v>11</v>
      </c>
      <c r="O74" s="263">
        <v>11</v>
      </c>
      <c r="P74" s="228">
        <f t="shared" si="81"/>
        <v>11</v>
      </c>
      <c r="Q74" s="229">
        <f t="shared" si="82"/>
        <v>5</v>
      </c>
      <c r="R74" s="262"/>
      <c r="S74" s="263"/>
      <c r="T74" s="228">
        <f t="shared" si="83"/>
        <v>0</v>
      </c>
      <c r="U74" s="229">
        <f t="shared" si="84"/>
        <v>0</v>
      </c>
      <c r="V74" s="262"/>
      <c r="W74" s="263"/>
      <c r="X74" s="228">
        <f t="shared" si="85"/>
        <v>0</v>
      </c>
      <c r="Y74" s="229">
        <f t="shared" si="86"/>
        <v>0</v>
      </c>
      <c r="Z74" s="232">
        <f t="shared" si="87"/>
        <v>3.6666666666666665</v>
      </c>
      <c r="AA74" s="233">
        <f t="shared" si="88"/>
        <v>5</v>
      </c>
      <c r="AB74" s="263"/>
      <c r="AC74" s="234">
        <f t="shared" si="89"/>
        <v>0</v>
      </c>
      <c r="AD74" s="235">
        <f t="shared" si="90"/>
        <v>0</v>
      </c>
      <c r="AE74" s="262"/>
      <c r="AF74" s="263"/>
      <c r="AG74" s="228">
        <f t="shared" si="91"/>
        <v>0</v>
      </c>
      <c r="AH74" s="229">
        <f t="shared" si="92"/>
        <v>0</v>
      </c>
      <c r="AI74" s="262"/>
      <c r="AJ74" s="263"/>
      <c r="AK74" s="228">
        <f t="shared" si="93"/>
        <v>0</v>
      </c>
      <c r="AL74" s="229">
        <f t="shared" si="94"/>
        <v>0</v>
      </c>
      <c r="AM74" s="236">
        <f t="shared" si="95"/>
        <v>0</v>
      </c>
      <c r="AN74" s="237">
        <f t="shared" si="96"/>
        <v>0</v>
      </c>
      <c r="AO74" s="262"/>
      <c r="AP74" s="263"/>
      <c r="AQ74" s="228">
        <f t="shared" si="97"/>
        <v>0</v>
      </c>
      <c r="AR74" s="229">
        <f t="shared" si="98"/>
        <v>0</v>
      </c>
      <c r="AS74" s="263"/>
      <c r="AT74" s="234">
        <f t="shared" si="99"/>
        <v>0</v>
      </c>
      <c r="AU74" s="238">
        <f t="shared" si="100"/>
        <v>0</v>
      </c>
      <c r="AV74" s="236">
        <f t="shared" si="101"/>
        <v>0</v>
      </c>
      <c r="AW74" s="237">
        <f t="shared" si="102"/>
        <v>0</v>
      </c>
      <c r="AX74" s="263"/>
      <c r="AY74" s="263"/>
      <c r="AZ74" s="228">
        <f t="shared" si="103"/>
        <v>0</v>
      </c>
      <c r="BA74" s="229">
        <f t="shared" si="104"/>
        <v>0</v>
      </c>
      <c r="BB74" s="236">
        <f t="shared" si="105"/>
        <v>0</v>
      </c>
      <c r="BC74" s="237">
        <f t="shared" si="106"/>
        <v>0</v>
      </c>
      <c r="BD74" s="239">
        <f t="shared" si="107"/>
        <v>1.5714285714285714</v>
      </c>
      <c r="BE74" s="240">
        <f t="shared" si="108"/>
        <v>5</v>
      </c>
      <c r="BF74" s="263"/>
      <c r="BG74" s="263"/>
      <c r="BH74" s="264">
        <f t="shared" si="109"/>
        <v>0</v>
      </c>
      <c r="BI74" s="265">
        <f t="shared" si="110"/>
        <v>0</v>
      </c>
      <c r="BJ74" s="263"/>
      <c r="BK74" s="263"/>
      <c r="BL74" s="264">
        <f t="shared" si="111"/>
        <v>0</v>
      </c>
      <c r="BM74" s="265">
        <f t="shared" si="112"/>
        <v>0</v>
      </c>
      <c r="BN74" s="263"/>
      <c r="BO74" s="263"/>
      <c r="BP74" s="264">
        <f t="shared" si="113"/>
        <v>0</v>
      </c>
      <c r="BQ74" s="265">
        <f t="shared" si="114"/>
        <v>0</v>
      </c>
      <c r="BR74" s="266">
        <f t="shared" si="115"/>
        <v>0</v>
      </c>
      <c r="BS74" s="267">
        <f t="shared" si="116"/>
        <v>0</v>
      </c>
      <c r="BT74" s="263"/>
      <c r="BU74" s="263"/>
      <c r="BV74" s="264">
        <f t="shared" si="117"/>
        <v>0</v>
      </c>
      <c r="BW74" s="265">
        <f t="shared" si="118"/>
        <v>0</v>
      </c>
      <c r="BX74" s="263"/>
      <c r="BY74" s="263"/>
      <c r="BZ74" s="264">
        <f t="shared" si="119"/>
        <v>0</v>
      </c>
      <c r="CA74" s="265">
        <f t="shared" si="120"/>
        <v>0</v>
      </c>
      <c r="CB74" s="268">
        <f t="shared" si="121"/>
        <v>0</v>
      </c>
      <c r="CC74" s="267">
        <f t="shared" si="122"/>
        <v>0</v>
      </c>
      <c r="CD74" s="263"/>
      <c r="CE74" s="263"/>
      <c r="CF74" s="264">
        <f t="shared" si="123"/>
        <v>0</v>
      </c>
      <c r="CG74" s="265">
        <f t="shared" si="124"/>
        <v>0</v>
      </c>
      <c r="CH74" s="268">
        <f t="shared" si="125"/>
        <v>0</v>
      </c>
      <c r="CI74" s="267">
        <f t="shared" si="126"/>
        <v>0</v>
      </c>
      <c r="CJ74" s="263"/>
      <c r="CK74" s="269">
        <f t="shared" si="127"/>
        <v>0</v>
      </c>
      <c r="CL74" s="270">
        <f t="shared" si="128"/>
        <v>0</v>
      </c>
      <c r="CM74" s="268">
        <f t="shared" si="129"/>
        <v>0</v>
      </c>
      <c r="CN74" s="267">
        <f t="shared" si="130"/>
        <v>0</v>
      </c>
      <c r="CO74" s="65">
        <f t="shared" si="131"/>
        <v>0</v>
      </c>
      <c r="CP74" s="66">
        <f t="shared" si="132"/>
        <v>0</v>
      </c>
      <c r="CQ74" s="31">
        <f t="shared" si="72"/>
        <v>1.5714285714285714</v>
      </c>
      <c r="CR74" s="32">
        <f t="shared" si="73"/>
        <v>5</v>
      </c>
      <c r="CS74" s="33">
        <f t="shared" si="74"/>
        <v>0</v>
      </c>
      <c r="CT74" s="34">
        <f t="shared" si="75"/>
        <v>0</v>
      </c>
      <c r="CU74" s="67">
        <f t="shared" si="76"/>
        <v>0.7857142857142857</v>
      </c>
      <c r="CV74" s="35">
        <f t="shared" si="77"/>
        <v>5</v>
      </c>
      <c r="CW74" s="59">
        <f t="shared" si="78"/>
        <v>5</v>
      </c>
      <c r="CX74" s="43" t="str">
        <f t="shared" si="133"/>
        <v>مؤجل(ة)</v>
      </c>
      <c r="CY74" s="44"/>
      <c r="CZ74" s="50"/>
      <c r="DA74" s="46"/>
    </row>
    <row r="75" spans="2:105" ht="27.75" customHeight="1" thickBot="1">
      <c r="B75" s="1">
        <f t="shared" si="134"/>
        <v>26</v>
      </c>
      <c r="C75" s="323" t="s">
        <v>145</v>
      </c>
      <c r="D75" s="249" t="s">
        <v>146</v>
      </c>
      <c r="E75" s="137" t="s">
        <v>350</v>
      </c>
      <c r="F75" s="135">
        <v>35165</v>
      </c>
      <c r="G75" s="136" t="s">
        <v>746</v>
      </c>
      <c r="H75" s="131"/>
      <c r="I75" s="132"/>
      <c r="J75" s="133"/>
      <c r="K75" s="134"/>
      <c r="L75" s="53">
        <f t="shared" si="79"/>
        <v>0</v>
      </c>
      <c r="M75" s="58">
        <f t="shared" si="80"/>
        <v>0</v>
      </c>
      <c r="N75" s="262">
        <v>11.5</v>
      </c>
      <c r="O75" s="263">
        <v>11.5</v>
      </c>
      <c r="P75" s="228">
        <f t="shared" si="81"/>
        <v>11.5</v>
      </c>
      <c r="Q75" s="229">
        <f t="shared" si="82"/>
        <v>5</v>
      </c>
      <c r="R75" s="262">
        <v>11</v>
      </c>
      <c r="S75" s="263">
        <v>1.5</v>
      </c>
      <c r="T75" s="228">
        <f t="shared" si="83"/>
        <v>6.25</v>
      </c>
      <c r="U75" s="229">
        <f t="shared" si="84"/>
        <v>0</v>
      </c>
      <c r="V75" s="262">
        <v>16.5</v>
      </c>
      <c r="W75" s="263">
        <v>6</v>
      </c>
      <c r="X75" s="228">
        <f t="shared" si="85"/>
        <v>11.25</v>
      </c>
      <c r="Y75" s="229">
        <f t="shared" si="86"/>
        <v>6</v>
      </c>
      <c r="Z75" s="232">
        <f t="shared" si="87"/>
        <v>9.6666666666666661</v>
      </c>
      <c r="AA75" s="233">
        <f t="shared" si="88"/>
        <v>11</v>
      </c>
      <c r="AB75" s="263">
        <v>8</v>
      </c>
      <c r="AC75" s="234">
        <f t="shared" si="89"/>
        <v>8</v>
      </c>
      <c r="AD75" s="235">
        <f t="shared" si="90"/>
        <v>0</v>
      </c>
      <c r="AE75" s="262">
        <v>12.5</v>
      </c>
      <c r="AF75" s="263">
        <v>12.5</v>
      </c>
      <c r="AG75" s="228">
        <f t="shared" si="91"/>
        <v>12.5</v>
      </c>
      <c r="AH75" s="229">
        <f t="shared" si="92"/>
        <v>3</v>
      </c>
      <c r="AI75" s="262">
        <v>10</v>
      </c>
      <c r="AJ75" s="263">
        <v>1</v>
      </c>
      <c r="AK75" s="228">
        <f t="shared" si="93"/>
        <v>5.5</v>
      </c>
      <c r="AL75" s="229">
        <f t="shared" si="94"/>
        <v>0</v>
      </c>
      <c r="AM75" s="236">
        <f t="shared" si="95"/>
        <v>8.8000000000000007</v>
      </c>
      <c r="AN75" s="237">
        <f t="shared" si="96"/>
        <v>3</v>
      </c>
      <c r="AO75" s="262">
        <v>10</v>
      </c>
      <c r="AP75" s="263">
        <v>2</v>
      </c>
      <c r="AQ75" s="228">
        <f t="shared" si="97"/>
        <v>6</v>
      </c>
      <c r="AR75" s="229">
        <f t="shared" si="98"/>
        <v>0</v>
      </c>
      <c r="AS75" s="263">
        <v>8.5</v>
      </c>
      <c r="AT75" s="234">
        <f t="shared" si="99"/>
        <v>8.5</v>
      </c>
      <c r="AU75" s="238">
        <f t="shared" si="100"/>
        <v>0</v>
      </c>
      <c r="AV75" s="236">
        <f t="shared" si="101"/>
        <v>7.25</v>
      </c>
      <c r="AW75" s="237">
        <f t="shared" si="102"/>
        <v>0</v>
      </c>
      <c r="AX75" s="263">
        <v>14.5</v>
      </c>
      <c r="AY75" s="263">
        <v>3</v>
      </c>
      <c r="AZ75" s="228">
        <f t="shared" si="103"/>
        <v>8.75</v>
      </c>
      <c r="BA75" s="229">
        <f t="shared" si="104"/>
        <v>0</v>
      </c>
      <c r="BB75" s="236">
        <f t="shared" si="105"/>
        <v>8.75</v>
      </c>
      <c r="BC75" s="237">
        <f t="shared" si="106"/>
        <v>0</v>
      </c>
      <c r="BD75" s="239">
        <f t="shared" si="107"/>
        <v>8.9464285714285712</v>
      </c>
      <c r="BE75" s="240">
        <f t="shared" si="108"/>
        <v>14</v>
      </c>
      <c r="BF75" s="263"/>
      <c r="BG75" s="263"/>
      <c r="BH75" s="264">
        <f t="shared" si="109"/>
        <v>0</v>
      </c>
      <c r="BI75" s="265">
        <f t="shared" si="110"/>
        <v>0</v>
      </c>
      <c r="BJ75" s="263"/>
      <c r="BK75" s="263"/>
      <c r="BL75" s="264">
        <f t="shared" si="111"/>
        <v>0</v>
      </c>
      <c r="BM75" s="265">
        <f t="shared" si="112"/>
        <v>0</v>
      </c>
      <c r="BN75" s="263"/>
      <c r="BO75" s="263"/>
      <c r="BP75" s="264">
        <f t="shared" si="113"/>
        <v>0</v>
      </c>
      <c r="BQ75" s="265">
        <f t="shared" si="114"/>
        <v>0</v>
      </c>
      <c r="BR75" s="266">
        <f t="shared" si="115"/>
        <v>0</v>
      </c>
      <c r="BS75" s="267">
        <f t="shared" si="116"/>
        <v>0</v>
      </c>
      <c r="BT75" s="263"/>
      <c r="BU75" s="263"/>
      <c r="BV75" s="264">
        <f t="shared" si="117"/>
        <v>0</v>
      </c>
      <c r="BW75" s="265">
        <f t="shared" si="118"/>
        <v>0</v>
      </c>
      <c r="BX75" s="263"/>
      <c r="BY75" s="263"/>
      <c r="BZ75" s="264">
        <f t="shared" si="119"/>
        <v>0</v>
      </c>
      <c r="CA75" s="265">
        <f t="shared" si="120"/>
        <v>0</v>
      </c>
      <c r="CB75" s="268">
        <f t="shared" si="121"/>
        <v>0</v>
      </c>
      <c r="CC75" s="267">
        <f t="shared" si="122"/>
        <v>0</v>
      </c>
      <c r="CD75" s="263"/>
      <c r="CE75" s="263"/>
      <c r="CF75" s="264">
        <f t="shared" si="123"/>
        <v>0</v>
      </c>
      <c r="CG75" s="265">
        <f t="shared" si="124"/>
        <v>0</v>
      </c>
      <c r="CH75" s="268">
        <f t="shared" si="125"/>
        <v>0</v>
      </c>
      <c r="CI75" s="267">
        <f t="shared" si="126"/>
        <v>0</v>
      </c>
      <c r="CJ75" s="263"/>
      <c r="CK75" s="269">
        <f t="shared" si="127"/>
        <v>0</v>
      </c>
      <c r="CL75" s="270">
        <f t="shared" si="128"/>
        <v>0</v>
      </c>
      <c r="CM75" s="268">
        <f t="shared" si="129"/>
        <v>0</v>
      </c>
      <c r="CN75" s="267">
        <f t="shared" si="130"/>
        <v>0</v>
      </c>
      <c r="CO75" s="65">
        <f t="shared" si="131"/>
        <v>0</v>
      </c>
      <c r="CP75" s="66">
        <f t="shared" si="132"/>
        <v>0</v>
      </c>
      <c r="CQ75" s="31">
        <f t="shared" si="72"/>
        <v>8.9464285714285712</v>
      </c>
      <c r="CR75" s="32">
        <f t="shared" si="73"/>
        <v>14</v>
      </c>
      <c r="CS75" s="33">
        <f t="shared" si="74"/>
        <v>0</v>
      </c>
      <c r="CT75" s="34">
        <f t="shared" si="75"/>
        <v>0</v>
      </c>
      <c r="CU75" s="67">
        <f t="shared" si="76"/>
        <v>4.4732142857142856</v>
      </c>
      <c r="CV75" s="35">
        <f t="shared" si="77"/>
        <v>14</v>
      </c>
      <c r="CW75" s="59">
        <f t="shared" si="78"/>
        <v>14</v>
      </c>
      <c r="CX75" s="43" t="str">
        <f t="shared" si="133"/>
        <v>مؤجل(ة)</v>
      </c>
      <c r="CY75" s="44"/>
      <c r="CZ75" s="50"/>
      <c r="DA75" s="46"/>
    </row>
    <row r="76" spans="2:105" ht="27.75" customHeight="1" thickBot="1">
      <c r="B76" s="1">
        <f t="shared" si="134"/>
        <v>27</v>
      </c>
      <c r="C76" s="323" t="s">
        <v>310</v>
      </c>
      <c r="D76" s="249" t="s">
        <v>311</v>
      </c>
      <c r="E76" s="47" t="s">
        <v>478</v>
      </c>
      <c r="F76" s="135">
        <v>34174</v>
      </c>
      <c r="G76" s="136" t="s">
        <v>746</v>
      </c>
      <c r="H76" s="131"/>
      <c r="I76" s="132"/>
      <c r="J76" s="133"/>
      <c r="K76" s="134"/>
      <c r="L76" s="53">
        <f t="shared" si="79"/>
        <v>0</v>
      </c>
      <c r="M76" s="58">
        <f t="shared" si="80"/>
        <v>0</v>
      </c>
      <c r="N76" s="262"/>
      <c r="O76" s="263"/>
      <c r="P76" s="228">
        <f t="shared" si="81"/>
        <v>0</v>
      </c>
      <c r="Q76" s="229">
        <f t="shared" si="82"/>
        <v>0</v>
      </c>
      <c r="R76" s="262"/>
      <c r="S76" s="263"/>
      <c r="T76" s="228">
        <f t="shared" si="83"/>
        <v>0</v>
      </c>
      <c r="U76" s="229">
        <f t="shared" si="84"/>
        <v>0</v>
      </c>
      <c r="V76" s="262"/>
      <c r="W76" s="263"/>
      <c r="X76" s="228">
        <f t="shared" si="85"/>
        <v>0</v>
      </c>
      <c r="Y76" s="229">
        <f t="shared" si="86"/>
        <v>0</v>
      </c>
      <c r="Z76" s="232">
        <f t="shared" si="87"/>
        <v>0</v>
      </c>
      <c r="AA76" s="233">
        <f t="shared" si="88"/>
        <v>0</v>
      </c>
      <c r="AB76" s="263"/>
      <c r="AC76" s="234">
        <f t="shared" si="89"/>
        <v>0</v>
      </c>
      <c r="AD76" s="235">
        <f t="shared" si="90"/>
        <v>0</v>
      </c>
      <c r="AE76" s="262"/>
      <c r="AF76" s="263"/>
      <c r="AG76" s="228">
        <f t="shared" si="91"/>
        <v>0</v>
      </c>
      <c r="AH76" s="229">
        <f t="shared" si="92"/>
        <v>0</v>
      </c>
      <c r="AI76" s="262"/>
      <c r="AJ76" s="263"/>
      <c r="AK76" s="228">
        <f t="shared" si="93"/>
        <v>0</v>
      </c>
      <c r="AL76" s="229">
        <f t="shared" si="94"/>
        <v>0</v>
      </c>
      <c r="AM76" s="236">
        <f t="shared" si="95"/>
        <v>0</v>
      </c>
      <c r="AN76" s="237">
        <f t="shared" si="96"/>
        <v>0</v>
      </c>
      <c r="AO76" s="262"/>
      <c r="AP76" s="263"/>
      <c r="AQ76" s="228">
        <f t="shared" si="97"/>
        <v>0</v>
      </c>
      <c r="AR76" s="229">
        <f t="shared" si="98"/>
        <v>0</v>
      </c>
      <c r="AS76" s="263"/>
      <c r="AT76" s="234">
        <f t="shared" si="99"/>
        <v>0</v>
      </c>
      <c r="AU76" s="238">
        <f t="shared" si="100"/>
        <v>0</v>
      </c>
      <c r="AV76" s="236">
        <f t="shared" si="101"/>
        <v>0</v>
      </c>
      <c r="AW76" s="237">
        <f t="shared" si="102"/>
        <v>0</v>
      </c>
      <c r="AX76" s="263"/>
      <c r="AY76" s="263"/>
      <c r="AZ76" s="228">
        <f t="shared" si="103"/>
        <v>0</v>
      </c>
      <c r="BA76" s="229">
        <f t="shared" si="104"/>
        <v>0</v>
      </c>
      <c r="BB76" s="236">
        <f t="shared" si="105"/>
        <v>0</v>
      </c>
      <c r="BC76" s="237">
        <f t="shared" si="106"/>
        <v>0</v>
      </c>
      <c r="BD76" s="239">
        <f t="shared" si="107"/>
        <v>0</v>
      </c>
      <c r="BE76" s="240">
        <f t="shared" si="108"/>
        <v>0</v>
      </c>
      <c r="BF76" s="263"/>
      <c r="BG76" s="263"/>
      <c r="BH76" s="264">
        <f t="shared" si="109"/>
        <v>0</v>
      </c>
      <c r="BI76" s="265">
        <f t="shared" si="110"/>
        <v>0</v>
      </c>
      <c r="BJ76" s="263"/>
      <c r="BK76" s="263"/>
      <c r="BL76" s="264">
        <f t="shared" si="111"/>
        <v>0</v>
      </c>
      <c r="BM76" s="265">
        <f t="shared" si="112"/>
        <v>0</v>
      </c>
      <c r="BN76" s="263"/>
      <c r="BO76" s="263"/>
      <c r="BP76" s="264">
        <f t="shared" si="113"/>
        <v>0</v>
      </c>
      <c r="BQ76" s="265">
        <f t="shared" si="114"/>
        <v>0</v>
      </c>
      <c r="BR76" s="266">
        <f t="shared" si="115"/>
        <v>0</v>
      </c>
      <c r="BS76" s="267">
        <f t="shared" si="116"/>
        <v>0</v>
      </c>
      <c r="BT76" s="263"/>
      <c r="BU76" s="263"/>
      <c r="BV76" s="264">
        <f t="shared" si="117"/>
        <v>0</v>
      </c>
      <c r="BW76" s="265">
        <f t="shared" si="118"/>
        <v>0</v>
      </c>
      <c r="BX76" s="263"/>
      <c r="BY76" s="263"/>
      <c r="BZ76" s="264">
        <f t="shared" si="119"/>
        <v>0</v>
      </c>
      <c r="CA76" s="265">
        <f t="shared" si="120"/>
        <v>0</v>
      </c>
      <c r="CB76" s="268">
        <f t="shared" si="121"/>
        <v>0</v>
      </c>
      <c r="CC76" s="267">
        <f t="shared" si="122"/>
        <v>0</v>
      </c>
      <c r="CD76" s="263"/>
      <c r="CE76" s="263"/>
      <c r="CF76" s="264">
        <f t="shared" si="123"/>
        <v>0</v>
      </c>
      <c r="CG76" s="265">
        <f t="shared" si="124"/>
        <v>0</v>
      </c>
      <c r="CH76" s="268">
        <f t="shared" si="125"/>
        <v>0</v>
      </c>
      <c r="CI76" s="267">
        <f t="shared" si="126"/>
        <v>0</v>
      </c>
      <c r="CJ76" s="263"/>
      <c r="CK76" s="269">
        <f t="shared" si="127"/>
        <v>0</v>
      </c>
      <c r="CL76" s="270">
        <f t="shared" si="128"/>
        <v>0</v>
      </c>
      <c r="CM76" s="268">
        <f t="shared" si="129"/>
        <v>0</v>
      </c>
      <c r="CN76" s="267">
        <f t="shared" si="130"/>
        <v>0</v>
      </c>
      <c r="CO76" s="65">
        <f t="shared" si="131"/>
        <v>0</v>
      </c>
      <c r="CP76" s="66">
        <f t="shared" si="132"/>
        <v>0</v>
      </c>
      <c r="CQ76" s="31">
        <f t="shared" si="72"/>
        <v>0</v>
      </c>
      <c r="CR76" s="32">
        <f t="shared" si="73"/>
        <v>0</v>
      </c>
      <c r="CS76" s="33">
        <f t="shared" si="74"/>
        <v>0</v>
      </c>
      <c r="CT76" s="34">
        <f t="shared" si="75"/>
        <v>0</v>
      </c>
      <c r="CU76" s="67">
        <f t="shared" si="76"/>
        <v>0</v>
      </c>
      <c r="CV76" s="35">
        <f t="shared" si="77"/>
        <v>0</v>
      </c>
      <c r="CW76" s="59">
        <f t="shared" si="78"/>
        <v>0</v>
      </c>
      <c r="CX76" s="43" t="str">
        <f t="shared" si="133"/>
        <v>مؤجل(ة)</v>
      </c>
      <c r="CY76" s="44"/>
      <c r="CZ76" s="50"/>
      <c r="DA76" s="46"/>
    </row>
    <row r="77" spans="2:105" ht="27.75" customHeight="1" thickBot="1">
      <c r="B77" s="1">
        <f t="shared" si="134"/>
        <v>28</v>
      </c>
      <c r="C77" s="323" t="s">
        <v>608</v>
      </c>
      <c r="D77" s="249" t="s">
        <v>609</v>
      </c>
      <c r="E77" s="47" t="s">
        <v>767</v>
      </c>
      <c r="F77" s="135"/>
      <c r="G77" s="136"/>
      <c r="H77" s="131">
        <v>8.3000000000000007</v>
      </c>
      <c r="I77" s="132">
        <v>13</v>
      </c>
      <c r="J77" s="133"/>
      <c r="K77" s="134">
        <v>17</v>
      </c>
      <c r="L77" s="53">
        <f t="shared" si="79"/>
        <v>4.1500000000000004</v>
      </c>
      <c r="M77" s="58">
        <f t="shared" si="80"/>
        <v>30</v>
      </c>
      <c r="N77" s="262">
        <v>10</v>
      </c>
      <c r="O77" s="263">
        <v>10</v>
      </c>
      <c r="P77" s="228">
        <f t="shared" si="81"/>
        <v>10</v>
      </c>
      <c r="Q77" s="229">
        <f t="shared" si="82"/>
        <v>5</v>
      </c>
      <c r="R77" s="262">
        <v>10</v>
      </c>
      <c r="S77" s="263">
        <v>8</v>
      </c>
      <c r="T77" s="228">
        <f t="shared" si="83"/>
        <v>9</v>
      </c>
      <c r="U77" s="229">
        <f t="shared" si="84"/>
        <v>0</v>
      </c>
      <c r="V77" s="262">
        <v>15.5</v>
      </c>
      <c r="W77" s="263">
        <v>8</v>
      </c>
      <c r="X77" s="228">
        <f t="shared" si="85"/>
        <v>11.75</v>
      </c>
      <c r="Y77" s="229">
        <f t="shared" si="86"/>
        <v>6</v>
      </c>
      <c r="Z77" s="232">
        <f t="shared" si="87"/>
        <v>10.25</v>
      </c>
      <c r="AA77" s="233">
        <f t="shared" si="88"/>
        <v>17</v>
      </c>
      <c r="AB77" s="263">
        <v>7</v>
      </c>
      <c r="AC77" s="234">
        <f t="shared" si="89"/>
        <v>7</v>
      </c>
      <c r="AD77" s="235">
        <f t="shared" si="90"/>
        <v>0</v>
      </c>
      <c r="AE77" s="262">
        <v>3.5</v>
      </c>
      <c r="AF77" s="263">
        <v>3.5</v>
      </c>
      <c r="AG77" s="228">
        <f t="shared" si="91"/>
        <v>3.5</v>
      </c>
      <c r="AH77" s="229">
        <f t="shared" si="92"/>
        <v>0</v>
      </c>
      <c r="AI77" s="262">
        <v>8</v>
      </c>
      <c r="AJ77" s="263">
        <v>0.5</v>
      </c>
      <c r="AK77" s="228">
        <f t="shared" si="93"/>
        <v>4.25</v>
      </c>
      <c r="AL77" s="229">
        <f t="shared" si="94"/>
        <v>0</v>
      </c>
      <c r="AM77" s="236">
        <f t="shared" si="95"/>
        <v>4.5</v>
      </c>
      <c r="AN77" s="237">
        <f t="shared" si="96"/>
        <v>0</v>
      </c>
      <c r="AO77" s="262">
        <v>10</v>
      </c>
      <c r="AP77" s="263">
        <v>2</v>
      </c>
      <c r="AQ77" s="228">
        <f t="shared" si="97"/>
        <v>6</v>
      </c>
      <c r="AR77" s="229">
        <f t="shared" si="98"/>
        <v>0</v>
      </c>
      <c r="AS77" s="263">
        <v>8</v>
      </c>
      <c r="AT77" s="234">
        <f t="shared" si="99"/>
        <v>8</v>
      </c>
      <c r="AU77" s="238">
        <f t="shared" si="100"/>
        <v>0</v>
      </c>
      <c r="AV77" s="236">
        <f t="shared" si="101"/>
        <v>7</v>
      </c>
      <c r="AW77" s="237">
        <f t="shared" si="102"/>
        <v>0</v>
      </c>
      <c r="AX77" s="263">
        <v>13.5</v>
      </c>
      <c r="AY77" s="263">
        <v>3</v>
      </c>
      <c r="AZ77" s="228">
        <f t="shared" si="103"/>
        <v>8.25</v>
      </c>
      <c r="BA77" s="229">
        <f t="shared" si="104"/>
        <v>0</v>
      </c>
      <c r="BB77" s="236">
        <f t="shared" si="105"/>
        <v>8.25</v>
      </c>
      <c r="BC77" s="237">
        <f t="shared" si="106"/>
        <v>0</v>
      </c>
      <c r="BD77" s="239">
        <f t="shared" si="107"/>
        <v>7.5892857142857144</v>
      </c>
      <c r="BE77" s="240">
        <f t="shared" si="108"/>
        <v>17</v>
      </c>
      <c r="BF77" s="263"/>
      <c r="BG77" s="263"/>
      <c r="BH77" s="264">
        <f t="shared" si="109"/>
        <v>0</v>
      </c>
      <c r="BI77" s="265">
        <f t="shared" si="110"/>
        <v>0</v>
      </c>
      <c r="BJ77" s="263"/>
      <c r="BK77" s="263"/>
      <c r="BL77" s="264">
        <f t="shared" si="111"/>
        <v>0</v>
      </c>
      <c r="BM77" s="265">
        <f t="shared" si="112"/>
        <v>0</v>
      </c>
      <c r="BN77" s="263"/>
      <c r="BO77" s="263"/>
      <c r="BP77" s="264">
        <f t="shared" si="113"/>
        <v>0</v>
      </c>
      <c r="BQ77" s="265">
        <f t="shared" si="114"/>
        <v>0</v>
      </c>
      <c r="BR77" s="266">
        <f t="shared" si="115"/>
        <v>0</v>
      </c>
      <c r="BS77" s="267">
        <f t="shared" si="116"/>
        <v>0</v>
      </c>
      <c r="BT77" s="263"/>
      <c r="BU77" s="263"/>
      <c r="BV77" s="264">
        <f t="shared" si="117"/>
        <v>0</v>
      </c>
      <c r="BW77" s="265">
        <f t="shared" si="118"/>
        <v>0</v>
      </c>
      <c r="BX77" s="263"/>
      <c r="BY77" s="263"/>
      <c r="BZ77" s="264">
        <f t="shared" si="119"/>
        <v>0</v>
      </c>
      <c r="CA77" s="265">
        <f t="shared" si="120"/>
        <v>0</v>
      </c>
      <c r="CB77" s="268">
        <f t="shared" si="121"/>
        <v>0</v>
      </c>
      <c r="CC77" s="267">
        <f t="shared" si="122"/>
        <v>0</v>
      </c>
      <c r="CD77" s="263"/>
      <c r="CE77" s="263"/>
      <c r="CF77" s="264">
        <f t="shared" si="123"/>
        <v>0</v>
      </c>
      <c r="CG77" s="265">
        <f t="shared" si="124"/>
        <v>0</v>
      </c>
      <c r="CH77" s="268">
        <f t="shared" si="125"/>
        <v>0</v>
      </c>
      <c r="CI77" s="267">
        <f t="shared" si="126"/>
        <v>0</v>
      </c>
      <c r="CJ77" s="263"/>
      <c r="CK77" s="269">
        <f t="shared" si="127"/>
        <v>0</v>
      </c>
      <c r="CL77" s="270">
        <f t="shared" si="128"/>
        <v>0</v>
      </c>
      <c r="CM77" s="268">
        <f t="shared" si="129"/>
        <v>0</v>
      </c>
      <c r="CN77" s="267">
        <f t="shared" si="130"/>
        <v>0</v>
      </c>
      <c r="CO77" s="65">
        <f t="shared" si="131"/>
        <v>0</v>
      </c>
      <c r="CP77" s="66">
        <f t="shared" si="132"/>
        <v>0</v>
      </c>
      <c r="CQ77" s="31">
        <f t="shared" si="72"/>
        <v>7.5892857142857144</v>
      </c>
      <c r="CR77" s="32">
        <f t="shared" si="73"/>
        <v>17</v>
      </c>
      <c r="CS77" s="33">
        <f t="shared" si="74"/>
        <v>0</v>
      </c>
      <c r="CT77" s="34">
        <f t="shared" si="75"/>
        <v>0</v>
      </c>
      <c r="CU77" s="67">
        <f t="shared" si="76"/>
        <v>3.7946428571428572</v>
      </c>
      <c r="CV77" s="35">
        <f t="shared" si="77"/>
        <v>17</v>
      </c>
      <c r="CW77" s="59">
        <f t="shared" si="78"/>
        <v>47</v>
      </c>
      <c r="CX77" s="43" t="str">
        <f t="shared" si="133"/>
        <v>مؤجل(ة)</v>
      </c>
      <c r="CY77" s="44"/>
      <c r="CZ77" s="51"/>
      <c r="DA77" s="46"/>
    </row>
    <row r="78" spans="2:105" ht="27.75" customHeight="1" thickBot="1">
      <c r="B78" s="1">
        <f t="shared" si="134"/>
        <v>29</v>
      </c>
      <c r="C78" s="323" t="s">
        <v>610</v>
      </c>
      <c r="D78" s="249" t="s">
        <v>611</v>
      </c>
      <c r="E78" s="47" t="s">
        <v>768</v>
      </c>
      <c r="F78" s="135"/>
      <c r="G78" s="136"/>
      <c r="H78" s="131">
        <v>7.03</v>
      </c>
      <c r="I78" s="132">
        <v>10</v>
      </c>
      <c r="J78" s="133">
        <v>9.61</v>
      </c>
      <c r="K78" s="134">
        <v>23</v>
      </c>
      <c r="L78" s="53">
        <f t="shared" si="79"/>
        <v>8.32</v>
      </c>
      <c r="M78" s="58">
        <f t="shared" si="80"/>
        <v>33</v>
      </c>
      <c r="N78" s="262">
        <v>12</v>
      </c>
      <c r="O78" s="263">
        <v>3</v>
      </c>
      <c r="P78" s="228">
        <f t="shared" si="81"/>
        <v>7.5</v>
      </c>
      <c r="Q78" s="229">
        <f t="shared" si="82"/>
        <v>0</v>
      </c>
      <c r="R78" s="262">
        <v>10</v>
      </c>
      <c r="S78" s="263">
        <v>4.5</v>
      </c>
      <c r="T78" s="228">
        <f t="shared" si="83"/>
        <v>7.25</v>
      </c>
      <c r="U78" s="229">
        <f t="shared" si="84"/>
        <v>0</v>
      </c>
      <c r="V78" s="262">
        <v>12</v>
      </c>
      <c r="W78" s="263">
        <v>2</v>
      </c>
      <c r="X78" s="228">
        <f t="shared" si="85"/>
        <v>7</v>
      </c>
      <c r="Y78" s="229">
        <f t="shared" si="86"/>
        <v>0</v>
      </c>
      <c r="Z78" s="232">
        <f t="shared" si="87"/>
        <v>7.25</v>
      </c>
      <c r="AA78" s="233">
        <f t="shared" si="88"/>
        <v>0</v>
      </c>
      <c r="AB78" s="263">
        <v>4</v>
      </c>
      <c r="AC78" s="234">
        <f t="shared" si="89"/>
        <v>4</v>
      </c>
      <c r="AD78" s="235">
        <f t="shared" si="90"/>
        <v>0</v>
      </c>
      <c r="AE78" s="262">
        <v>0</v>
      </c>
      <c r="AF78" s="263">
        <v>0</v>
      </c>
      <c r="AG78" s="228">
        <f t="shared" si="91"/>
        <v>0</v>
      </c>
      <c r="AH78" s="229">
        <f t="shared" si="92"/>
        <v>0</v>
      </c>
      <c r="AI78" s="262">
        <v>8</v>
      </c>
      <c r="AJ78" s="263">
        <v>0.5</v>
      </c>
      <c r="AK78" s="228">
        <f t="shared" si="93"/>
        <v>4.25</v>
      </c>
      <c r="AL78" s="229">
        <f t="shared" si="94"/>
        <v>0</v>
      </c>
      <c r="AM78" s="236">
        <f t="shared" si="95"/>
        <v>2.5</v>
      </c>
      <c r="AN78" s="237">
        <f t="shared" si="96"/>
        <v>0</v>
      </c>
      <c r="AO78" s="262"/>
      <c r="AP78" s="263">
        <v>3</v>
      </c>
      <c r="AQ78" s="228">
        <f t="shared" si="97"/>
        <v>1.5</v>
      </c>
      <c r="AR78" s="229">
        <f t="shared" si="98"/>
        <v>0</v>
      </c>
      <c r="AS78" s="263">
        <v>0</v>
      </c>
      <c r="AT78" s="234">
        <f t="shared" si="99"/>
        <v>0</v>
      </c>
      <c r="AU78" s="238">
        <f t="shared" si="100"/>
        <v>0</v>
      </c>
      <c r="AV78" s="236">
        <f t="shared" si="101"/>
        <v>0.75</v>
      </c>
      <c r="AW78" s="237">
        <f t="shared" si="102"/>
        <v>0</v>
      </c>
      <c r="AX78" s="263">
        <v>12</v>
      </c>
      <c r="AY78" s="263">
        <v>7.5</v>
      </c>
      <c r="AZ78" s="228">
        <f t="shared" si="103"/>
        <v>9.75</v>
      </c>
      <c r="BA78" s="229">
        <f t="shared" si="104"/>
        <v>0</v>
      </c>
      <c r="BB78" s="236">
        <f t="shared" si="105"/>
        <v>9.75</v>
      </c>
      <c r="BC78" s="237">
        <f t="shared" si="106"/>
        <v>0</v>
      </c>
      <c r="BD78" s="239">
        <f t="shared" si="107"/>
        <v>4.8035714285714288</v>
      </c>
      <c r="BE78" s="240">
        <f t="shared" si="108"/>
        <v>0</v>
      </c>
      <c r="BF78" s="263"/>
      <c r="BG78" s="263"/>
      <c r="BH78" s="264">
        <f t="shared" si="109"/>
        <v>0</v>
      </c>
      <c r="BI78" s="265">
        <f t="shared" si="110"/>
        <v>0</v>
      </c>
      <c r="BJ78" s="263"/>
      <c r="BK78" s="263"/>
      <c r="BL78" s="264">
        <f t="shared" si="111"/>
        <v>0</v>
      </c>
      <c r="BM78" s="265">
        <f t="shared" si="112"/>
        <v>0</v>
      </c>
      <c r="BN78" s="263"/>
      <c r="BO78" s="263"/>
      <c r="BP78" s="264">
        <f t="shared" si="113"/>
        <v>0</v>
      </c>
      <c r="BQ78" s="265">
        <f t="shared" si="114"/>
        <v>0</v>
      </c>
      <c r="BR78" s="266">
        <f t="shared" si="115"/>
        <v>0</v>
      </c>
      <c r="BS78" s="267">
        <f t="shared" si="116"/>
        <v>0</v>
      </c>
      <c r="BT78" s="263"/>
      <c r="BU78" s="263"/>
      <c r="BV78" s="264">
        <f t="shared" si="117"/>
        <v>0</v>
      </c>
      <c r="BW78" s="265">
        <f t="shared" si="118"/>
        <v>0</v>
      </c>
      <c r="BX78" s="263"/>
      <c r="BY78" s="263"/>
      <c r="BZ78" s="264">
        <f t="shared" si="119"/>
        <v>0</v>
      </c>
      <c r="CA78" s="265">
        <f t="shared" si="120"/>
        <v>0</v>
      </c>
      <c r="CB78" s="268">
        <f t="shared" si="121"/>
        <v>0</v>
      </c>
      <c r="CC78" s="267">
        <f t="shared" si="122"/>
        <v>0</v>
      </c>
      <c r="CD78" s="263"/>
      <c r="CE78" s="263"/>
      <c r="CF78" s="264">
        <f t="shared" si="123"/>
        <v>0</v>
      </c>
      <c r="CG78" s="265">
        <f t="shared" si="124"/>
        <v>0</v>
      </c>
      <c r="CH78" s="268">
        <f t="shared" si="125"/>
        <v>0</v>
      </c>
      <c r="CI78" s="267">
        <f t="shared" si="126"/>
        <v>0</v>
      </c>
      <c r="CJ78" s="263"/>
      <c r="CK78" s="269">
        <f t="shared" si="127"/>
        <v>0</v>
      </c>
      <c r="CL78" s="270">
        <f t="shared" si="128"/>
        <v>0</v>
      </c>
      <c r="CM78" s="268">
        <f t="shared" si="129"/>
        <v>0</v>
      </c>
      <c r="CN78" s="267">
        <f t="shared" si="130"/>
        <v>0</v>
      </c>
      <c r="CO78" s="65">
        <f t="shared" si="131"/>
        <v>0</v>
      </c>
      <c r="CP78" s="66">
        <f t="shared" si="132"/>
        <v>0</v>
      </c>
      <c r="CQ78" s="31">
        <f t="shared" si="72"/>
        <v>4.8035714285714288</v>
      </c>
      <c r="CR78" s="32">
        <f t="shared" si="73"/>
        <v>0</v>
      </c>
      <c r="CS78" s="33">
        <f t="shared" si="74"/>
        <v>0</v>
      </c>
      <c r="CT78" s="34">
        <f t="shared" si="75"/>
        <v>0</v>
      </c>
      <c r="CU78" s="67">
        <f t="shared" si="76"/>
        <v>2.4017857142857144</v>
      </c>
      <c r="CV78" s="35">
        <f t="shared" si="77"/>
        <v>0</v>
      </c>
      <c r="CW78" s="59">
        <f t="shared" si="78"/>
        <v>33</v>
      </c>
      <c r="CX78" s="43" t="str">
        <f t="shared" si="133"/>
        <v>مؤجل(ة)</v>
      </c>
      <c r="CY78" s="44"/>
      <c r="CZ78" s="50"/>
      <c r="DA78" s="46"/>
    </row>
    <row r="79" spans="2:105" ht="27.75" customHeight="1" thickBot="1">
      <c r="B79" s="1">
        <f t="shared" si="134"/>
        <v>30</v>
      </c>
      <c r="C79" s="324" t="s">
        <v>612</v>
      </c>
      <c r="D79" s="249" t="s">
        <v>613</v>
      </c>
      <c r="E79" s="47" t="s">
        <v>375</v>
      </c>
      <c r="F79" s="135">
        <v>35139</v>
      </c>
      <c r="G79" s="136" t="s">
        <v>427</v>
      </c>
      <c r="H79" s="131">
        <v>9.59</v>
      </c>
      <c r="I79" s="132">
        <v>26</v>
      </c>
      <c r="J79" s="133">
        <v>4.4800000000000004</v>
      </c>
      <c r="K79" s="134">
        <v>11</v>
      </c>
      <c r="L79" s="53">
        <f t="shared" si="79"/>
        <v>7.0350000000000001</v>
      </c>
      <c r="M79" s="58">
        <f t="shared" si="80"/>
        <v>37</v>
      </c>
      <c r="N79" s="262">
        <v>11</v>
      </c>
      <c r="O79" s="263">
        <v>11</v>
      </c>
      <c r="P79" s="228">
        <f t="shared" si="81"/>
        <v>11</v>
      </c>
      <c r="Q79" s="229">
        <f t="shared" si="82"/>
        <v>5</v>
      </c>
      <c r="R79" s="262">
        <v>12.25</v>
      </c>
      <c r="S79" s="263">
        <v>12.25</v>
      </c>
      <c r="T79" s="228">
        <f t="shared" si="83"/>
        <v>12.25</v>
      </c>
      <c r="U79" s="229">
        <f t="shared" si="84"/>
        <v>6</v>
      </c>
      <c r="V79" s="262">
        <v>10</v>
      </c>
      <c r="W79" s="263">
        <v>10</v>
      </c>
      <c r="X79" s="228">
        <f t="shared" si="85"/>
        <v>10</v>
      </c>
      <c r="Y79" s="229">
        <f t="shared" si="86"/>
        <v>6</v>
      </c>
      <c r="Z79" s="232">
        <f t="shared" si="87"/>
        <v>11.083333333333334</v>
      </c>
      <c r="AA79" s="233">
        <f t="shared" si="88"/>
        <v>17</v>
      </c>
      <c r="AB79" s="263">
        <v>10</v>
      </c>
      <c r="AC79" s="234">
        <f t="shared" si="89"/>
        <v>10</v>
      </c>
      <c r="AD79" s="235">
        <f t="shared" si="90"/>
        <v>1</v>
      </c>
      <c r="AE79" s="262">
        <v>10.63</v>
      </c>
      <c r="AF79" s="263">
        <v>10.63</v>
      </c>
      <c r="AG79" s="228">
        <f t="shared" si="91"/>
        <v>10.63</v>
      </c>
      <c r="AH79" s="229">
        <f t="shared" si="92"/>
        <v>3</v>
      </c>
      <c r="AI79" s="262">
        <v>7</v>
      </c>
      <c r="AJ79" s="263">
        <v>7</v>
      </c>
      <c r="AK79" s="228">
        <f t="shared" si="93"/>
        <v>7</v>
      </c>
      <c r="AL79" s="229">
        <f t="shared" si="94"/>
        <v>0</v>
      </c>
      <c r="AM79" s="236">
        <f t="shared" si="95"/>
        <v>9.0520000000000014</v>
      </c>
      <c r="AN79" s="237">
        <f t="shared" si="96"/>
        <v>4</v>
      </c>
      <c r="AO79" s="262">
        <v>9</v>
      </c>
      <c r="AP79" s="263">
        <v>9</v>
      </c>
      <c r="AQ79" s="228">
        <f t="shared" si="97"/>
        <v>9</v>
      </c>
      <c r="AR79" s="229">
        <f t="shared" si="98"/>
        <v>0</v>
      </c>
      <c r="AS79" s="263">
        <v>11</v>
      </c>
      <c r="AT79" s="234">
        <f t="shared" si="99"/>
        <v>11</v>
      </c>
      <c r="AU79" s="238">
        <f t="shared" si="100"/>
        <v>1</v>
      </c>
      <c r="AV79" s="236">
        <f t="shared" si="101"/>
        <v>10</v>
      </c>
      <c r="AW79" s="237">
        <f t="shared" si="102"/>
        <v>5</v>
      </c>
      <c r="AX79" s="263">
        <v>11.88</v>
      </c>
      <c r="AY79" s="263">
        <v>11.88</v>
      </c>
      <c r="AZ79" s="228">
        <f t="shared" si="103"/>
        <v>11.88</v>
      </c>
      <c r="BA79" s="229">
        <f t="shared" si="104"/>
        <v>1</v>
      </c>
      <c r="BB79" s="236">
        <f t="shared" si="105"/>
        <v>11.88</v>
      </c>
      <c r="BC79" s="237">
        <f t="shared" si="106"/>
        <v>1</v>
      </c>
      <c r="BD79" s="239">
        <f t="shared" si="107"/>
        <v>10.26</v>
      </c>
      <c r="BE79" s="240">
        <f t="shared" si="108"/>
        <v>30</v>
      </c>
      <c r="BF79" s="263"/>
      <c r="BG79" s="263"/>
      <c r="BH79" s="264">
        <f t="shared" si="109"/>
        <v>0</v>
      </c>
      <c r="BI79" s="265">
        <f t="shared" si="110"/>
        <v>0</v>
      </c>
      <c r="BJ79" s="263"/>
      <c r="BK79" s="263"/>
      <c r="BL79" s="264">
        <f t="shared" si="111"/>
        <v>0</v>
      </c>
      <c r="BM79" s="265">
        <f t="shared" si="112"/>
        <v>0</v>
      </c>
      <c r="BN79" s="263"/>
      <c r="BO79" s="263"/>
      <c r="BP79" s="264">
        <f t="shared" si="113"/>
        <v>0</v>
      </c>
      <c r="BQ79" s="265">
        <f t="shared" si="114"/>
        <v>0</v>
      </c>
      <c r="BR79" s="266">
        <f t="shared" si="115"/>
        <v>0</v>
      </c>
      <c r="BS79" s="267">
        <f t="shared" si="116"/>
        <v>0</v>
      </c>
      <c r="BT79" s="263"/>
      <c r="BU79" s="263"/>
      <c r="BV79" s="264">
        <f t="shared" si="117"/>
        <v>0</v>
      </c>
      <c r="BW79" s="265">
        <f t="shared" si="118"/>
        <v>0</v>
      </c>
      <c r="BX79" s="263"/>
      <c r="BY79" s="263"/>
      <c r="BZ79" s="264">
        <f t="shared" si="119"/>
        <v>0</v>
      </c>
      <c r="CA79" s="265">
        <f t="shared" si="120"/>
        <v>0</v>
      </c>
      <c r="CB79" s="268">
        <f t="shared" si="121"/>
        <v>0</v>
      </c>
      <c r="CC79" s="267">
        <f t="shared" si="122"/>
        <v>0</v>
      </c>
      <c r="CD79" s="263"/>
      <c r="CE79" s="263"/>
      <c r="CF79" s="264">
        <f t="shared" si="123"/>
        <v>0</v>
      </c>
      <c r="CG79" s="265">
        <f t="shared" si="124"/>
        <v>0</v>
      </c>
      <c r="CH79" s="268">
        <f t="shared" si="125"/>
        <v>0</v>
      </c>
      <c r="CI79" s="267">
        <f t="shared" si="126"/>
        <v>0</v>
      </c>
      <c r="CJ79" s="263"/>
      <c r="CK79" s="269">
        <f t="shared" si="127"/>
        <v>0</v>
      </c>
      <c r="CL79" s="270">
        <f t="shared" si="128"/>
        <v>0</v>
      </c>
      <c r="CM79" s="268">
        <f t="shared" si="129"/>
        <v>0</v>
      </c>
      <c r="CN79" s="267">
        <f t="shared" si="130"/>
        <v>0</v>
      </c>
      <c r="CO79" s="65">
        <f t="shared" si="131"/>
        <v>0</v>
      </c>
      <c r="CP79" s="66">
        <f t="shared" si="132"/>
        <v>0</v>
      </c>
      <c r="CQ79" s="31">
        <f t="shared" si="72"/>
        <v>10.26</v>
      </c>
      <c r="CR79" s="32">
        <f t="shared" si="73"/>
        <v>30</v>
      </c>
      <c r="CS79" s="33">
        <f t="shared" si="74"/>
        <v>0</v>
      </c>
      <c r="CT79" s="34">
        <f t="shared" si="75"/>
        <v>0</v>
      </c>
      <c r="CU79" s="67">
        <f t="shared" si="76"/>
        <v>5.13</v>
      </c>
      <c r="CV79" s="35">
        <f t="shared" si="77"/>
        <v>30</v>
      </c>
      <c r="CW79" s="59">
        <f t="shared" si="78"/>
        <v>67</v>
      </c>
      <c r="CX79" s="43" t="str">
        <f t="shared" si="133"/>
        <v>مؤجل(ة)</v>
      </c>
      <c r="CZ79" s="51"/>
      <c r="DA79" s="46"/>
    </row>
    <row r="80" spans="2:105" ht="27.75" customHeight="1" thickBot="1">
      <c r="B80" s="1">
        <f t="shared" si="134"/>
        <v>31</v>
      </c>
      <c r="C80" s="323" t="s">
        <v>316</v>
      </c>
      <c r="D80" s="249" t="s">
        <v>614</v>
      </c>
      <c r="E80" s="47" t="s">
        <v>481</v>
      </c>
      <c r="F80" s="135">
        <v>34504</v>
      </c>
      <c r="G80" s="136" t="s">
        <v>746</v>
      </c>
      <c r="H80" s="131"/>
      <c r="I80" s="132"/>
      <c r="J80" s="133"/>
      <c r="K80" s="134"/>
      <c r="L80" s="53">
        <f t="shared" si="79"/>
        <v>0</v>
      </c>
      <c r="M80" s="58">
        <f t="shared" si="80"/>
        <v>0</v>
      </c>
      <c r="N80" s="262">
        <v>11.5</v>
      </c>
      <c r="O80" s="263">
        <v>11.5</v>
      </c>
      <c r="P80" s="228">
        <f t="shared" si="81"/>
        <v>11.5</v>
      </c>
      <c r="Q80" s="229">
        <f t="shared" si="82"/>
        <v>5</v>
      </c>
      <c r="R80" s="262">
        <v>11</v>
      </c>
      <c r="S80" s="263">
        <v>5.5</v>
      </c>
      <c r="T80" s="228">
        <f t="shared" si="83"/>
        <v>8.25</v>
      </c>
      <c r="U80" s="229">
        <f t="shared" si="84"/>
        <v>0</v>
      </c>
      <c r="V80" s="262">
        <v>16.75</v>
      </c>
      <c r="W80" s="263">
        <v>3.25</v>
      </c>
      <c r="X80" s="228">
        <f t="shared" si="85"/>
        <v>10</v>
      </c>
      <c r="Y80" s="229">
        <f t="shared" si="86"/>
        <v>6</v>
      </c>
      <c r="Z80" s="232">
        <f t="shared" si="87"/>
        <v>9.9166666666666661</v>
      </c>
      <c r="AA80" s="233">
        <f t="shared" si="88"/>
        <v>11</v>
      </c>
      <c r="AB80" s="263">
        <v>10</v>
      </c>
      <c r="AC80" s="234">
        <f t="shared" si="89"/>
        <v>10</v>
      </c>
      <c r="AD80" s="235">
        <f t="shared" si="90"/>
        <v>1</v>
      </c>
      <c r="AE80" s="262">
        <v>0</v>
      </c>
      <c r="AF80" s="263">
        <v>0</v>
      </c>
      <c r="AG80" s="228">
        <f t="shared" si="91"/>
        <v>0</v>
      </c>
      <c r="AH80" s="229">
        <f t="shared" si="92"/>
        <v>0</v>
      </c>
      <c r="AI80" s="262">
        <v>8</v>
      </c>
      <c r="AJ80" s="263">
        <v>0</v>
      </c>
      <c r="AK80" s="228">
        <f t="shared" si="93"/>
        <v>4</v>
      </c>
      <c r="AL80" s="229">
        <f t="shared" si="94"/>
        <v>0</v>
      </c>
      <c r="AM80" s="236">
        <f t="shared" si="95"/>
        <v>3.6</v>
      </c>
      <c r="AN80" s="237">
        <f t="shared" si="96"/>
        <v>1</v>
      </c>
      <c r="AO80" s="262"/>
      <c r="AP80" s="263">
        <v>1</v>
      </c>
      <c r="AQ80" s="228">
        <f t="shared" si="97"/>
        <v>0.5</v>
      </c>
      <c r="AR80" s="229">
        <f t="shared" si="98"/>
        <v>0</v>
      </c>
      <c r="AS80" s="263">
        <v>1.5</v>
      </c>
      <c r="AT80" s="234">
        <f t="shared" si="99"/>
        <v>1.5</v>
      </c>
      <c r="AU80" s="238">
        <f t="shared" si="100"/>
        <v>0</v>
      </c>
      <c r="AV80" s="236">
        <f t="shared" si="101"/>
        <v>1</v>
      </c>
      <c r="AW80" s="237">
        <f t="shared" si="102"/>
        <v>0</v>
      </c>
      <c r="AX80" s="263">
        <v>12.75</v>
      </c>
      <c r="AY80" s="263">
        <v>12.75</v>
      </c>
      <c r="AZ80" s="228">
        <f t="shared" si="103"/>
        <v>12.75</v>
      </c>
      <c r="BA80" s="229">
        <f t="shared" si="104"/>
        <v>1</v>
      </c>
      <c r="BB80" s="236">
        <f t="shared" si="105"/>
        <v>12.75</v>
      </c>
      <c r="BC80" s="237">
        <f t="shared" si="106"/>
        <v>1</v>
      </c>
      <c r="BD80" s="239">
        <f t="shared" si="107"/>
        <v>6.5892857142857144</v>
      </c>
      <c r="BE80" s="240">
        <f t="shared" si="108"/>
        <v>13</v>
      </c>
      <c r="BF80" s="263"/>
      <c r="BG80" s="263"/>
      <c r="BH80" s="264">
        <f t="shared" si="109"/>
        <v>0</v>
      </c>
      <c r="BI80" s="265">
        <f t="shared" si="110"/>
        <v>0</v>
      </c>
      <c r="BJ80" s="263"/>
      <c r="BK80" s="263"/>
      <c r="BL80" s="264">
        <f t="shared" si="111"/>
        <v>0</v>
      </c>
      <c r="BM80" s="265">
        <f t="shared" si="112"/>
        <v>0</v>
      </c>
      <c r="BN80" s="263"/>
      <c r="BO80" s="263"/>
      <c r="BP80" s="264">
        <f t="shared" si="113"/>
        <v>0</v>
      </c>
      <c r="BQ80" s="265">
        <f t="shared" si="114"/>
        <v>0</v>
      </c>
      <c r="BR80" s="266">
        <f t="shared" si="115"/>
        <v>0</v>
      </c>
      <c r="BS80" s="267">
        <f t="shared" si="116"/>
        <v>0</v>
      </c>
      <c r="BT80" s="263"/>
      <c r="BU80" s="263"/>
      <c r="BV80" s="264">
        <f t="shared" si="117"/>
        <v>0</v>
      </c>
      <c r="BW80" s="265">
        <f t="shared" si="118"/>
        <v>0</v>
      </c>
      <c r="BX80" s="263"/>
      <c r="BY80" s="263"/>
      <c r="BZ80" s="264">
        <f t="shared" si="119"/>
        <v>0</v>
      </c>
      <c r="CA80" s="265">
        <f t="shared" si="120"/>
        <v>0</v>
      </c>
      <c r="CB80" s="268">
        <f t="shared" si="121"/>
        <v>0</v>
      </c>
      <c r="CC80" s="267">
        <f t="shared" si="122"/>
        <v>0</v>
      </c>
      <c r="CD80" s="263"/>
      <c r="CE80" s="263"/>
      <c r="CF80" s="264">
        <f t="shared" si="123"/>
        <v>0</v>
      </c>
      <c r="CG80" s="265">
        <f t="shared" si="124"/>
        <v>0</v>
      </c>
      <c r="CH80" s="268">
        <f t="shared" si="125"/>
        <v>0</v>
      </c>
      <c r="CI80" s="267">
        <f t="shared" si="126"/>
        <v>0</v>
      </c>
      <c r="CJ80" s="263"/>
      <c r="CK80" s="269">
        <f t="shared" si="127"/>
        <v>0</v>
      </c>
      <c r="CL80" s="270">
        <f t="shared" si="128"/>
        <v>0</v>
      </c>
      <c r="CM80" s="268">
        <f t="shared" si="129"/>
        <v>0</v>
      </c>
      <c r="CN80" s="267">
        <f t="shared" si="130"/>
        <v>0</v>
      </c>
      <c r="CO80" s="65">
        <f t="shared" si="131"/>
        <v>0</v>
      </c>
      <c r="CP80" s="66">
        <f t="shared" si="132"/>
        <v>0</v>
      </c>
      <c r="CQ80" s="31">
        <f t="shared" si="72"/>
        <v>6.5892857142857144</v>
      </c>
      <c r="CR80" s="32">
        <f t="shared" si="73"/>
        <v>13</v>
      </c>
      <c r="CS80" s="33">
        <f t="shared" si="74"/>
        <v>0</v>
      </c>
      <c r="CT80" s="34">
        <f t="shared" si="75"/>
        <v>0</v>
      </c>
      <c r="CU80" s="67">
        <f t="shared" si="76"/>
        <v>3.2946428571428572</v>
      </c>
      <c r="CV80" s="35">
        <f t="shared" si="77"/>
        <v>13</v>
      </c>
      <c r="CW80" s="59">
        <f t="shared" si="78"/>
        <v>13</v>
      </c>
      <c r="CX80" s="43" t="str">
        <f t="shared" si="133"/>
        <v>مؤجل(ة)</v>
      </c>
      <c r="CY80" s="44"/>
      <c r="CZ80" s="50"/>
      <c r="DA80" s="46"/>
    </row>
    <row r="81" spans="2:105" ht="27.75" customHeight="1" thickBot="1">
      <c r="B81" s="1">
        <f t="shared" si="134"/>
        <v>32</v>
      </c>
      <c r="C81" s="323" t="s">
        <v>615</v>
      </c>
      <c r="D81" s="249" t="s">
        <v>616</v>
      </c>
      <c r="E81" s="47" t="s">
        <v>769</v>
      </c>
      <c r="F81" s="135"/>
      <c r="G81" s="136"/>
      <c r="H81" s="322"/>
      <c r="I81" s="132">
        <v>20</v>
      </c>
      <c r="J81" s="133">
        <v>9.0500000000000007</v>
      </c>
      <c r="K81" s="134">
        <v>16</v>
      </c>
      <c r="L81" s="53">
        <f>(H42+J81)/2</f>
        <v>4.5250000000000004</v>
      </c>
      <c r="M81" s="58">
        <f t="shared" si="80"/>
        <v>36</v>
      </c>
      <c r="N81" s="262">
        <v>12</v>
      </c>
      <c r="O81" s="263">
        <v>4</v>
      </c>
      <c r="P81" s="228">
        <f t="shared" si="81"/>
        <v>8</v>
      </c>
      <c r="Q81" s="229">
        <f t="shared" si="82"/>
        <v>0</v>
      </c>
      <c r="R81" s="262">
        <v>10.5</v>
      </c>
      <c r="S81" s="263">
        <v>4</v>
      </c>
      <c r="T81" s="228">
        <f t="shared" si="83"/>
        <v>7.25</v>
      </c>
      <c r="U81" s="229">
        <f t="shared" si="84"/>
        <v>0</v>
      </c>
      <c r="V81" s="262">
        <v>15</v>
      </c>
      <c r="W81" s="263">
        <v>5</v>
      </c>
      <c r="X81" s="228">
        <f t="shared" si="85"/>
        <v>10</v>
      </c>
      <c r="Y81" s="229">
        <f t="shared" si="86"/>
        <v>6</v>
      </c>
      <c r="Z81" s="232">
        <f t="shared" si="87"/>
        <v>8.4166666666666661</v>
      </c>
      <c r="AA81" s="233">
        <f t="shared" si="88"/>
        <v>6</v>
      </c>
      <c r="AB81" s="263">
        <v>8</v>
      </c>
      <c r="AC81" s="234">
        <f t="shared" si="89"/>
        <v>8</v>
      </c>
      <c r="AD81" s="235">
        <f t="shared" si="90"/>
        <v>0</v>
      </c>
      <c r="AE81" s="262">
        <v>2.5</v>
      </c>
      <c r="AF81" s="263">
        <v>2.5</v>
      </c>
      <c r="AG81" s="228">
        <f t="shared" si="91"/>
        <v>2.5</v>
      </c>
      <c r="AH81" s="229">
        <f t="shared" si="92"/>
        <v>0</v>
      </c>
      <c r="AI81" s="262">
        <v>9</v>
      </c>
      <c r="AJ81" s="263">
        <v>1.5</v>
      </c>
      <c r="AK81" s="228">
        <f t="shared" si="93"/>
        <v>5.25</v>
      </c>
      <c r="AL81" s="229">
        <f t="shared" si="94"/>
        <v>0</v>
      </c>
      <c r="AM81" s="236">
        <f t="shared" si="95"/>
        <v>4.7</v>
      </c>
      <c r="AN81" s="237">
        <f t="shared" si="96"/>
        <v>0</v>
      </c>
      <c r="AO81" s="262"/>
      <c r="AP81" s="263">
        <v>3</v>
      </c>
      <c r="AQ81" s="228">
        <f t="shared" si="97"/>
        <v>1.5</v>
      </c>
      <c r="AR81" s="229">
        <f t="shared" si="98"/>
        <v>0</v>
      </c>
      <c r="AS81" s="263">
        <v>0</v>
      </c>
      <c r="AT81" s="234">
        <f t="shared" si="99"/>
        <v>0</v>
      </c>
      <c r="AU81" s="238">
        <f t="shared" si="100"/>
        <v>0</v>
      </c>
      <c r="AV81" s="236">
        <f t="shared" si="101"/>
        <v>0.75</v>
      </c>
      <c r="AW81" s="237">
        <f t="shared" si="102"/>
        <v>0</v>
      </c>
      <c r="AX81" s="263">
        <v>14.5</v>
      </c>
      <c r="AY81" s="263">
        <v>3</v>
      </c>
      <c r="AZ81" s="228">
        <f t="shared" si="103"/>
        <v>8.75</v>
      </c>
      <c r="BA81" s="229">
        <f t="shared" si="104"/>
        <v>0</v>
      </c>
      <c r="BB81" s="236">
        <f t="shared" si="105"/>
        <v>8.75</v>
      </c>
      <c r="BC81" s="237">
        <f t="shared" si="106"/>
        <v>0</v>
      </c>
      <c r="BD81" s="239">
        <f t="shared" si="107"/>
        <v>6.0178571428571432</v>
      </c>
      <c r="BE81" s="240">
        <f t="shared" si="108"/>
        <v>6</v>
      </c>
      <c r="BF81" s="263"/>
      <c r="BG81" s="263"/>
      <c r="BH81" s="264">
        <f t="shared" si="109"/>
        <v>0</v>
      </c>
      <c r="BI81" s="265">
        <f t="shared" si="110"/>
        <v>0</v>
      </c>
      <c r="BJ81" s="263"/>
      <c r="BK81" s="263"/>
      <c r="BL81" s="264">
        <f t="shared" si="111"/>
        <v>0</v>
      </c>
      <c r="BM81" s="265">
        <f t="shared" si="112"/>
        <v>0</v>
      </c>
      <c r="BN81" s="263"/>
      <c r="BO81" s="263"/>
      <c r="BP81" s="264">
        <f t="shared" si="113"/>
        <v>0</v>
      </c>
      <c r="BQ81" s="265">
        <f t="shared" si="114"/>
        <v>0</v>
      </c>
      <c r="BR81" s="266">
        <f t="shared" si="115"/>
        <v>0</v>
      </c>
      <c r="BS81" s="267">
        <f t="shared" si="116"/>
        <v>0</v>
      </c>
      <c r="BT81" s="263"/>
      <c r="BU81" s="263"/>
      <c r="BV81" s="264">
        <f t="shared" si="117"/>
        <v>0</v>
      </c>
      <c r="BW81" s="265">
        <f t="shared" si="118"/>
        <v>0</v>
      </c>
      <c r="BX81" s="263"/>
      <c r="BY81" s="263"/>
      <c r="BZ81" s="264">
        <f t="shared" si="119"/>
        <v>0</v>
      </c>
      <c r="CA81" s="265">
        <f t="shared" si="120"/>
        <v>0</v>
      </c>
      <c r="CB81" s="268">
        <f t="shared" si="121"/>
        <v>0</v>
      </c>
      <c r="CC81" s="267">
        <f t="shared" si="122"/>
        <v>0</v>
      </c>
      <c r="CD81" s="263"/>
      <c r="CE81" s="263"/>
      <c r="CF81" s="264">
        <f t="shared" si="123"/>
        <v>0</v>
      </c>
      <c r="CG81" s="265">
        <f t="shared" si="124"/>
        <v>0</v>
      </c>
      <c r="CH81" s="268">
        <f t="shared" si="125"/>
        <v>0</v>
      </c>
      <c r="CI81" s="267">
        <f t="shared" si="126"/>
        <v>0</v>
      </c>
      <c r="CJ81" s="263"/>
      <c r="CK81" s="269">
        <f t="shared" si="127"/>
        <v>0</v>
      </c>
      <c r="CL81" s="270">
        <f t="shared" si="128"/>
        <v>0</v>
      </c>
      <c r="CM81" s="268">
        <f t="shared" si="129"/>
        <v>0</v>
      </c>
      <c r="CN81" s="267">
        <f t="shared" si="130"/>
        <v>0</v>
      </c>
      <c r="CO81" s="65">
        <f t="shared" si="131"/>
        <v>0</v>
      </c>
      <c r="CP81" s="66">
        <f t="shared" si="132"/>
        <v>0</v>
      </c>
      <c r="CQ81" s="31">
        <f t="shared" si="72"/>
        <v>6.0178571428571432</v>
      </c>
      <c r="CR81" s="32">
        <f t="shared" si="73"/>
        <v>6</v>
      </c>
      <c r="CS81" s="33">
        <f t="shared" si="74"/>
        <v>0</v>
      </c>
      <c r="CT81" s="34">
        <f t="shared" si="75"/>
        <v>0</v>
      </c>
      <c r="CU81" s="67">
        <f t="shared" si="76"/>
        <v>3.0089285714285716</v>
      </c>
      <c r="CV81" s="35">
        <f t="shared" si="77"/>
        <v>6</v>
      </c>
      <c r="CW81" s="59">
        <f t="shared" si="78"/>
        <v>42</v>
      </c>
      <c r="CX81" s="43" t="str">
        <f t="shared" si="133"/>
        <v>مؤجل(ة)</v>
      </c>
      <c r="CY81" s="44"/>
      <c r="CZ81" s="50"/>
      <c r="DA81" s="46"/>
    </row>
    <row r="82" spans="2:105" ht="27.75" customHeight="1" thickBot="1">
      <c r="B82" s="1">
        <f t="shared" si="134"/>
        <v>33</v>
      </c>
      <c r="C82" s="323" t="s">
        <v>617</v>
      </c>
      <c r="D82" s="249" t="s">
        <v>618</v>
      </c>
      <c r="E82" s="47"/>
      <c r="F82" s="135"/>
      <c r="G82" s="136"/>
      <c r="H82" s="131"/>
      <c r="I82" s="132"/>
      <c r="J82" s="133"/>
      <c r="K82" s="134"/>
      <c r="L82" s="53">
        <f t="shared" si="79"/>
        <v>0</v>
      </c>
      <c r="M82" s="58">
        <f t="shared" si="80"/>
        <v>0</v>
      </c>
      <c r="N82" s="262">
        <v>15</v>
      </c>
      <c r="O82" s="263">
        <v>8</v>
      </c>
      <c r="P82" s="228">
        <f t="shared" si="81"/>
        <v>11.5</v>
      </c>
      <c r="Q82" s="229">
        <f t="shared" si="82"/>
        <v>5</v>
      </c>
      <c r="R82" s="262">
        <v>12</v>
      </c>
      <c r="S82" s="263">
        <v>6.5</v>
      </c>
      <c r="T82" s="228">
        <f t="shared" si="83"/>
        <v>9.25</v>
      </c>
      <c r="U82" s="229">
        <f t="shared" si="84"/>
        <v>0</v>
      </c>
      <c r="V82" s="262">
        <v>16</v>
      </c>
      <c r="W82" s="263">
        <v>2</v>
      </c>
      <c r="X82" s="228">
        <f t="shared" si="85"/>
        <v>9</v>
      </c>
      <c r="Y82" s="229">
        <f t="shared" si="86"/>
        <v>0</v>
      </c>
      <c r="Z82" s="232">
        <f t="shared" si="87"/>
        <v>9.9166666666666661</v>
      </c>
      <c r="AA82" s="233">
        <f t="shared" si="88"/>
        <v>5</v>
      </c>
      <c r="AB82" s="263">
        <v>14</v>
      </c>
      <c r="AC82" s="234">
        <f t="shared" si="89"/>
        <v>14</v>
      </c>
      <c r="AD82" s="235">
        <f t="shared" si="90"/>
        <v>1</v>
      </c>
      <c r="AE82" s="262">
        <v>6.5</v>
      </c>
      <c r="AF82" s="263">
        <v>6.5</v>
      </c>
      <c r="AG82" s="228">
        <f t="shared" si="91"/>
        <v>6.5</v>
      </c>
      <c r="AH82" s="229">
        <f t="shared" si="92"/>
        <v>0</v>
      </c>
      <c r="AI82" s="262">
        <v>8</v>
      </c>
      <c r="AJ82" s="263">
        <v>0</v>
      </c>
      <c r="AK82" s="228">
        <f t="shared" si="93"/>
        <v>4</v>
      </c>
      <c r="AL82" s="229">
        <f t="shared" si="94"/>
        <v>0</v>
      </c>
      <c r="AM82" s="236">
        <f t="shared" si="95"/>
        <v>7</v>
      </c>
      <c r="AN82" s="237">
        <f t="shared" si="96"/>
        <v>1</v>
      </c>
      <c r="AO82" s="262">
        <v>10</v>
      </c>
      <c r="AP82" s="263">
        <v>1</v>
      </c>
      <c r="AQ82" s="228">
        <f t="shared" si="97"/>
        <v>5.5</v>
      </c>
      <c r="AR82" s="229">
        <f t="shared" si="98"/>
        <v>0</v>
      </c>
      <c r="AS82" s="263">
        <v>3</v>
      </c>
      <c r="AT82" s="234">
        <f t="shared" si="99"/>
        <v>3</v>
      </c>
      <c r="AU82" s="238">
        <f t="shared" si="100"/>
        <v>0</v>
      </c>
      <c r="AV82" s="236">
        <f t="shared" si="101"/>
        <v>4.25</v>
      </c>
      <c r="AW82" s="237">
        <f t="shared" si="102"/>
        <v>0</v>
      </c>
      <c r="AX82" s="263">
        <v>14</v>
      </c>
      <c r="AY82" s="263">
        <v>4</v>
      </c>
      <c r="AZ82" s="228">
        <f t="shared" si="103"/>
        <v>9</v>
      </c>
      <c r="BA82" s="229">
        <f t="shared" si="104"/>
        <v>0</v>
      </c>
      <c r="BB82" s="236">
        <f t="shared" si="105"/>
        <v>9</v>
      </c>
      <c r="BC82" s="237">
        <f t="shared" si="106"/>
        <v>0</v>
      </c>
      <c r="BD82" s="239">
        <f t="shared" si="107"/>
        <v>8</v>
      </c>
      <c r="BE82" s="240">
        <f t="shared" si="108"/>
        <v>6</v>
      </c>
      <c r="BF82" s="263"/>
      <c r="BG82" s="263"/>
      <c r="BH82" s="264">
        <f t="shared" si="109"/>
        <v>0</v>
      </c>
      <c r="BI82" s="265">
        <f t="shared" si="110"/>
        <v>0</v>
      </c>
      <c r="BJ82" s="263"/>
      <c r="BK82" s="263"/>
      <c r="BL82" s="264">
        <f t="shared" si="111"/>
        <v>0</v>
      </c>
      <c r="BM82" s="265">
        <f t="shared" si="112"/>
        <v>0</v>
      </c>
      <c r="BN82" s="263"/>
      <c r="BO82" s="263"/>
      <c r="BP82" s="264">
        <f t="shared" si="113"/>
        <v>0</v>
      </c>
      <c r="BQ82" s="265">
        <f t="shared" si="114"/>
        <v>0</v>
      </c>
      <c r="BR82" s="266">
        <f t="shared" si="115"/>
        <v>0</v>
      </c>
      <c r="BS82" s="267">
        <f t="shared" si="116"/>
        <v>0</v>
      </c>
      <c r="BT82" s="263"/>
      <c r="BU82" s="263"/>
      <c r="BV82" s="264">
        <f t="shared" si="117"/>
        <v>0</v>
      </c>
      <c r="BW82" s="265">
        <f t="shared" si="118"/>
        <v>0</v>
      </c>
      <c r="BX82" s="263"/>
      <c r="BY82" s="263"/>
      <c r="BZ82" s="264">
        <f t="shared" si="119"/>
        <v>0</v>
      </c>
      <c r="CA82" s="265">
        <f t="shared" si="120"/>
        <v>0</v>
      </c>
      <c r="CB82" s="268">
        <f t="shared" si="121"/>
        <v>0</v>
      </c>
      <c r="CC82" s="267">
        <f t="shared" si="122"/>
        <v>0</v>
      </c>
      <c r="CD82" s="263"/>
      <c r="CE82" s="263"/>
      <c r="CF82" s="264">
        <f t="shared" si="123"/>
        <v>0</v>
      </c>
      <c r="CG82" s="265">
        <f t="shared" si="124"/>
        <v>0</v>
      </c>
      <c r="CH82" s="268">
        <f t="shared" si="125"/>
        <v>0</v>
      </c>
      <c r="CI82" s="267">
        <f t="shared" si="126"/>
        <v>0</v>
      </c>
      <c r="CJ82" s="263"/>
      <c r="CK82" s="269">
        <f t="shared" si="127"/>
        <v>0</v>
      </c>
      <c r="CL82" s="270">
        <f t="shared" si="128"/>
        <v>0</v>
      </c>
      <c r="CM82" s="268">
        <f t="shared" si="129"/>
        <v>0</v>
      </c>
      <c r="CN82" s="267">
        <f t="shared" si="130"/>
        <v>0</v>
      </c>
      <c r="CO82" s="65">
        <f t="shared" si="131"/>
        <v>0</v>
      </c>
      <c r="CP82" s="66">
        <f t="shared" si="132"/>
        <v>0</v>
      </c>
      <c r="CQ82" s="31">
        <f t="shared" si="72"/>
        <v>8</v>
      </c>
      <c r="CR82" s="32">
        <f t="shared" si="73"/>
        <v>6</v>
      </c>
      <c r="CS82" s="33">
        <f t="shared" si="74"/>
        <v>0</v>
      </c>
      <c r="CT82" s="34">
        <f t="shared" si="75"/>
        <v>0</v>
      </c>
      <c r="CU82" s="67">
        <f t="shared" si="76"/>
        <v>4</v>
      </c>
      <c r="CV82" s="35">
        <f t="shared" si="77"/>
        <v>6</v>
      </c>
      <c r="CW82" s="59">
        <f t="shared" si="78"/>
        <v>6</v>
      </c>
      <c r="CX82" s="43" t="str">
        <f t="shared" si="133"/>
        <v>مؤجل(ة)</v>
      </c>
      <c r="CY82" s="44"/>
      <c r="CZ82" s="50"/>
      <c r="DA82" s="46"/>
    </row>
    <row r="83" spans="2:105" ht="27.75" customHeight="1" thickBot="1">
      <c r="B83" s="1">
        <f t="shared" si="134"/>
        <v>34</v>
      </c>
      <c r="C83" s="323" t="s">
        <v>619</v>
      </c>
      <c r="D83" s="249" t="s">
        <v>620</v>
      </c>
      <c r="E83" s="47" t="s">
        <v>495</v>
      </c>
      <c r="F83" s="135">
        <v>35138</v>
      </c>
      <c r="G83" s="136" t="s">
        <v>746</v>
      </c>
      <c r="H83" s="131"/>
      <c r="I83" s="132"/>
      <c r="J83" s="133"/>
      <c r="K83" s="134"/>
      <c r="L83" s="53">
        <f t="shared" si="79"/>
        <v>0</v>
      </c>
      <c r="M83" s="58">
        <f t="shared" si="80"/>
        <v>0</v>
      </c>
      <c r="N83" s="262">
        <v>12</v>
      </c>
      <c r="O83" s="263">
        <v>12</v>
      </c>
      <c r="P83" s="228">
        <f t="shared" si="81"/>
        <v>12</v>
      </c>
      <c r="Q83" s="229">
        <f t="shared" si="82"/>
        <v>5</v>
      </c>
      <c r="R83" s="262">
        <v>12.5</v>
      </c>
      <c r="S83" s="263">
        <v>12.5</v>
      </c>
      <c r="T83" s="228">
        <f t="shared" si="83"/>
        <v>12.5</v>
      </c>
      <c r="U83" s="229">
        <f t="shared" si="84"/>
        <v>6</v>
      </c>
      <c r="V83" s="262">
        <v>8.6300000000000008</v>
      </c>
      <c r="W83" s="263">
        <v>8.6300000000000008</v>
      </c>
      <c r="X83" s="228">
        <f t="shared" si="85"/>
        <v>8.6300000000000008</v>
      </c>
      <c r="Y83" s="229">
        <f t="shared" si="86"/>
        <v>0</v>
      </c>
      <c r="Z83" s="232">
        <f t="shared" si="87"/>
        <v>11.043333333333335</v>
      </c>
      <c r="AA83" s="233">
        <f t="shared" si="88"/>
        <v>17</v>
      </c>
      <c r="AB83" s="263">
        <v>10.5</v>
      </c>
      <c r="AC83" s="234">
        <f t="shared" si="89"/>
        <v>10.5</v>
      </c>
      <c r="AD83" s="235">
        <f t="shared" si="90"/>
        <v>1</v>
      </c>
      <c r="AE83" s="262">
        <v>3</v>
      </c>
      <c r="AF83" s="263">
        <v>3</v>
      </c>
      <c r="AG83" s="228">
        <f t="shared" si="91"/>
        <v>3</v>
      </c>
      <c r="AH83" s="229">
        <f t="shared" si="92"/>
        <v>0</v>
      </c>
      <c r="AI83" s="262">
        <v>9</v>
      </c>
      <c r="AJ83" s="263">
        <v>0.5</v>
      </c>
      <c r="AK83" s="228">
        <f t="shared" si="93"/>
        <v>4.75</v>
      </c>
      <c r="AL83" s="229">
        <f t="shared" si="94"/>
        <v>0</v>
      </c>
      <c r="AM83" s="236">
        <f t="shared" si="95"/>
        <v>5.2</v>
      </c>
      <c r="AN83" s="237">
        <f t="shared" si="96"/>
        <v>1</v>
      </c>
      <c r="AO83" s="262">
        <v>6.5</v>
      </c>
      <c r="AP83" s="263">
        <v>6.5</v>
      </c>
      <c r="AQ83" s="228">
        <f t="shared" si="97"/>
        <v>6.5</v>
      </c>
      <c r="AR83" s="229">
        <f t="shared" si="98"/>
        <v>0</v>
      </c>
      <c r="AS83" s="263">
        <v>16</v>
      </c>
      <c r="AT83" s="234">
        <f t="shared" si="99"/>
        <v>16</v>
      </c>
      <c r="AU83" s="238">
        <f t="shared" si="100"/>
        <v>1</v>
      </c>
      <c r="AV83" s="236">
        <f t="shared" si="101"/>
        <v>11.25</v>
      </c>
      <c r="AW83" s="237">
        <f t="shared" si="102"/>
        <v>5</v>
      </c>
      <c r="AX83" s="263">
        <v>14</v>
      </c>
      <c r="AY83" s="263">
        <v>14</v>
      </c>
      <c r="AZ83" s="228">
        <f t="shared" si="103"/>
        <v>14</v>
      </c>
      <c r="BA83" s="229">
        <f t="shared" si="104"/>
        <v>1</v>
      </c>
      <c r="BB83" s="236">
        <f t="shared" si="105"/>
        <v>14</v>
      </c>
      <c r="BC83" s="237">
        <f t="shared" si="106"/>
        <v>1</v>
      </c>
      <c r="BD83" s="239">
        <f t="shared" si="107"/>
        <v>9.1971428571428557</v>
      </c>
      <c r="BE83" s="240">
        <f t="shared" si="108"/>
        <v>24</v>
      </c>
      <c r="BF83" s="263"/>
      <c r="BG83" s="263"/>
      <c r="BH83" s="264">
        <f t="shared" si="109"/>
        <v>0</v>
      </c>
      <c r="BI83" s="265">
        <f t="shared" si="110"/>
        <v>0</v>
      </c>
      <c r="BJ83" s="263"/>
      <c r="BK83" s="263"/>
      <c r="BL83" s="264">
        <f t="shared" si="111"/>
        <v>0</v>
      </c>
      <c r="BM83" s="265">
        <f t="shared" si="112"/>
        <v>0</v>
      </c>
      <c r="BN83" s="263"/>
      <c r="BO83" s="263"/>
      <c r="BP83" s="264">
        <f t="shared" si="113"/>
        <v>0</v>
      </c>
      <c r="BQ83" s="265">
        <f t="shared" si="114"/>
        <v>0</v>
      </c>
      <c r="BR83" s="266">
        <f t="shared" si="115"/>
        <v>0</v>
      </c>
      <c r="BS83" s="267">
        <f t="shared" si="116"/>
        <v>0</v>
      </c>
      <c r="BT83" s="263"/>
      <c r="BU83" s="263"/>
      <c r="BV83" s="264">
        <f t="shared" si="117"/>
        <v>0</v>
      </c>
      <c r="BW83" s="265">
        <f t="shared" si="118"/>
        <v>0</v>
      </c>
      <c r="BX83" s="263"/>
      <c r="BY83" s="263"/>
      <c r="BZ83" s="264">
        <f t="shared" si="119"/>
        <v>0</v>
      </c>
      <c r="CA83" s="265">
        <f t="shared" si="120"/>
        <v>0</v>
      </c>
      <c r="CB83" s="268">
        <f t="shared" si="121"/>
        <v>0</v>
      </c>
      <c r="CC83" s="267">
        <f t="shared" si="122"/>
        <v>0</v>
      </c>
      <c r="CD83" s="263"/>
      <c r="CE83" s="263"/>
      <c r="CF83" s="264">
        <f t="shared" si="123"/>
        <v>0</v>
      </c>
      <c r="CG83" s="265">
        <f t="shared" si="124"/>
        <v>0</v>
      </c>
      <c r="CH83" s="268">
        <f t="shared" si="125"/>
        <v>0</v>
      </c>
      <c r="CI83" s="267">
        <f t="shared" si="126"/>
        <v>0</v>
      </c>
      <c r="CJ83" s="263"/>
      <c r="CK83" s="269">
        <f t="shared" si="127"/>
        <v>0</v>
      </c>
      <c r="CL83" s="270">
        <f t="shared" si="128"/>
        <v>0</v>
      </c>
      <c r="CM83" s="268">
        <f t="shared" si="129"/>
        <v>0</v>
      </c>
      <c r="CN83" s="267">
        <f t="shared" si="130"/>
        <v>0</v>
      </c>
      <c r="CO83" s="65">
        <f t="shared" si="131"/>
        <v>0</v>
      </c>
      <c r="CP83" s="66">
        <f t="shared" si="132"/>
        <v>0</v>
      </c>
      <c r="CQ83" s="31">
        <f t="shared" si="72"/>
        <v>9.1971428571428557</v>
      </c>
      <c r="CR83" s="32">
        <f t="shared" si="73"/>
        <v>24</v>
      </c>
      <c r="CS83" s="33">
        <f t="shared" si="74"/>
        <v>0</v>
      </c>
      <c r="CT83" s="34">
        <f t="shared" si="75"/>
        <v>0</v>
      </c>
      <c r="CU83" s="67">
        <f t="shared" si="76"/>
        <v>4.5985714285714279</v>
      </c>
      <c r="CV83" s="35">
        <f t="shared" si="77"/>
        <v>24</v>
      </c>
      <c r="CW83" s="59">
        <f t="shared" si="78"/>
        <v>24</v>
      </c>
      <c r="CX83" s="43" t="str">
        <f t="shared" si="133"/>
        <v>مؤجل(ة)</v>
      </c>
      <c r="CZ83" s="51"/>
      <c r="DA83" s="46"/>
    </row>
    <row r="84" spans="2:105" ht="27.75" customHeight="1" thickBot="1">
      <c r="B84" s="1">
        <f t="shared" si="134"/>
        <v>35</v>
      </c>
      <c r="C84" s="324" t="s">
        <v>621</v>
      </c>
      <c r="D84" s="249" t="s">
        <v>622</v>
      </c>
      <c r="E84" s="47"/>
      <c r="F84" s="135"/>
      <c r="G84" s="136"/>
      <c r="H84" s="131"/>
      <c r="I84" s="132"/>
      <c r="J84" s="133"/>
      <c r="K84" s="134"/>
      <c r="L84" s="53">
        <f t="shared" si="79"/>
        <v>0</v>
      </c>
      <c r="M84" s="58">
        <f t="shared" si="80"/>
        <v>0</v>
      </c>
      <c r="N84" s="262">
        <v>11</v>
      </c>
      <c r="O84" s="263">
        <v>5</v>
      </c>
      <c r="P84" s="228">
        <f t="shared" si="81"/>
        <v>8</v>
      </c>
      <c r="Q84" s="229">
        <f t="shared" si="82"/>
        <v>0</v>
      </c>
      <c r="R84" s="262">
        <v>15</v>
      </c>
      <c r="S84" s="263">
        <v>7.5</v>
      </c>
      <c r="T84" s="228">
        <f t="shared" si="83"/>
        <v>11.25</v>
      </c>
      <c r="U84" s="229">
        <f t="shared" si="84"/>
        <v>6</v>
      </c>
      <c r="V84" s="262">
        <v>16</v>
      </c>
      <c r="W84" s="263">
        <v>9</v>
      </c>
      <c r="X84" s="228">
        <f t="shared" si="85"/>
        <v>12.5</v>
      </c>
      <c r="Y84" s="229">
        <f t="shared" si="86"/>
        <v>6</v>
      </c>
      <c r="Z84" s="232">
        <f t="shared" si="87"/>
        <v>10.583333333333334</v>
      </c>
      <c r="AA84" s="233">
        <f t="shared" si="88"/>
        <v>17</v>
      </c>
      <c r="AB84" s="263">
        <v>12</v>
      </c>
      <c r="AC84" s="234">
        <f t="shared" si="89"/>
        <v>12</v>
      </c>
      <c r="AD84" s="235">
        <f t="shared" si="90"/>
        <v>1</v>
      </c>
      <c r="AE84" s="262">
        <v>4</v>
      </c>
      <c r="AF84" s="263">
        <v>4</v>
      </c>
      <c r="AG84" s="228">
        <f t="shared" si="91"/>
        <v>4</v>
      </c>
      <c r="AH84" s="229">
        <f t="shared" si="92"/>
        <v>0</v>
      </c>
      <c r="AI84" s="262">
        <v>12</v>
      </c>
      <c r="AJ84" s="263">
        <v>1</v>
      </c>
      <c r="AK84" s="228">
        <f t="shared" si="93"/>
        <v>6.5</v>
      </c>
      <c r="AL84" s="229">
        <f t="shared" si="94"/>
        <v>0</v>
      </c>
      <c r="AM84" s="236">
        <f t="shared" si="95"/>
        <v>6.6</v>
      </c>
      <c r="AN84" s="237">
        <f t="shared" si="96"/>
        <v>1</v>
      </c>
      <c r="AO84" s="262">
        <v>11.5</v>
      </c>
      <c r="AP84" s="263">
        <v>3</v>
      </c>
      <c r="AQ84" s="228">
        <f t="shared" si="97"/>
        <v>7.25</v>
      </c>
      <c r="AR84" s="229">
        <f t="shared" si="98"/>
        <v>0</v>
      </c>
      <c r="AS84" s="263">
        <v>11.5</v>
      </c>
      <c r="AT84" s="234">
        <f t="shared" si="99"/>
        <v>11.5</v>
      </c>
      <c r="AU84" s="238">
        <f t="shared" si="100"/>
        <v>1</v>
      </c>
      <c r="AV84" s="236">
        <f t="shared" si="101"/>
        <v>9.375</v>
      </c>
      <c r="AW84" s="237">
        <f t="shared" si="102"/>
        <v>1</v>
      </c>
      <c r="AX84" s="263">
        <v>16.5</v>
      </c>
      <c r="AY84" s="263">
        <v>6</v>
      </c>
      <c r="AZ84" s="228">
        <f t="shared" si="103"/>
        <v>11.25</v>
      </c>
      <c r="BA84" s="229">
        <f t="shared" si="104"/>
        <v>1</v>
      </c>
      <c r="BB84" s="236">
        <f t="shared" si="105"/>
        <v>11.25</v>
      </c>
      <c r="BC84" s="237">
        <f t="shared" si="106"/>
        <v>1</v>
      </c>
      <c r="BD84" s="239">
        <f t="shared" si="107"/>
        <v>9.0357142857142865</v>
      </c>
      <c r="BE84" s="240">
        <f t="shared" si="108"/>
        <v>20</v>
      </c>
      <c r="BF84" s="263"/>
      <c r="BG84" s="263"/>
      <c r="BH84" s="264">
        <f t="shared" si="109"/>
        <v>0</v>
      </c>
      <c r="BI84" s="265">
        <f t="shared" si="110"/>
        <v>0</v>
      </c>
      <c r="BJ84" s="263"/>
      <c r="BK84" s="263"/>
      <c r="BL84" s="264">
        <f t="shared" si="111"/>
        <v>0</v>
      </c>
      <c r="BM84" s="265">
        <f t="shared" si="112"/>
        <v>0</v>
      </c>
      <c r="BN84" s="263"/>
      <c r="BO84" s="263"/>
      <c r="BP84" s="264">
        <f t="shared" si="113"/>
        <v>0</v>
      </c>
      <c r="BQ84" s="265">
        <f t="shared" si="114"/>
        <v>0</v>
      </c>
      <c r="BR84" s="266">
        <f t="shared" si="115"/>
        <v>0</v>
      </c>
      <c r="BS84" s="267">
        <f t="shared" si="116"/>
        <v>0</v>
      </c>
      <c r="BT84" s="263"/>
      <c r="BU84" s="263"/>
      <c r="BV84" s="264">
        <f t="shared" si="117"/>
        <v>0</v>
      </c>
      <c r="BW84" s="265">
        <f t="shared" si="118"/>
        <v>0</v>
      </c>
      <c r="BX84" s="263"/>
      <c r="BY84" s="263"/>
      <c r="BZ84" s="264">
        <f t="shared" si="119"/>
        <v>0</v>
      </c>
      <c r="CA84" s="265">
        <f t="shared" si="120"/>
        <v>0</v>
      </c>
      <c r="CB84" s="268">
        <f t="shared" si="121"/>
        <v>0</v>
      </c>
      <c r="CC84" s="267">
        <f t="shared" si="122"/>
        <v>0</v>
      </c>
      <c r="CD84" s="263"/>
      <c r="CE84" s="263"/>
      <c r="CF84" s="264">
        <f t="shared" si="123"/>
        <v>0</v>
      </c>
      <c r="CG84" s="265">
        <f t="shared" si="124"/>
        <v>0</v>
      </c>
      <c r="CH84" s="268">
        <f t="shared" si="125"/>
        <v>0</v>
      </c>
      <c r="CI84" s="267">
        <f t="shared" si="126"/>
        <v>0</v>
      </c>
      <c r="CJ84" s="263"/>
      <c r="CK84" s="269">
        <f t="shared" si="127"/>
        <v>0</v>
      </c>
      <c r="CL84" s="270">
        <f t="shared" si="128"/>
        <v>0</v>
      </c>
      <c r="CM84" s="268">
        <f t="shared" si="129"/>
        <v>0</v>
      </c>
      <c r="CN84" s="267">
        <f t="shared" si="130"/>
        <v>0</v>
      </c>
      <c r="CO84" s="65">
        <f t="shared" si="131"/>
        <v>0</v>
      </c>
      <c r="CP84" s="66">
        <f t="shared" si="132"/>
        <v>0</v>
      </c>
      <c r="CQ84" s="31">
        <f t="shared" si="72"/>
        <v>9.0357142857142865</v>
      </c>
      <c r="CR84" s="32">
        <f t="shared" si="73"/>
        <v>20</v>
      </c>
      <c r="CS84" s="33">
        <f t="shared" si="74"/>
        <v>0</v>
      </c>
      <c r="CT84" s="34">
        <f t="shared" si="75"/>
        <v>0</v>
      </c>
      <c r="CU84" s="67">
        <f t="shared" si="76"/>
        <v>4.5178571428571432</v>
      </c>
      <c r="CV84" s="35">
        <f t="shared" si="77"/>
        <v>20</v>
      </c>
      <c r="CW84" s="59">
        <f t="shared" si="78"/>
        <v>20</v>
      </c>
      <c r="CX84" s="43" t="str">
        <f t="shared" si="133"/>
        <v>مؤجل(ة)</v>
      </c>
      <c r="CZ84" s="51"/>
      <c r="DA84" s="46"/>
    </row>
    <row r="85" spans="2:105" ht="27.75" customHeight="1" thickBot="1">
      <c r="B85" s="1">
        <f t="shared" si="134"/>
        <v>36</v>
      </c>
      <c r="C85" s="323" t="s">
        <v>623</v>
      </c>
      <c r="D85" s="249" t="s">
        <v>624</v>
      </c>
      <c r="E85" s="47"/>
      <c r="F85" s="135"/>
      <c r="G85" s="136"/>
      <c r="H85" s="131"/>
      <c r="I85" s="132"/>
      <c r="J85" s="133"/>
      <c r="K85" s="134"/>
      <c r="L85" s="53">
        <f t="shared" si="79"/>
        <v>0</v>
      </c>
      <c r="M85" s="58">
        <f t="shared" si="80"/>
        <v>0</v>
      </c>
      <c r="N85" s="262">
        <v>16</v>
      </c>
      <c r="O85" s="263">
        <v>6</v>
      </c>
      <c r="P85" s="228">
        <f t="shared" si="81"/>
        <v>11</v>
      </c>
      <c r="Q85" s="229">
        <f t="shared" si="82"/>
        <v>5</v>
      </c>
      <c r="R85" s="262">
        <v>15</v>
      </c>
      <c r="S85" s="263">
        <v>5.5</v>
      </c>
      <c r="T85" s="228">
        <f t="shared" si="83"/>
        <v>10.25</v>
      </c>
      <c r="U85" s="229">
        <f t="shared" si="84"/>
        <v>6</v>
      </c>
      <c r="V85" s="262">
        <v>16</v>
      </c>
      <c r="W85" s="263">
        <v>7.5</v>
      </c>
      <c r="X85" s="228">
        <f t="shared" si="85"/>
        <v>11.75</v>
      </c>
      <c r="Y85" s="229">
        <f t="shared" si="86"/>
        <v>6</v>
      </c>
      <c r="Z85" s="232">
        <f t="shared" si="87"/>
        <v>11</v>
      </c>
      <c r="AA85" s="233">
        <f t="shared" si="88"/>
        <v>17</v>
      </c>
      <c r="AB85" s="263">
        <v>11.5</v>
      </c>
      <c r="AC85" s="234">
        <f t="shared" si="89"/>
        <v>11.5</v>
      </c>
      <c r="AD85" s="235">
        <f t="shared" si="90"/>
        <v>1</v>
      </c>
      <c r="AE85" s="262">
        <v>4</v>
      </c>
      <c r="AF85" s="263">
        <v>4</v>
      </c>
      <c r="AG85" s="228">
        <f t="shared" si="91"/>
        <v>4</v>
      </c>
      <c r="AH85" s="229">
        <f t="shared" si="92"/>
        <v>0</v>
      </c>
      <c r="AI85" s="262">
        <v>12</v>
      </c>
      <c r="AJ85" s="263">
        <v>4</v>
      </c>
      <c r="AK85" s="228">
        <f t="shared" si="93"/>
        <v>8</v>
      </c>
      <c r="AL85" s="229">
        <f t="shared" si="94"/>
        <v>0</v>
      </c>
      <c r="AM85" s="236">
        <f t="shared" si="95"/>
        <v>7.1</v>
      </c>
      <c r="AN85" s="237">
        <f t="shared" si="96"/>
        <v>1</v>
      </c>
      <c r="AO85" s="262">
        <v>11.5</v>
      </c>
      <c r="AP85" s="263">
        <v>3</v>
      </c>
      <c r="AQ85" s="228">
        <f t="shared" si="97"/>
        <v>7.25</v>
      </c>
      <c r="AR85" s="229">
        <f t="shared" si="98"/>
        <v>0</v>
      </c>
      <c r="AS85" s="263">
        <v>15</v>
      </c>
      <c r="AT85" s="234">
        <f t="shared" si="99"/>
        <v>15</v>
      </c>
      <c r="AU85" s="238">
        <f t="shared" si="100"/>
        <v>1</v>
      </c>
      <c r="AV85" s="236">
        <f t="shared" si="101"/>
        <v>11.125</v>
      </c>
      <c r="AW85" s="237">
        <f t="shared" si="102"/>
        <v>5</v>
      </c>
      <c r="AX85" s="263">
        <v>17</v>
      </c>
      <c r="AY85" s="263">
        <v>9.5</v>
      </c>
      <c r="AZ85" s="228">
        <f t="shared" si="103"/>
        <v>13.25</v>
      </c>
      <c r="BA85" s="229">
        <f t="shared" si="104"/>
        <v>1</v>
      </c>
      <c r="BB85" s="236">
        <f t="shared" si="105"/>
        <v>13.25</v>
      </c>
      <c r="BC85" s="237">
        <f t="shared" si="106"/>
        <v>1</v>
      </c>
      <c r="BD85" s="239">
        <f t="shared" si="107"/>
        <v>9.7857142857142865</v>
      </c>
      <c r="BE85" s="240">
        <f t="shared" si="108"/>
        <v>24</v>
      </c>
      <c r="BF85" s="263"/>
      <c r="BG85" s="263"/>
      <c r="BH85" s="264">
        <f t="shared" si="109"/>
        <v>0</v>
      </c>
      <c r="BI85" s="265">
        <f t="shared" si="110"/>
        <v>0</v>
      </c>
      <c r="BJ85" s="263"/>
      <c r="BK85" s="263"/>
      <c r="BL85" s="264">
        <f t="shared" si="111"/>
        <v>0</v>
      </c>
      <c r="BM85" s="265">
        <f t="shared" si="112"/>
        <v>0</v>
      </c>
      <c r="BN85" s="263"/>
      <c r="BO85" s="263"/>
      <c r="BP85" s="264">
        <f t="shared" si="113"/>
        <v>0</v>
      </c>
      <c r="BQ85" s="265">
        <f t="shared" si="114"/>
        <v>0</v>
      </c>
      <c r="BR85" s="266">
        <f t="shared" si="115"/>
        <v>0</v>
      </c>
      <c r="BS85" s="267">
        <f t="shared" si="116"/>
        <v>0</v>
      </c>
      <c r="BT85" s="263"/>
      <c r="BU85" s="263"/>
      <c r="BV85" s="264">
        <f t="shared" si="117"/>
        <v>0</v>
      </c>
      <c r="BW85" s="265">
        <f t="shared" si="118"/>
        <v>0</v>
      </c>
      <c r="BX85" s="263"/>
      <c r="BY85" s="263"/>
      <c r="BZ85" s="264">
        <f t="shared" si="119"/>
        <v>0</v>
      </c>
      <c r="CA85" s="265">
        <f t="shared" si="120"/>
        <v>0</v>
      </c>
      <c r="CB85" s="268">
        <f t="shared" si="121"/>
        <v>0</v>
      </c>
      <c r="CC85" s="267">
        <f t="shared" si="122"/>
        <v>0</v>
      </c>
      <c r="CD85" s="263"/>
      <c r="CE85" s="263"/>
      <c r="CF85" s="264">
        <f t="shared" si="123"/>
        <v>0</v>
      </c>
      <c r="CG85" s="265">
        <f t="shared" si="124"/>
        <v>0</v>
      </c>
      <c r="CH85" s="268">
        <f t="shared" si="125"/>
        <v>0</v>
      </c>
      <c r="CI85" s="267">
        <f t="shared" si="126"/>
        <v>0</v>
      </c>
      <c r="CJ85" s="263"/>
      <c r="CK85" s="269">
        <f t="shared" si="127"/>
        <v>0</v>
      </c>
      <c r="CL85" s="270">
        <f t="shared" si="128"/>
        <v>0</v>
      </c>
      <c r="CM85" s="268">
        <f t="shared" si="129"/>
        <v>0</v>
      </c>
      <c r="CN85" s="267">
        <f t="shared" si="130"/>
        <v>0</v>
      </c>
      <c r="CO85" s="65">
        <f t="shared" si="131"/>
        <v>0</v>
      </c>
      <c r="CP85" s="66">
        <f t="shared" si="132"/>
        <v>0</v>
      </c>
      <c r="CQ85" s="31">
        <f t="shared" si="72"/>
        <v>9.7857142857142865</v>
      </c>
      <c r="CR85" s="32">
        <f t="shared" si="73"/>
        <v>24</v>
      </c>
      <c r="CS85" s="33">
        <f t="shared" si="74"/>
        <v>0</v>
      </c>
      <c r="CT85" s="34">
        <f t="shared" si="75"/>
        <v>0</v>
      </c>
      <c r="CU85" s="67">
        <f t="shared" si="76"/>
        <v>4.8928571428571432</v>
      </c>
      <c r="CV85" s="35">
        <f t="shared" si="77"/>
        <v>24</v>
      </c>
      <c r="CW85" s="59">
        <f t="shared" si="78"/>
        <v>24</v>
      </c>
      <c r="CX85" s="43" t="str">
        <f t="shared" si="133"/>
        <v>مؤجل(ة)</v>
      </c>
      <c r="CZ85" s="51"/>
      <c r="DA85" s="46"/>
    </row>
    <row r="86" spans="2:105" ht="27.75" customHeight="1" thickBot="1">
      <c r="B86" s="1">
        <f t="shared" si="134"/>
        <v>37</v>
      </c>
      <c r="C86" s="323" t="s">
        <v>625</v>
      </c>
      <c r="D86" s="249" t="s">
        <v>626</v>
      </c>
      <c r="E86" s="47"/>
      <c r="F86" s="135"/>
      <c r="G86" s="136"/>
      <c r="H86" s="131"/>
      <c r="I86" s="132"/>
      <c r="J86" s="133"/>
      <c r="K86" s="134"/>
      <c r="L86" s="53">
        <f t="shared" si="79"/>
        <v>0</v>
      </c>
      <c r="M86" s="58">
        <f t="shared" si="80"/>
        <v>0</v>
      </c>
      <c r="N86" s="262"/>
      <c r="O86" s="263">
        <v>3</v>
      </c>
      <c r="P86" s="228">
        <f t="shared" si="81"/>
        <v>1.5</v>
      </c>
      <c r="Q86" s="229">
        <f t="shared" si="82"/>
        <v>0</v>
      </c>
      <c r="R86" s="262">
        <v>12.5</v>
      </c>
      <c r="S86" s="263">
        <v>2.5</v>
      </c>
      <c r="T86" s="228">
        <f t="shared" si="83"/>
        <v>7.5</v>
      </c>
      <c r="U86" s="229">
        <f t="shared" si="84"/>
        <v>0</v>
      </c>
      <c r="V86" s="262">
        <v>17</v>
      </c>
      <c r="W86" s="263">
        <v>7.5</v>
      </c>
      <c r="X86" s="228">
        <f t="shared" si="85"/>
        <v>12.25</v>
      </c>
      <c r="Y86" s="229">
        <f t="shared" si="86"/>
        <v>6</v>
      </c>
      <c r="Z86" s="232">
        <f t="shared" si="87"/>
        <v>7.083333333333333</v>
      </c>
      <c r="AA86" s="233">
        <f t="shared" si="88"/>
        <v>6</v>
      </c>
      <c r="AB86" s="263">
        <v>6</v>
      </c>
      <c r="AC86" s="234">
        <f t="shared" si="89"/>
        <v>6</v>
      </c>
      <c r="AD86" s="235">
        <f t="shared" si="90"/>
        <v>0</v>
      </c>
      <c r="AE86" s="262">
        <v>0.5</v>
      </c>
      <c r="AF86" s="263">
        <v>0.5</v>
      </c>
      <c r="AG86" s="228">
        <f t="shared" si="91"/>
        <v>0.5</v>
      </c>
      <c r="AH86" s="229">
        <f t="shared" si="92"/>
        <v>0</v>
      </c>
      <c r="AI86" s="262">
        <v>11</v>
      </c>
      <c r="AJ86" s="263">
        <v>3</v>
      </c>
      <c r="AK86" s="228">
        <f t="shared" si="93"/>
        <v>7</v>
      </c>
      <c r="AL86" s="229">
        <f t="shared" si="94"/>
        <v>0</v>
      </c>
      <c r="AM86" s="236">
        <f t="shared" si="95"/>
        <v>4.2</v>
      </c>
      <c r="AN86" s="237">
        <f t="shared" si="96"/>
        <v>0</v>
      </c>
      <c r="AO86" s="262"/>
      <c r="AP86" s="263">
        <v>4</v>
      </c>
      <c r="AQ86" s="228">
        <f t="shared" si="97"/>
        <v>2</v>
      </c>
      <c r="AR86" s="229">
        <f t="shared" si="98"/>
        <v>0</v>
      </c>
      <c r="AS86" s="263">
        <v>0</v>
      </c>
      <c r="AT86" s="234">
        <f t="shared" si="99"/>
        <v>0</v>
      </c>
      <c r="AU86" s="238">
        <f t="shared" si="100"/>
        <v>0</v>
      </c>
      <c r="AV86" s="236">
        <f t="shared" si="101"/>
        <v>1</v>
      </c>
      <c r="AW86" s="237">
        <f t="shared" si="102"/>
        <v>0</v>
      </c>
      <c r="AX86" s="263">
        <v>16.5</v>
      </c>
      <c r="AY86" s="263">
        <v>10</v>
      </c>
      <c r="AZ86" s="228">
        <f t="shared" si="103"/>
        <v>13.25</v>
      </c>
      <c r="BA86" s="229">
        <f t="shared" si="104"/>
        <v>1</v>
      </c>
      <c r="BB86" s="236">
        <f t="shared" si="105"/>
        <v>13.25</v>
      </c>
      <c r="BC86" s="237">
        <f t="shared" si="106"/>
        <v>1</v>
      </c>
      <c r="BD86" s="239">
        <f t="shared" si="107"/>
        <v>5.625</v>
      </c>
      <c r="BE86" s="240">
        <f t="shared" si="108"/>
        <v>7</v>
      </c>
      <c r="BF86" s="263"/>
      <c r="BG86" s="263"/>
      <c r="BH86" s="264">
        <f t="shared" si="109"/>
        <v>0</v>
      </c>
      <c r="BI86" s="265">
        <f t="shared" si="110"/>
        <v>0</v>
      </c>
      <c r="BJ86" s="263"/>
      <c r="BK86" s="263"/>
      <c r="BL86" s="264">
        <f t="shared" si="111"/>
        <v>0</v>
      </c>
      <c r="BM86" s="265">
        <f t="shared" si="112"/>
        <v>0</v>
      </c>
      <c r="BN86" s="263"/>
      <c r="BO86" s="263"/>
      <c r="BP86" s="264">
        <f t="shared" si="113"/>
        <v>0</v>
      </c>
      <c r="BQ86" s="265">
        <f t="shared" si="114"/>
        <v>0</v>
      </c>
      <c r="BR86" s="266">
        <f t="shared" si="115"/>
        <v>0</v>
      </c>
      <c r="BS86" s="267">
        <f t="shared" si="116"/>
        <v>0</v>
      </c>
      <c r="BT86" s="263"/>
      <c r="BU86" s="263"/>
      <c r="BV86" s="264">
        <f t="shared" si="117"/>
        <v>0</v>
      </c>
      <c r="BW86" s="265">
        <f t="shared" si="118"/>
        <v>0</v>
      </c>
      <c r="BX86" s="263"/>
      <c r="BY86" s="263"/>
      <c r="BZ86" s="264">
        <f t="shared" si="119"/>
        <v>0</v>
      </c>
      <c r="CA86" s="265">
        <f t="shared" si="120"/>
        <v>0</v>
      </c>
      <c r="CB86" s="268">
        <f t="shared" si="121"/>
        <v>0</v>
      </c>
      <c r="CC86" s="267">
        <f t="shared" si="122"/>
        <v>0</v>
      </c>
      <c r="CD86" s="263"/>
      <c r="CE86" s="263"/>
      <c r="CF86" s="264">
        <f t="shared" si="123"/>
        <v>0</v>
      </c>
      <c r="CG86" s="265">
        <f t="shared" si="124"/>
        <v>0</v>
      </c>
      <c r="CH86" s="268">
        <f t="shared" si="125"/>
        <v>0</v>
      </c>
      <c r="CI86" s="267">
        <f t="shared" si="126"/>
        <v>0</v>
      </c>
      <c r="CJ86" s="263"/>
      <c r="CK86" s="269">
        <f t="shared" si="127"/>
        <v>0</v>
      </c>
      <c r="CL86" s="270">
        <f t="shared" si="128"/>
        <v>0</v>
      </c>
      <c r="CM86" s="268">
        <f t="shared" si="129"/>
        <v>0</v>
      </c>
      <c r="CN86" s="267">
        <f t="shared" si="130"/>
        <v>0</v>
      </c>
      <c r="CO86" s="65">
        <f t="shared" si="131"/>
        <v>0</v>
      </c>
      <c r="CP86" s="66">
        <f t="shared" si="132"/>
        <v>0</v>
      </c>
      <c r="CQ86" s="31">
        <f t="shared" si="72"/>
        <v>5.625</v>
      </c>
      <c r="CR86" s="32">
        <f t="shared" si="73"/>
        <v>7</v>
      </c>
      <c r="CS86" s="33">
        <f t="shared" si="74"/>
        <v>0</v>
      </c>
      <c r="CT86" s="34">
        <f t="shared" si="75"/>
        <v>0</v>
      </c>
      <c r="CU86" s="67">
        <f t="shared" si="76"/>
        <v>2.8125</v>
      </c>
      <c r="CV86" s="35">
        <f t="shared" si="77"/>
        <v>7</v>
      </c>
      <c r="CW86" s="59">
        <f t="shared" si="78"/>
        <v>7</v>
      </c>
      <c r="CX86" s="43" t="str">
        <f t="shared" si="133"/>
        <v>مؤجل(ة)</v>
      </c>
      <c r="CZ86" s="51"/>
      <c r="DA86" s="46"/>
    </row>
    <row r="87" spans="2:105" ht="27.75" customHeight="1" thickBot="1">
      <c r="B87" s="1">
        <f t="shared" si="134"/>
        <v>38</v>
      </c>
      <c r="C87" s="323" t="s">
        <v>627</v>
      </c>
      <c r="D87" s="249" t="s">
        <v>628</v>
      </c>
      <c r="E87" s="47"/>
      <c r="F87" s="135"/>
      <c r="G87" s="136"/>
      <c r="H87" s="131"/>
      <c r="I87" s="132"/>
      <c r="J87" s="133"/>
      <c r="K87" s="134"/>
      <c r="L87" s="53">
        <f t="shared" si="79"/>
        <v>0</v>
      </c>
      <c r="M87" s="58">
        <f t="shared" si="80"/>
        <v>0</v>
      </c>
      <c r="N87" s="262">
        <v>13</v>
      </c>
      <c r="O87" s="263">
        <v>13</v>
      </c>
      <c r="P87" s="228">
        <f t="shared" si="81"/>
        <v>13</v>
      </c>
      <c r="Q87" s="229">
        <f t="shared" si="82"/>
        <v>5</v>
      </c>
      <c r="R87" s="262">
        <v>13</v>
      </c>
      <c r="S87" s="263">
        <v>5.5</v>
      </c>
      <c r="T87" s="228">
        <f t="shared" si="83"/>
        <v>9.25</v>
      </c>
      <c r="U87" s="229">
        <f t="shared" si="84"/>
        <v>0</v>
      </c>
      <c r="V87" s="262">
        <v>16.5</v>
      </c>
      <c r="W87" s="263">
        <v>4.5</v>
      </c>
      <c r="X87" s="228">
        <f t="shared" si="85"/>
        <v>10.5</v>
      </c>
      <c r="Y87" s="229">
        <f t="shared" si="86"/>
        <v>6</v>
      </c>
      <c r="Z87" s="232">
        <f t="shared" si="87"/>
        <v>10.916666666666666</v>
      </c>
      <c r="AA87" s="233">
        <f t="shared" si="88"/>
        <v>17</v>
      </c>
      <c r="AB87" s="263">
        <v>12</v>
      </c>
      <c r="AC87" s="234">
        <f t="shared" si="89"/>
        <v>12</v>
      </c>
      <c r="AD87" s="235">
        <f t="shared" si="90"/>
        <v>1</v>
      </c>
      <c r="AE87" s="262">
        <v>0</v>
      </c>
      <c r="AF87" s="263">
        <v>0</v>
      </c>
      <c r="AG87" s="228">
        <f t="shared" si="91"/>
        <v>0</v>
      </c>
      <c r="AH87" s="229">
        <f t="shared" si="92"/>
        <v>0</v>
      </c>
      <c r="AI87" s="262">
        <v>10</v>
      </c>
      <c r="AJ87" s="263">
        <v>1.5</v>
      </c>
      <c r="AK87" s="228">
        <f t="shared" si="93"/>
        <v>5.75</v>
      </c>
      <c r="AL87" s="229">
        <f t="shared" si="94"/>
        <v>0</v>
      </c>
      <c r="AM87" s="236">
        <f t="shared" si="95"/>
        <v>4.7</v>
      </c>
      <c r="AN87" s="237">
        <f t="shared" si="96"/>
        <v>1</v>
      </c>
      <c r="AO87" s="262">
        <v>11.5</v>
      </c>
      <c r="AP87" s="263">
        <v>3</v>
      </c>
      <c r="AQ87" s="228">
        <f t="shared" si="97"/>
        <v>7.25</v>
      </c>
      <c r="AR87" s="229">
        <f t="shared" si="98"/>
        <v>0</v>
      </c>
      <c r="AS87" s="263">
        <v>7</v>
      </c>
      <c r="AT87" s="234">
        <f t="shared" si="99"/>
        <v>7</v>
      </c>
      <c r="AU87" s="238">
        <f t="shared" si="100"/>
        <v>0</v>
      </c>
      <c r="AV87" s="236">
        <f t="shared" si="101"/>
        <v>7.125</v>
      </c>
      <c r="AW87" s="237">
        <f t="shared" si="102"/>
        <v>0</v>
      </c>
      <c r="AX87" s="263">
        <v>15</v>
      </c>
      <c r="AY87" s="263">
        <v>3.5</v>
      </c>
      <c r="AZ87" s="228">
        <f t="shared" si="103"/>
        <v>9.25</v>
      </c>
      <c r="BA87" s="229">
        <f t="shared" si="104"/>
        <v>0</v>
      </c>
      <c r="BB87" s="236">
        <f t="shared" si="105"/>
        <v>9.25</v>
      </c>
      <c r="BC87" s="237">
        <f t="shared" si="106"/>
        <v>0</v>
      </c>
      <c r="BD87" s="239">
        <f t="shared" si="107"/>
        <v>8.0357142857142865</v>
      </c>
      <c r="BE87" s="240">
        <f t="shared" si="108"/>
        <v>18</v>
      </c>
      <c r="BF87" s="263"/>
      <c r="BG87" s="263"/>
      <c r="BH87" s="264">
        <f t="shared" si="109"/>
        <v>0</v>
      </c>
      <c r="BI87" s="265">
        <f t="shared" si="110"/>
        <v>0</v>
      </c>
      <c r="BJ87" s="263"/>
      <c r="BK87" s="263"/>
      <c r="BL87" s="264">
        <f t="shared" si="111"/>
        <v>0</v>
      </c>
      <c r="BM87" s="265">
        <f t="shared" si="112"/>
        <v>0</v>
      </c>
      <c r="BN87" s="263"/>
      <c r="BO87" s="263"/>
      <c r="BP87" s="264">
        <f t="shared" si="113"/>
        <v>0</v>
      </c>
      <c r="BQ87" s="265">
        <f t="shared" si="114"/>
        <v>0</v>
      </c>
      <c r="BR87" s="266">
        <f t="shared" si="115"/>
        <v>0</v>
      </c>
      <c r="BS87" s="267">
        <f t="shared" si="116"/>
        <v>0</v>
      </c>
      <c r="BT87" s="263"/>
      <c r="BU87" s="263"/>
      <c r="BV87" s="264">
        <f t="shared" si="117"/>
        <v>0</v>
      </c>
      <c r="BW87" s="265">
        <f t="shared" si="118"/>
        <v>0</v>
      </c>
      <c r="BX87" s="263"/>
      <c r="BY87" s="263"/>
      <c r="BZ87" s="264">
        <f t="shared" si="119"/>
        <v>0</v>
      </c>
      <c r="CA87" s="265">
        <f t="shared" si="120"/>
        <v>0</v>
      </c>
      <c r="CB87" s="268">
        <f t="shared" si="121"/>
        <v>0</v>
      </c>
      <c r="CC87" s="267">
        <f t="shared" si="122"/>
        <v>0</v>
      </c>
      <c r="CD87" s="263"/>
      <c r="CE87" s="263"/>
      <c r="CF87" s="264">
        <f t="shared" si="123"/>
        <v>0</v>
      </c>
      <c r="CG87" s="265">
        <f t="shared" si="124"/>
        <v>0</v>
      </c>
      <c r="CH87" s="268">
        <f t="shared" si="125"/>
        <v>0</v>
      </c>
      <c r="CI87" s="267">
        <f t="shared" si="126"/>
        <v>0</v>
      </c>
      <c r="CJ87" s="263"/>
      <c r="CK87" s="269">
        <f t="shared" si="127"/>
        <v>0</v>
      </c>
      <c r="CL87" s="270">
        <f t="shared" si="128"/>
        <v>0</v>
      </c>
      <c r="CM87" s="268">
        <f t="shared" si="129"/>
        <v>0</v>
      </c>
      <c r="CN87" s="267">
        <f t="shared" si="130"/>
        <v>0</v>
      </c>
      <c r="CO87" s="65">
        <f t="shared" si="131"/>
        <v>0</v>
      </c>
      <c r="CP87" s="66">
        <f t="shared" si="132"/>
        <v>0</v>
      </c>
      <c r="CQ87" s="31">
        <f t="shared" si="72"/>
        <v>8.0357142857142865</v>
      </c>
      <c r="CR87" s="32">
        <f t="shared" si="73"/>
        <v>18</v>
      </c>
      <c r="CS87" s="33">
        <f t="shared" si="74"/>
        <v>0</v>
      </c>
      <c r="CT87" s="34">
        <f t="shared" si="75"/>
        <v>0</v>
      </c>
      <c r="CU87" s="67">
        <f t="shared" si="76"/>
        <v>4.0178571428571432</v>
      </c>
      <c r="CV87" s="35">
        <f t="shared" si="77"/>
        <v>18</v>
      </c>
      <c r="CW87" s="59">
        <f t="shared" si="78"/>
        <v>18</v>
      </c>
      <c r="CX87" s="43" t="str">
        <f t="shared" si="133"/>
        <v>مؤجل(ة)</v>
      </c>
      <c r="CZ87" s="51"/>
      <c r="DA87" s="46"/>
    </row>
    <row r="88" spans="2:105" ht="27.75" customHeight="1">
      <c r="B88" s="420" t="s">
        <v>47</v>
      </c>
      <c r="C88" s="388"/>
      <c r="D88" s="388"/>
      <c r="E88" s="421"/>
      <c r="F88" s="200"/>
      <c r="G88" s="200"/>
      <c r="H88" s="200"/>
      <c r="I88" s="200"/>
      <c r="J88" s="200"/>
      <c r="K88" s="200"/>
      <c r="L88" s="200"/>
      <c r="M88" s="200"/>
      <c r="N88" s="350" t="s">
        <v>45</v>
      </c>
      <c r="O88" s="351"/>
      <c r="P88" s="351"/>
      <c r="Q88" s="352"/>
      <c r="R88" s="350" t="s">
        <v>45</v>
      </c>
      <c r="S88" s="351"/>
      <c r="T88" s="351"/>
      <c r="U88" s="352"/>
      <c r="V88" s="350" t="s">
        <v>45</v>
      </c>
      <c r="W88" s="351"/>
      <c r="X88" s="351"/>
      <c r="Y88" s="352"/>
      <c r="Z88" s="200"/>
      <c r="AA88" s="200"/>
      <c r="AB88" s="347" t="s">
        <v>45</v>
      </c>
      <c r="AC88" s="348"/>
      <c r="AD88" s="349"/>
      <c r="AE88" s="350" t="s">
        <v>45</v>
      </c>
      <c r="AF88" s="351"/>
      <c r="AG88" s="351"/>
      <c r="AH88" s="352"/>
      <c r="AI88" s="350" t="s">
        <v>45</v>
      </c>
      <c r="AJ88" s="351"/>
      <c r="AK88" s="351"/>
      <c r="AL88" s="352"/>
      <c r="AM88" s="200"/>
      <c r="AN88" s="200"/>
      <c r="AO88" s="350" t="s">
        <v>45</v>
      </c>
      <c r="AP88" s="351"/>
      <c r="AQ88" s="351"/>
      <c r="AR88" s="352"/>
      <c r="AS88" s="347" t="s">
        <v>45</v>
      </c>
      <c r="AT88" s="348"/>
      <c r="AU88" s="349"/>
      <c r="AV88" s="200"/>
      <c r="AW88" s="200"/>
      <c r="AX88" s="350" t="s">
        <v>45</v>
      </c>
      <c r="AY88" s="351"/>
      <c r="AZ88" s="351"/>
      <c r="BA88" s="352"/>
      <c r="BB88" s="387" t="s">
        <v>46</v>
      </c>
      <c r="BC88" s="388"/>
      <c r="BD88" s="388"/>
      <c r="BE88" s="388"/>
      <c r="BF88" s="350" t="s">
        <v>45</v>
      </c>
      <c r="BG88" s="351"/>
      <c r="BH88" s="351"/>
      <c r="BI88" s="352"/>
      <c r="BJ88" s="350" t="s">
        <v>45</v>
      </c>
      <c r="BK88" s="351"/>
      <c r="BL88" s="351"/>
      <c r="BM88" s="352"/>
      <c r="BN88" s="350" t="s">
        <v>45</v>
      </c>
      <c r="BO88" s="351"/>
      <c r="BP88" s="351"/>
      <c r="BQ88" s="352"/>
      <c r="BR88" s="201"/>
      <c r="BS88" s="202"/>
      <c r="BT88" s="350" t="s">
        <v>45</v>
      </c>
      <c r="BU88" s="351"/>
      <c r="BV88" s="351"/>
      <c r="BW88" s="352"/>
      <c r="BX88" s="350" t="s">
        <v>45</v>
      </c>
      <c r="BY88" s="351"/>
      <c r="BZ88" s="351"/>
      <c r="CA88" s="352"/>
      <c r="CB88" s="203"/>
      <c r="CC88" s="202"/>
      <c r="CD88" s="350" t="s">
        <v>45</v>
      </c>
      <c r="CE88" s="351"/>
      <c r="CF88" s="351"/>
      <c r="CG88" s="352"/>
      <c r="CH88" s="219"/>
      <c r="CI88" s="220"/>
      <c r="CJ88" s="433" t="s">
        <v>45</v>
      </c>
      <c r="CK88" s="434"/>
      <c r="CL88" s="435"/>
      <c r="CM88" s="436" t="s">
        <v>46</v>
      </c>
      <c r="CN88" s="437"/>
      <c r="CO88" s="437"/>
      <c r="CP88" s="438"/>
      <c r="CQ88" s="200"/>
      <c r="CR88" s="200"/>
      <c r="CS88" s="200"/>
      <c r="CT88" s="200"/>
      <c r="CU88" s="200"/>
      <c r="CV88" s="200"/>
      <c r="CW88" s="200"/>
      <c r="CX88" s="204" t="s">
        <v>46</v>
      </c>
    </row>
    <row r="89" spans="2:105" ht="27.75" customHeight="1" thickBot="1">
      <c r="B89" s="205"/>
      <c r="C89" s="206"/>
      <c r="D89" s="206"/>
      <c r="E89" s="207"/>
      <c r="F89" s="206"/>
      <c r="G89" s="206"/>
      <c r="H89" s="206"/>
      <c r="I89" s="206"/>
      <c r="J89" s="206"/>
      <c r="K89" s="206"/>
      <c r="L89" s="206"/>
      <c r="M89" s="206"/>
      <c r="N89" s="344"/>
      <c r="O89" s="345"/>
      <c r="P89" s="345"/>
      <c r="Q89" s="346"/>
      <c r="R89" s="344"/>
      <c r="S89" s="345"/>
      <c r="T89" s="345"/>
      <c r="U89" s="346"/>
      <c r="V89" s="344"/>
      <c r="W89" s="345"/>
      <c r="X89" s="345"/>
      <c r="Y89" s="346"/>
      <c r="Z89" s="206"/>
      <c r="AA89" s="206"/>
      <c r="AB89" s="353"/>
      <c r="AC89" s="354"/>
      <c r="AD89" s="355"/>
      <c r="AE89" s="344"/>
      <c r="AF89" s="345"/>
      <c r="AG89" s="345"/>
      <c r="AH89" s="346"/>
      <c r="AI89" s="344"/>
      <c r="AJ89" s="345"/>
      <c r="AK89" s="345"/>
      <c r="AL89" s="346"/>
      <c r="AM89" s="206"/>
      <c r="AN89" s="206"/>
      <c r="AO89" s="344"/>
      <c r="AP89" s="345"/>
      <c r="AQ89" s="345"/>
      <c r="AR89" s="346"/>
      <c r="AS89" s="353"/>
      <c r="AT89" s="354"/>
      <c r="AU89" s="355"/>
      <c r="AV89" s="206"/>
      <c r="AW89" s="206"/>
      <c r="AX89" s="344"/>
      <c r="AY89" s="345"/>
      <c r="AZ89" s="345"/>
      <c r="BA89" s="346"/>
      <c r="BB89" s="208"/>
      <c r="BC89" s="209"/>
      <c r="BD89" s="209"/>
      <c r="BE89" s="210"/>
      <c r="BF89" s="344"/>
      <c r="BG89" s="345"/>
      <c r="BH89" s="345"/>
      <c r="BI89" s="346"/>
      <c r="BJ89" s="344"/>
      <c r="BK89" s="345"/>
      <c r="BL89" s="345"/>
      <c r="BM89" s="346"/>
      <c r="BN89" s="344"/>
      <c r="BO89" s="345"/>
      <c r="BP89" s="345"/>
      <c r="BQ89" s="346"/>
      <c r="BR89" s="205"/>
      <c r="BS89" s="206"/>
      <c r="BT89" s="344"/>
      <c r="BU89" s="345"/>
      <c r="BV89" s="345"/>
      <c r="BW89" s="346"/>
      <c r="BX89" s="344"/>
      <c r="BY89" s="345"/>
      <c r="BZ89" s="345"/>
      <c r="CA89" s="346"/>
      <c r="CB89" s="206"/>
      <c r="CC89" s="206"/>
      <c r="CD89" s="344"/>
      <c r="CE89" s="345"/>
      <c r="CF89" s="345"/>
      <c r="CG89" s="346"/>
      <c r="CH89" s="217"/>
      <c r="CI89" s="218"/>
      <c r="CJ89" s="442"/>
      <c r="CK89" s="443"/>
      <c r="CL89" s="444"/>
      <c r="CM89" s="212"/>
      <c r="CN89" s="213"/>
      <c r="CO89" s="213"/>
      <c r="CP89" s="214"/>
      <c r="CQ89" s="206"/>
      <c r="CR89" s="206"/>
      <c r="CS89" s="206"/>
      <c r="CT89" s="206"/>
      <c r="CU89" s="206"/>
      <c r="CV89" s="206"/>
      <c r="CW89" s="206"/>
      <c r="CX89" s="211"/>
    </row>
    <row r="90" spans="2:105" ht="27.75" customHeight="1" thickBot="1">
      <c r="B90" s="417" t="s">
        <v>517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9"/>
      <c r="N90" s="422" t="s">
        <v>517</v>
      </c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4"/>
      <c r="BF90" s="425" t="s">
        <v>108</v>
      </c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7"/>
      <c r="CQ90" s="428" t="s">
        <v>108</v>
      </c>
      <c r="CR90" s="429"/>
      <c r="CS90" s="429"/>
      <c r="CT90" s="429"/>
      <c r="CU90" s="429"/>
      <c r="CV90" s="429"/>
      <c r="CW90" s="429"/>
      <c r="CX90" s="430"/>
    </row>
    <row r="91" spans="2:105" ht="27.75" customHeight="1" thickBot="1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415" t="s">
        <v>811</v>
      </c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5"/>
      <c r="AZ91" s="415"/>
      <c r="BA91" s="415"/>
      <c r="BB91" s="415"/>
      <c r="BC91" s="415"/>
      <c r="BD91" s="415"/>
      <c r="BE91" s="416"/>
      <c r="BF91" s="408" t="s">
        <v>95</v>
      </c>
      <c r="BG91" s="409"/>
      <c r="BH91" s="409"/>
      <c r="BI91" s="409"/>
      <c r="BJ91" s="409"/>
      <c r="BK91" s="409"/>
      <c r="BL91" s="409"/>
      <c r="BM91" s="409"/>
      <c r="BN91" s="409"/>
      <c r="BO91" s="409"/>
      <c r="BP91" s="409"/>
      <c r="BQ91" s="409"/>
      <c r="BR91" s="409"/>
      <c r="BS91" s="409"/>
      <c r="BT91" s="409"/>
      <c r="BU91" s="409"/>
      <c r="BV91" s="409"/>
      <c r="BW91" s="409"/>
      <c r="BX91" s="409"/>
      <c r="BY91" s="409"/>
      <c r="BZ91" s="409"/>
      <c r="CA91" s="409"/>
      <c r="CB91" s="409"/>
      <c r="CC91" s="409"/>
      <c r="CD91" s="409"/>
      <c r="CE91" s="409"/>
      <c r="CF91" s="409"/>
      <c r="CG91" s="409"/>
      <c r="CH91" s="409"/>
      <c r="CI91" s="409"/>
      <c r="CJ91" s="409"/>
      <c r="CK91" s="409"/>
      <c r="CL91" s="409"/>
      <c r="CM91" s="409"/>
      <c r="CN91" s="409"/>
      <c r="CO91" s="409"/>
      <c r="CP91" s="410"/>
      <c r="CQ91" s="412" t="s">
        <v>96</v>
      </c>
      <c r="CR91" s="413"/>
      <c r="CS91" s="413"/>
      <c r="CT91" s="413"/>
      <c r="CU91" s="413"/>
      <c r="CV91" s="413"/>
      <c r="CW91" s="413"/>
      <c r="CX91" s="414"/>
      <c r="DA91" s="46"/>
    </row>
    <row r="92" spans="2:105" ht="27.75" customHeight="1" thickBot="1">
      <c r="B92" s="142"/>
      <c r="C92" s="143"/>
      <c r="D92" s="143"/>
      <c r="E92" s="143"/>
      <c r="F92" s="143"/>
      <c r="G92" s="143"/>
      <c r="H92" s="356" t="s">
        <v>59</v>
      </c>
      <c r="I92" s="357"/>
      <c r="J92" s="357"/>
      <c r="K92" s="357"/>
      <c r="L92" s="357"/>
      <c r="M92" s="358"/>
      <c r="N92" s="367" t="s">
        <v>53</v>
      </c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9"/>
      <c r="AB92" s="144"/>
      <c r="AC92" s="365" t="s">
        <v>52</v>
      </c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6"/>
      <c r="AO92" s="367" t="s">
        <v>50</v>
      </c>
      <c r="AP92" s="368"/>
      <c r="AQ92" s="368"/>
      <c r="AR92" s="368"/>
      <c r="AS92" s="368"/>
      <c r="AT92" s="368"/>
      <c r="AU92" s="368"/>
      <c r="AV92" s="368"/>
      <c r="AW92" s="369"/>
      <c r="AX92" s="365" t="s">
        <v>51</v>
      </c>
      <c r="AY92" s="365"/>
      <c r="AZ92" s="365"/>
      <c r="BA92" s="365"/>
      <c r="BB92" s="365"/>
      <c r="BC92" s="366"/>
      <c r="BD92" s="383" t="s">
        <v>65</v>
      </c>
      <c r="BE92" s="384"/>
      <c r="BF92" s="389" t="s">
        <v>66</v>
      </c>
      <c r="BG92" s="390"/>
      <c r="BH92" s="390"/>
      <c r="BI92" s="390"/>
      <c r="BJ92" s="390"/>
      <c r="BK92" s="390"/>
      <c r="BL92" s="390"/>
      <c r="BM92" s="390"/>
      <c r="BN92" s="390"/>
      <c r="BO92" s="390"/>
      <c r="BP92" s="390"/>
      <c r="BQ92" s="390"/>
      <c r="BR92" s="390"/>
      <c r="BS92" s="391"/>
      <c r="BT92" s="439" t="s">
        <v>70</v>
      </c>
      <c r="BU92" s="440"/>
      <c r="BV92" s="440"/>
      <c r="BW92" s="440"/>
      <c r="BX92" s="440"/>
      <c r="BY92" s="440"/>
      <c r="BZ92" s="440"/>
      <c r="CA92" s="440"/>
      <c r="CB92" s="440"/>
      <c r="CC92" s="441"/>
      <c r="CD92" s="411" t="s">
        <v>71</v>
      </c>
      <c r="CE92" s="365"/>
      <c r="CF92" s="365"/>
      <c r="CG92" s="365"/>
      <c r="CH92" s="365"/>
      <c r="CI92" s="366"/>
      <c r="CJ92" s="389" t="s">
        <v>72</v>
      </c>
      <c r="CK92" s="390"/>
      <c r="CL92" s="390"/>
      <c r="CM92" s="390"/>
      <c r="CN92" s="391"/>
      <c r="CO92" s="398" t="s">
        <v>75</v>
      </c>
      <c r="CP92" s="399"/>
      <c r="CQ92" s="145"/>
      <c r="CR92" s="146"/>
      <c r="CS92" s="146"/>
      <c r="CT92" s="146"/>
      <c r="CU92" s="147"/>
      <c r="CV92" s="148"/>
      <c r="CW92" s="149"/>
      <c r="CX92" s="150"/>
      <c r="DA92" s="46"/>
    </row>
    <row r="93" spans="2:105" ht="27.75" customHeight="1" thickBot="1">
      <c r="B93" s="151"/>
      <c r="C93" s="152"/>
      <c r="D93" s="152"/>
      <c r="E93" s="152"/>
      <c r="F93" s="152"/>
      <c r="G93" s="153"/>
      <c r="H93" s="370" t="s">
        <v>4</v>
      </c>
      <c r="I93" s="371"/>
      <c r="J93" s="370" t="s">
        <v>5</v>
      </c>
      <c r="K93" s="371"/>
      <c r="L93" s="154" t="s">
        <v>79</v>
      </c>
      <c r="M93" s="155" t="s">
        <v>80</v>
      </c>
      <c r="N93" s="359" t="s">
        <v>54</v>
      </c>
      <c r="O93" s="360"/>
      <c r="P93" s="360"/>
      <c r="Q93" s="361"/>
      <c r="R93" s="362" t="s">
        <v>55</v>
      </c>
      <c r="S93" s="363"/>
      <c r="T93" s="363"/>
      <c r="U93" s="364"/>
      <c r="V93" s="359" t="s">
        <v>56</v>
      </c>
      <c r="W93" s="360"/>
      <c r="X93" s="360"/>
      <c r="Y93" s="361"/>
      <c r="Z93" s="377" t="s">
        <v>9</v>
      </c>
      <c r="AA93" s="378"/>
      <c r="AB93" s="362" t="s">
        <v>60</v>
      </c>
      <c r="AC93" s="363"/>
      <c r="AD93" s="364"/>
      <c r="AE93" s="359" t="s">
        <v>99</v>
      </c>
      <c r="AF93" s="360"/>
      <c r="AG93" s="360"/>
      <c r="AH93" s="361"/>
      <c r="AI93" s="362" t="s">
        <v>61</v>
      </c>
      <c r="AJ93" s="363"/>
      <c r="AK93" s="363"/>
      <c r="AL93" s="364"/>
      <c r="AM93" s="377" t="s">
        <v>9</v>
      </c>
      <c r="AN93" s="378"/>
      <c r="AO93" s="362" t="s">
        <v>63</v>
      </c>
      <c r="AP93" s="363"/>
      <c r="AQ93" s="363"/>
      <c r="AR93" s="364"/>
      <c r="AS93" s="359" t="s">
        <v>62</v>
      </c>
      <c r="AT93" s="360"/>
      <c r="AU93" s="361"/>
      <c r="AV93" s="372" t="s">
        <v>9</v>
      </c>
      <c r="AW93" s="373"/>
      <c r="AX93" s="359" t="s">
        <v>64</v>
      </c>
      <c r="AY93" s="360"/>
      <c r="AZ93" s="360"/>
      <c r="BA93" s="361"/>
      <c r="BB93" s="379" t="s">
        <v>9</v>
      </c>
      <c r="BC93" s="380"/>
      <c r="BD93" s="385"/>
      <c r="BE93" s="386"/>
      <c r="BF93" s="392" t="s">
        <v>67</v>
      </c>
      <c r="BG93" s="393"/>
      <c r="BH93" s="393"/>
      <c r="BI93" s="393"/>
      <c r="BJ93" s="382" t="s">
        <v>68</v>
      </c>
      <c r="BK93" s="382"/>
      <c r="BL93" s="382"/>
      <c r="BM93" s="382"/>
      <c r="BN93" s="393" t="s">
        <v>103</v>
      </c>
      <c r="BO93" s="393"/>
      <c r="BP93" s="393"/>
      <c r="BQ93" s="393"/>
      <c r="BR93" s="381" t="s">
        <v>9</v>
      </c>
      <c r="BS93" s="382"/>
      <c r="BT93" s="393" t="s">
        <v>104</v>
      </c>
      <c r="BU93" s="393"/>
      <c r="BV93" s="393"/>
      <c r="BW93" s="393"/>
      <c r="BX93" s="359" t="s">
        <v>69</v>
      </c>
      <c r="BY93" s="360"/>
      <c r="BZ93" s="360"/>
      <c r="CA93" s="361"/>
      <c r="CB93" s="402" t="s">
        <v>9</v>
      </c>
      <c r="CC93" s="403"/>
      <c r="CD93" s="362" t="s">
        <v>74</v>
      </c>
      <c r="CE93" s="363"/>
      <c r="CF93" s="363"/>
      <c r="CG93" s="363"/>
      <c r="CH93" s="396" t="s">
        <v>9</v>
      </c>
      <c r="CI93" s="397"/>
      <c r="CJ93" s="359" t="s">
        <v>73</v>
      </c>
      <c r="CK93" s="360"/>
      <c r="CL93" s="361"/>
      <c r="CM93" s="396" t="s">
        <v>9</v>
      </c>
      <c r="CN93" s="397"/>
      <c r="CO93" s="400"/>
      <c r="CP93" s="401"/>
      <c r="CQ93" s="431" t="s">
        <v>76</v>
      </c>
      <c r="CR93" s="432"/>
      <c r="CS93" s="431" t="s">
        <v>77</v>
      </c>
      <c r="CT93" s="432"/>
      <c r="CU93" s="394" t="s">
        <v>6</v>
      </c>
      <c r="CV93" s="404" t="s">
        <v>7</v>
      </c>
      <c r="CW93" s="406" t="s">
        <v>78</v>
      </c>
      <c r="CX93" s="156"/>
      <c r="DA93" s="46"/>
    </row>
    <row r="94" spans="2:105" ht="27.75" customHeight="1" thickTop="1" thickBot="1">
      <c r="B94" s="157" t="s">
        <v>0</v>
      </c>
      <c r="C94" s="158" t="s">
        <v>81</v>
      </c>
      <c r="D94" s="158" t="s">
        <v>82</v>
      </c>
      <c r="E94" s="159" t="s">
        <v>1</v>
      </c>
      <c r="F94" s="160" t="s">
        <v>2</v>
      </c>
      <c r="G94" s="161" t="s">
        <v>3</v>
      </c>
      <c r="H94" s="162" t="s">
        <v>10</v>
      </c>
      <c r="I94" s="163" t="s">
        <v>11</v>
      </c>
      <c r="J94" s="164" t="s">
        <v>10</v>
      </c>
      <c r="K94" s="163" t="s">
        <v>11</v>
      </c>
      <c r="L94" s="165" t="s">
        <v>49</v>
      </c>
      <c r="M94" s="166" t="s">
        <v>49</v>
      </c>
      <c r="N94" s="167" t="s">
        <v>57</v>
      </c>
      <c r="O94" s="168" t="s">
        <v>58</v>
      </c>
      <c r="P94" s="168" t="s">
        <v>10</v>
      </c>
      <c r="Q94" s="169" t="s">
        <v>11</v>
      </c>
      <c r="R94" s="167" t="s">
        <v>57</v>
      </c>
      <c r="S94" s="168" t="s">
        <v>58</v>
      </c>
      <c r="T94" s="168" t="s">
        <v>10</v>
      </c>
      <c r="U94" s="169" t="s">
        <v>11</v>
      </c>
      <c r="V94" s="167" t="s">
        <v>57</v>
      </c>
      <c r="W94" s="168" t="s">
        <v>58</v>
      </c>
      <c r="X94" s="168" t="s">
        <v>10</v>
      </c>
      <c r="Y94" s="169" t="s">
        <v>11</v>
      </c>
      <c r="Z94" s="170" t="s">
        <v>10</v>
      </c>
      <c r="AA94" s="171" t="s">
        <v>11</v>
      </c>
      <c r="AB94" s="168" t="s">
        <v>58</v>
      </c>
      <c r="AC94" s="172" t="s">
        <v>10</v>
      </c>
      <c r="AD94" s="169" t="s">
        <v>11</v>
      </c>
      <c r="AE94" s="167" t="s">
        <v>57</v>
      </c>
      <c r="AF94" s="168" t="s">
        <v>58</v>
      </c>
      <c r="AG94" s="173" t="s">
        <v>10</v>
      </c>
      <c r="AH94" s="174" t="s">
        <v>11</v>
      </c>
      <c r="AI94" s="167" t="s">
        <v>57</v>
      </c>
      <c r="AJ94" s="168" t="s">
        <v>58</v>
      </c>
      <c r="AK94" s="175" t="s">
        <v>10</v>
      </c>
      <c r="AL94" s="176" t="s">
        <v>11</v>
      </c>
      <c r="AM94" s="177" t="s">
        <v>10</v>
      </c>
      <c r="AN94" s="178" t="s">
        <v>11</v>
      </c>
      <c r="AO94" s="167" t="s">
        <v>57</v>
      </c>
      <c r="AP94" s="168" t="s">
        <v>58</v>
      </c>
      <c r="AQ94" s="179" t="s">
        <v>10</v>
      </c>
      <c r="AR94" s="174" t="s">
        <v>11</v>
      </c>
      <c r="AS94" s="172" t="s">
        <v>58</v>
      </c>
      <c r="AT94" s="175" t="s">
        <v>10</v>
      </c>
      <c r="AU94" s="176" t="s">
        <v>11</v>
      </c>
      <c r="AV94" s="180" t="s">
        <v>10</v>
      </c>
      <c r="AW94" s="181" t="s">
        <v>11</v>
      </c>
      <c r="AX94" s="167" t="s">
        <v>57</v>
      </c>
      <c r="AY94" s="168" t="s">
        <v>58</v>
      </c>
      <c r="AZ94" s="175" t="s">
        <v>10</v>
      </c>
      <c r="BA94" s="176" t="s">
        <v>11</v>
      </c>
      <c r="BB94" s="180" t="s">
        <v>10</v>
      </c>
      <c r="BC94" s="182" t="s">
        <v>11</v>
      </c>
      <c r="BD94" s="183" t="s">
        <v>10</v>
      </c>
      <c r="BE94" s="184" t="s">
        <v>11</v>
      </c>
      <c r="BF94" s="185" t="s">
        <v>57</v>
      </c>
      <c r="BG94" s="168" t="s">
        <v>58</v>
      </c>
      <c r="BH94" s="168" t="s">
        <v>10</v>
      </c>
      <c r="BI94" s="169" t="s">
        <v>11</v>
      </c>
      <c r="BJ94" s="167" t="s">
        <v>57</v>
      </c>
      <c r="BK94" s="168" t="s">
        <v>58</v>
      </c>
      <c r="BL94" s="168" t="s">
        <v>10</v>
      </c>
      <c r="BM94" s="169" t="s">
        <v>11</v>
      </c>
      <c r="BN94" s="167" t="s">
        <v>57</v>
      </c>
      <c r="BO94" s="168" t="s">
        <v>58</v>
      </c>
      <c r="BP94" s="168" t="s">
        <v>10</v>
      </c>
      <c r="BQ94" s="169" t="s">
        <v>11</v>
      </c>
      <c r="BR94" s="186" t="s">
        <v>10</v>
      </c>
      <c r="BS94" s="171" t="s">
        <v>11</v>
      </c>
      <c r="BT94" s="167" t="s">
        <v>57</v>
      </c>
      <c r="BU94" s="168" t="s">
        <v>58</v>
      </c>
      <c r="BV94" s="168" t="s">
        <v>10</v>
      </c>
      <c r="BW94" s="169" t="s">
        <v>11</v>
      </c>
      <c r="BX94" s="167" t="s">
        <v>57</v>
      </c>
      <c r="BY94" s="168" t="s">
        <v>58</v>
      </c>
      <c r="BZ94" s="173" t="s">
        <v>10</v>
      </c>
      <c r="CA94" s="176" t="s">
        <v>11</v>
      </c>
      <c r="CB94" s="187" t="s">
        <v>10</v>
      </c>
      <c r="CC94" s="188" t="s">
        <v>11</v>
      </c>
      <c r="CD94" s="167" t="s">
        <v>57</v>
      </c>
      <c r="CE94" s="168" t="s">
        <v>58</v>
      </c>
      <c r="CF94" s="179" t="s">
        <v>10</v>
      </c>
      <c r="CG94" s="176" t="s">
        <v>11</v>
      </c>
      <c r="CH94" s="189" t="s">
        <v>10</v>
      </c>
      <c r="CI94" s="190" t="s">
        <v>11</v>
      </c>
      <c r="CJ94" s="191" t="s">
        <v>58</v>
      </c>
      <c r="CK94" s="179" t="s">
        <v>10</v>
      </c>
      <c r="CL94" s="176" t="s">
        <v>11</v>
      </c>
      <c r="CM94" s="177" t="s">
        <v>10</v>
      </c>
      <c r="CN94" s="178" t="s">
        <v>11</v>
      </c>
      <c r="CO94" s="192" t="s">
        <v>10</v>
      </c>
      <c r="CP94" s="193" t="s">
        <v>11</v>
      </c>
      <c r="CQ94" s="194" t="s">
        <v>10</v>
      </c>
      <c r="CR94" s="195" t="s">
        <v>11</v>
      </c>
      <c r="CS94" s="196" t="s">
        <v>10</v>
      </c>
      <c r="CT94" s="195" t="s">
        <v>11</v>
      </c>
      <c r="CU94" s="395"/>
      <c r="CV94" s="405"/>
      <c r="CW94" s="407"/>
      <c r="CX94" s="197" t="s">
        <v>8</v>
      </c>
      <c r="DA94" s="46"/>
    </row>
    <row r="95" spans="2:105" ht="27.75" customHeight="1" thickBot="1">
      <c r="B95" s="1">
        <v>1</v>
      </c>
      <c r="C95" s="327" t="s">
        <v>629</v>
      </c>
      <c r="D95" s="249" t="s">
        <v>600</v>
      </c>
      <c r="E95" s="48" t="s">
        <v>797</v>
      </c>
      <c r="F95" s="275">
        <v>35346</v>
      </c>
      <c r="G95" s="52" t="s">
        <v>746</v>
      </c>
      <c r="H95" s="131">
        <v>9.8000000000000007</v>
      </c>
      <c r="I95" s="132">
        <v>20</v>
      </c>
      <c r="J95" s="133">
        <v>9.0299999999999994</v>
      </c>
      <c r="K95" s="134">
        <v>15</v>
      </c>
      <c r="L95" s="53">
        <f>(H95+J95)/2</f>
        <v>9.4149999999999991</v>
      </c>
      <c r="M95" s="58">
        <f>IF(L95&gt;=10,60,I95+K95)</f>
        <v>35</v>
      </c>
      <c r="N95" s="262">
        <v>10.5</v>
      </c>
      <c r="O95" s="263">
        <v>7.25</v>
      </c>
      <c r="P95" s="228">
        <f>(N95+O95)/2</f>
        <v>8.875</v>
      </c>
      <c r="Q95" s="229">
        <f>IF(P95&gt;=10,5,0)</f>
        <v>0</v>
      </c>
      <c r="R95" s="262">
        <v>12</v>
      </c>
      <c r="S95" s="263">
        <v>5.5</v>
      </c>
      <c r="T95" s="228">
        <f>(R95+S95)/2</f>
        <v>8.75</v>
      </c>
      <c r="U95" s="229">
        <f>IF(T95&gt;=10,6,0)</f>
        <v>0</v>
      </c>
      <c r="V95" s="262">
        <v>8</v>
      </c>
      <c r="W95" s="263">
        <v>1</v>
      </c>
      <c r="X95" s="228">
        <f>(V95+W95)/2</f>
        <v>4.5</v>
      </c>
      <c r="Y95" s="229">
        <f>IF(X95&gt;=10,6,0)</f>
        <v>0</v>
      </c>
      <c r="Z95" s="232">
        <f>((P95*2)+(T95*2)+(X95*2))/6</f>
        <v>7.375</v>
      </c>
      <c r="AA95" s="233">
        <f>IF(Z95&gt;=10,17,Q95+U95+Y95)</f>
        <v>0</v>
      </c>
      <c r="AB95" s="263">
        <v>10</v>
      </c>
      <c r="AC95" s="234">
        <f>AB95</f>
        <v>10</v>
      </c>
      <c r="AD95" s="235">
        <f>IF(AC95&gt;=10,1,0)</f>
        <v>1</v>
      </c>
      <c r="AE95" s="262">
        <v>3</v>
      </c>
      <c r="AF95" s="263">
        <v>3</v>
      </c>
      <c r="AG95" s="228">
        <f>(AE95+AF95)/2</f>
        <v>3</v>
      </c>
      <c r="AH95" s="229">
        <f>IF(AG95&gt;=10,3,0)</f>
        <v>0</v>
      </c>
      <c r="AI95" s="262">
        <v>10</v>
      </c>
      <c r="AJ95" s="263">
        <v>0</v>
      </c>
      <c r="AK95" s="228">
        <f>(AI95+AJ95)/2</f>
        <v>5</v>
      </c>
      <c r="AL95" s="229">
        <f>IF(AK95&gt;=10,3,0)</f>
        <v>0</v>
      </c>
      <c r="AM95" s="236">
        <f>(AC95+(AG95*2)+(AK95*2))/5</f>
        <v>5.2</v>
      </c>
      <c r="AN95" s="237">
        <f>IF(AM95&gt;=10,7,AL95+AH95+AD95)</f>
        <v>1</v>
      </c>
      <c r="AO95" s="262">
        <v>11.5</v>
      </c>
      <c r="AP95" s="263">
        <v>3</v>
      </c>
      <c r="AQ95" s="228">
        <f>(AO95+AP95)/2</f>
        <v>7.25</v>
      </c>
      <c r="AR95" s="229">
        <f>IF(AQ95&gt;=10,4,0)</f>
        <v>0</v>
      </c>
      <c r="AS95" s="263">
        <v>6</v>
      </c>
      <c r="AT95" s="234">
        <f>AS95</f>
        <v>6</v>
      </c>
      <c r="AU95" s="238">
        <f>IF(AT95&gt;=10,1,0)</f>
        <v>0</v>
      </c>
      <c r="AV95" s="236">
        <f>(AT95+AQ95)/2</f>
        <v>6.625</v>
      </c>
      <c r="AW95" s="237">
        <f>IF(AV95&gt;=10,5,AU95+AR95)</f>
        <v>0</v>
      </c>
      <c r="AX95" s="263">
        <v>15</v>
      </c>
      <c r="AY95" s="263">
        <v>6.5</v>
      </c>
      <c r="AZ95" s="228">
        <f>(AX95+AY95)/2</f>
        <v>10.75</v>
      </c>
      <c r="BA95" s="229">
        <f>IF(AZ95&gt;=10,1,0)</f>
        <v>1</v>
      </c>
      <c r="BB95" s="236">
        <f>AZ95</f>
        <v>10.75</v>
      </c>
      <c r="BC95" s="237">
        <f>BA95</f>
        <v>1</v>
      </c>
      <c r="BD95" s="239">
        <f>((P95*2)+(T95*2)+(X95*2)+AC95+(AG95*2)+(AK95*2)+AQ95+AT95+AZ95)/14</f>
        <v>6.7321428571428568</v>
      </c>
      <c r="BE95" s="240">
        <f>IF(BD95&gt;=10,30,BC95+AW95+AN95+AA95)</f>
        <v>2</v>
      </c>
      <c r="BF95" s="263"/>
      <c r="BG95" s="263"/>
      <c r="BH95" s="264">
        <f>(BF95+BG95)/2</f>
        <v>0</v>
      </c>
      <c r="BI95" s="265">
        <f>IF(BH95&gt;=10,6,0)</f>
        <v>0</v>
      </c>
      <c r="BJ95" s="263"/>
      <c r="BK95" s="263"/>
      <c r="BL95" s="264">
        <f>(BJ95+BK95)/2</f>
        <v>0</v>
      </c>
      <c r="BM95" s="265">
        <f>IF(BL95&gt;=10,6,0)</f>
        <v>0</v>
      </c>
      <c r="BN95" s="263"/>
      <c r="BO95" s="263"/>
      <c r="BP95" s="264">
        <f>(BN95+BO95)/2</f>
        <v>0</v>
      </c>
      <c r="BQ95" s="265">
        <f>IF(BP95&gt;=10,4,0)</f>
        <v>0</v>
      </c>
      <c r="BR95" s="266">
        <f>(BP95+(BL95*2)+(BH95*2))/5</f>
        <v>0</v>
      </c>
      <c r="BS95" s="267">
        <f>IF(BR95&gt;=10,16,BQ95+BM95+BI95)</f>
        <v>0</v>
      </c>
      <c r="BT95" s="263"/>
      <c r="BU95" s="263"/>
      <c r="BV95" s="264">
        <f>(BT95+BU95)/2</f>
        <v>0</v>
      </c>
      <c r="BW95" s="265">
        <f>IF(BV95&gt;=10,5,0)</f>
        <v>0</v>
      </c>
      <c r="BX95" s="263"/>
      <c r="BY95" s="263"/>
      <c r="BZ95" s="264">
        <f>(BX95+BY95)/2</f>
        <v>0</v>
      </c>
      <c r="CA95" s="265">
        <f>IF(BZ95&gt;=10,5,0)</f>
        <v>0</v>
      </c>
      <c r="CB95" s="268">
        <f>((BZ95*2)+(BV95*2))/4</f>
        <v>0</v>
      </c>
      <c r="CC95" s="267">
        <f>IF(CB95&gt;=10,10,CA95+BW95)</f>
        <v>0</v>
      </c>
      <c r="CD95" s="263"/>
      <c r="CE95" s="263"/>
      <c r="CF95" s="264">
        <f>(CD95+CE95)/2</f>
        <v>0</v>
      </c>
      <c r="CG95" s="265">
        <f>IF(CF95&gt;=10,3,0)</f>
        <v>0</v>
      </c>
      <c r="CH95" s="268">
        <f>CF95</f>
        <v>0</v>
      </c>
      <c r="CI95" s="267">
        <f>CG95</f>
        <v>0</v>
      </c>
      <c r="CJ95" s="263"/>
      <c r="CK95" s="269">
        <f>CJ95</f>
        <v>0</v>
      </c>
      <c r="CL95" s="270">
        <f>IF(CK95&gt;=10,1,0)</f>
        <v>0</v>
      </c>
      <c r="CM95" s="268">
        <f>CK95</f>
        <v>0</v>
      </c>
      <c r="CN95" s="267">
        <f>CL95</f>
        <v>0</v>
      </c>
      <c r="CO95" s="65">
        <f>((CF95*2)+(BV95*2)+(BZ95*2)+CK95+BP95+(BL95*2)+(BH95*2))/12</f>
        <v>0</v>
      </c>
      <c r="CP95" s="66">
        <f>IF(CO95&gt;=10,30,CI95+CN95+CC95+BS95)</f>
        <v>0</v>
      </c>
      <c r="CQ95" s="31">
        <f t="shared" ref="CQ95:CQ131" si="135">BD95</f>
        <v>6.7321428571428568</v>
      </c>
      <c r="CR95" s="32">
        <f t="shared" ref="CR95:CR131" si="136">IF(CU95&gt;=10,30,BE95)</f>
        <v>2</v>
      </c>
      <c r="CS95" s="33">
        <f t="shared" ref="CS95:CS131" si="137">CO95</f>
        <v>0</v>
      </c>
      <c r="CT95" s="34">
        <f t="shared" ref="CT95:CT131" si="138">IF(CU95&gt;=10,30,CP95)</f>
        <v>0</v>
      </c>
      <c r="CU95" s="67">
        <f t="shared" ref="CU95:CU131" si="139">(CS95+CQ95)/2</f>
        <v>3.3660714285714284</v>
      </c>
      <c r="CV95" s="35">
        <f t="shared" ref="CV95:CV131" si="140">IF(CU95&gt;=10,60,CT95+CR95)</f>
        <v>2</v>
      </c>
      <c r="CW95" s="59">
        <f t="shared" ref="CW95:CW131" si="141">(M95+CV95)</f>
        <v>37</v>
      </c>
      <c r="CX95" s="43" t="str">
        <f>IF(CW95=120,"ناجح(ة) دورة1","مؤجل(ة)")</f>
        <v>مؤجل(ة)</v>
      </c>
      <c r="CY95" s="44"/>
      <c r="CZ95" s="50"/>
      <c r="DA95" s="46"/>
    </row>
    <row r="96" spans="2:105" ht="27.75" customHeight="1" thickBot="1">
      <c r="B96" s="1">
        <f>B95+1</f>
        <v>2</v>
      </c>
      <c r="C96" s="328" t="s">
        <v>630</v>
      </c>
      <c r="D96" s="249" t="s">
        <v>631</v>
      </c>
      <c r="E96" s="47" t="s">
        <v>798</v>
      </c>
      <c r="F96" s="135">
        <v>35805</v>
      </c>
      <c r="G96" s="136" t="s">
        <v>746</v>
      </c>
      <c r="H96" s="131">
        <v>10.47</v>
      </c>
      <c r="I96" s="132">
        <v>30</v>
      </c>
      <c r="J96" s="133">
        <v>8.09</v>
      </c>
      <c r="K96" s="134">
        <v>16</v>
      </c>
      <c r="L96" s="53">
        <f t="shared" ref="L96:L131" si="142">(H96+J96)/2</f>
        <v>9.2800000000000011</v>
      </c>
      <c r="M96" s="58">
        <f t="shared" ref="M96:M131" si="143">IF(L96&gt;=10,60,I96+K96)</f>
        <v>46</v>
      </c>
      <c r="N96" s="262">
        <v>16</v>
      </c>
      <c r="O96" s="263">
        <v>11.25</v>
      </c>
      <c r="P96" s="228">
        <f t="shared" ref="P96:P131" si="144">(N96+O96)/2</f>
        <v>13.625</v>
      </c>
      <c r="Q96" s="229">
        <f t="shared" ref="Q96:Q131" si="145">IF(P96&gt;=10,5,0)</f>
        <v>5</v>
      </c>
      <c r="R96" s="262">
        <v>13</v>
      </c>
      <c r="S96" s="263">
        <v>4.75</v>
      </c>
      <c r="T96" s="228">
        <f t="shared" ref="T96:T131" si="146">(R96+S96)/2</f>
        <v>8.875</v>
      </c>
      <c r="U96" s="229">
        <f t="shared" ref="U96:U131" si="147">IF(T96&gt;=10,6,0)</f>
        <v>0</v>
      </c>
      <c r="V96" s="262">
        <v>10</v>
      </c>
      <c r="W96" s="263">
        <v>4.25</v>
      </c>
      <c r="X96" s="228">
        <f t="shared" ref="X96:X131" si="148">(V96+W96)/2</f>
        <v>7.125</v>
      </c>
      <c r="Y96" s="229">
        <f t="shared" ref="Y96:Y131" si="149">IF(X96&gt;=10,6,0)</f>
        <v>0</v>
      </c>
      <c r="Z96" s="232">
        <f t="shared" ref="Z96:Z131" si="150">((P96*2)+(T96*2)+(X96*2))/6</f>
        <v>9.875</v>
      </c>
      <c r="AA96" s="233">
        <f t="shared" ref="AA96:AA131" si="151">IF(Z96&gt;=10,17,Q96+U96+Y96)</f>
        <v>5</v>
      </c>
      <c r="AB96" s="263">
        <v>5.5</v>
      </c>
      <c r="AC96" s="234">
        <f t="shared" ref="AC96:AC131" si="152">AB96</f>
        <v>5.5</v>
      </c>
      <c r="AD96" s="235">
        <f t="shared" ref="AD96:AD131" si="153">IF(AC96&gt;=10,1,0)</f>
        <v>0</v>
      </c>
      <c r="AE96" s="262">
        <v>3.5</v>
      </c>
      <c r="AF96" s="263">
        <v>3.5</v>
      </c>
      <c r="AG96" s="228">
        <f t="shared" ref="AG96:AG131" si="154">(AE96+AF96)/2</f>
        <v>3.5</v>
      </c>
      <c r="AH96" s="229">
        <f t="shared" ref="AH96:AH131" si="155">IF(AG96&gt;=10,3,0)</f>
        <v>0</v>
      </c>
      <c r="AI96" s="262">
        <v>10</v>
      </c>
      <c r="AJ96" s="263">
        <v>0</v>
      </c>
      <c r="AK96" s="228">
        <f t="shared" ref="AK96:AK131" si="156">(AI96+AJ96)/2</f>
        <v>5</v>
      </c>
      <c r="AL96" s="229">
        <f t="shared" ref="AL96:AL131" si="157">IF(AK96&gt;=10,3,0)</f>
        <v>0</v>
      </c>
      <c r="AM96" s="236">
        <f t="shared" ref="AM96:AM131" si="158">(AC96+(AG96*2)+(AK96*2))/5</f>
        <v>4.5</v>
      </c>
      <c r="AN96" s="237">
        <f t="shared" ref="AN96:AN131" si="159">IF(AM96&gt;=10,7,AL96+AH96+AD96)</f>
        <v>0</v>
      </c>
      <c r="AO96" s="262">
        <v>11.5</v>
      </c>
      <c r="AP96" s="263">
        <v>3</v>
      </c>
      <c r="AQ96" s="228">
        <f t="shared" ref="AQ96:AQ131" si="160">(AO96+AP96)/2</f>
        <v>7.25</v>
      </c>
      <c r="AR96" s="229">
        <f t="shared" ref="AR96:AR131" si="161">IF(AQ96&gt;=10,4,0)</f>
        <v>0</v>
      </c>
      <c r="AS96" s="263">
        <v>7</v>
      </c>
      <c r="AT96" s="234">
        <f t="shared" ref="AT96:AT131" si="162">AS96</f>
        <v>7</v>
      </c>
      <c r="AU96" s="238">
        <f t="shared" ref="AU96:AU131" si="163">IF(AT96&gt;=10,1,0)</f>
        <v>0</v>
      </c>
      <c r="AV96" s="236">
        <f t="shared" ref="AV96:AV131" si="164">(AT96+AQ96)/2</f>
        <v>7.125</v>
      </c>
      <c r="AW96" s="237">
        <f t="shared" ref="AW96:AW131" si="165">IF(AV96&gt;=10,5,AU96+AR96)</f>
        <v>0</v>
      </c>
      <c r="AX96" s="263">
        <v>14</v>
      </c>
      <c r="AY96" s="263">
        <v>5</v>
      </c>
      <c r="AZ96" s="228">
        <f t="shared" ref="AZ96:AZ131" si="166">(AX96+AY96)/2</f>
        <v>9.5</v>
      </c>
      <c r="BA96" s="229">
        <f t="shared" ref="BA96:BA131" si="167">IF(AZ96&gt;=10,1,0)</f>
        <v>0</v>
      </c>
      <c r="BB96" s="236">
        <f t="shared" ref="BB96:BB131" si="168">AZ96</f>
        <v>9.5</v>
      </c>
      <c r="BC96" s="237">
        <f t="shared" ref="BC96:BC131" si="169">BA96</f>
        <v>0</v>
      </c>
      <c r="BD96" s="239">
        <f t="shared" ref="BD96:BD131" si="170">((P96*2)+(T96*2)+(X96*2)+AC96+(AG96*2)+(AK96*2)+AQ96+AT96+AZ96)/14</f>
        <v>7.5357142857142856</v>
      </c>
      <c r="BE96" s="240">
        <f t="shared" ref="BE96:BE131" si="171">IF(BD96&gt;=10,30,BC96+AW96+AN96+AA96)</f>
        <v>5</v>
      </c>
      <c r="BF96" s="263"/>
      <c r="BG96" s="263"/>
      <c r="BH96" s="264">
        <f t="shared" ref="BH96:BH131" si="172">(BF96+BG96)/2</f>
        <v>0</v>
      </c>
      <c r="BI96" s="265">
        <f t="shared" ref="BI96:BI131" si="173">IF(BH96&gt;=10,6,0)</f>
        <v>0</v>
      </c>
      <c r="BJ96" s="263"/>
      <c r="BK96" s="263"/>
      <c r="BL96" s="264">
        <f t="shared" ref="BL96:BL131" si="174">(BJ96+BK96)/2</f>
        <v>0</v>
      </c>
      <c r="BM96" s="265">
        <f t="shared" ref="BM96:BM131" si="175">IF(BL96&gt;=10,6,0)</f>
        <v>0</v>
      </c>
      <c r="BN96" s="263"/>
      <c r="BO96" s="263"/>
      <c r="BP96" s="264">
        <f t="shared" ref="BP96:BP131" si="176">(BN96+BO96)/2</f>
        <v>0</v>
      </c>
      <c r="BQ96" s="265">
        <f t="shared" ref="BQ96:BQ131" si="177">IF(BP96&gt;=10,4,0)</f>
        <v>0</v>
      </c>
      <c r="BR96" s="266">
        <f t="shared" ref="BR96:BR131" si="178">(BP96+(BL96*2)+(BH96*2))/5</f>
        <v>0</v>
      </c>
      <c r="BS96" s="267">
        <f t="shared" ref="BS96:BS131" si="179">IF(BR96&gt;=10,16,BQ96+BM96+BI96)</f>
        <v>0</v>
      </c>
      <c r="BT96" s="263"/>
      <c r="BU96" s="263"/>
      <c r="BV96" s="264">
        <f t="shared" ref="BV96:BV131" si="180">(BT96+BU96)/2</f>
        <v>0</v>
      </c>
      <c r="BW96" s="265">
        <f t="shared" ref="BW96:BW131" si="181">IF(BV96&gt;=10,5,0)</f>
        <v>0</v>
      </c>
      <c r="BX96" s="263"/>
      <c r="BY96" s="263"/>
      <c r="BZ96" s="264">
        <f t="shared" ref="BZ96:BZ131" si="182">(BX96+BY96)/2</f>
        <v>0</v>
      </c>
      <c r="CA96" s="265">
        <f t="shared" ref="CA96:CA131" si="183">IF(BZ96&gt;=10,5,0)</f>
        <v>0</v>
      </c>
      <c r="CB96" s="268">
        <f t="shared" ref="CB96:CB131" si="184">((BZ96*2)+(BV96*2))/4</f>
        <v>0</v>
      </c>
      <c r="CC96" s="267">
        <f t="shared" ref="CC96:CC131" si="185">IF(CB96&gt;=10,10,CA96+BW96)</f>
        <v>0</v>
      </c>
      <c r="CD96" s="263"/>
      <c r="CE96" s="263"/>
      <c r="CF96" s="264">
        <f t="shared" ref="CF96:CF131" si="186">(CD96+CE96)/2</f>
        <v>0</v>
      </c>
      <c r="CG96" s="265">
        <f t="shared" ref="CG96:CG131" si="187">IF(CF96&gt;=10,3,0)</f>
        <v>0</v>
      </c>
      <c r="CH96" s="268">
        <f t="shared" ref="CH96:CH131" si="188">CF96</f>
        <v>0</v>
      </c>
      <c r="CI96" s="267">
        <f t="shared" ref="CI96:CI131" si="189">CG96</f>
        <v>0</v>
      </c>
      <c r="CJ96" s="263"/>
      <c r="CK96" s="269">
        <f t="shared" ref="CK96:CK131" si="190">CJ96</f>
        <v>0</v>
      </c>
      <c r="CL96" s="270">
        <f t="shared" ref="CL96:CL131" si="191">IF(CK96&gt;=10,1,0)</f>
        <v>0</v>
      </c>
      <c r="CM96" s="268">
        <f t="shared" ref="CM96:CM131" si="192">CK96</f>
        <v>0</v>
      </c>
      <c r="CN96" s="267">
        <f t="shared" ref="CN96:CN131" si="193">CL96</f>
        <v>0</v>
      </c>
      <c r="CO96" s="65">
        <f t="shared" ref="CO96:CO131" si="194">((CF96*2)+(BV96*2)+(BZ96*2)+CK96+BP96+(BL96*2)+(BH96*2))/12</f>
        <v>0</v>
      </c>
      <c r="CP96" s="66">
        <f t="shared" ref="CP96:CP131" si="195">IF(CO96&gt;=10,30,CI96+CN96+CC96+BS96)</f>
        <v>0</v>
      </c>
      <c r="CQ96" s="31">
        <f t="shared" si="135"/>
        <v>7.5357142857142856</v>
      </c>
      <c r="CR96" s="32">
        <f t="shared" si="136"/>
        <v>5</v>
      </c>
      <c r="CS96" s="33">
        <f t="shared" si="137"/>
        <v>0</v>
      </c>
      <c r="CT96" s="34">
        <f t="shared" si="138"/>
        <v>0</v>
      </c>
      <c r="CU96" s="67">
        <f t="shared" si="139"/>
        <v>3.7678571428571428</v>
      </c>
      <c r="CV96" s="35">
        <f t="shared" si="140"/>
        <v>5</v>
      </c>
      <c r="CW96" s="59">
        <f t="shared" si="141"/>
        <v>51</v>
      </c>
      <c r="CX96" s="43" t="str">
        <f t="shared" ref="CX96:CX131" si="196">IF(CW96=120,"ناجح(ة) دورة1","مؤجل(ة)")</f>
        <v>مؤجل(ة)</v>
      </c>
      <c r="CY96" s="44"/>
      <c r="CZ96" s="50"/>
      <c r="DA96" s="46"/>
    </row>
    <row r="97" spans="2:105" ht="27.75" customHeight="1" thickBot="1">
      <c r="B97" s="1">
        <f t="shared" ref="B97:B131" si="197">B96+1</f>
        <v>3</v>
      </c>
      <c r="C97" s="329" t="s">
        <v>632</v>
      </c>
      <c r="D97" s="249" t="s">
        <v>633</v>
      </c>
      <c r="E97" s="47" t="s">
        <v>432</v>
      </c>
      <c r="F97" s="276">
        <v>33934</v>
      </c>
      <c r="G97" s="136" t="s">
        <v>746</v>
      </c>
      <c r="H97" s="131">
        <v>6.84</v>
      </c>
      <c r="I97" s="132">
        <v>18</v>
      </c>
      <c r="J97" s="133">
        <v>8.1300000000000008</v>
      </c>
      <c r="K97" s="134">
        <v>15</v>
      </c>
      <c r="L97" s="53">
        <f t="shared" si="142"/>
        <v>7.4850000000000003</v>
      </c>
      <c r="M97" s="58">
        <f t="shared" si="143"/>
        <v>33</v>
      </c>
      <c r="N97" s="262">
        <v>11.5</v>
      </c>
      <c r="O97" s="263">
        <v>11.5</v>
      </c>
      <c r="P97" s="228">
        <f t="shared" si="144"/>
        <v>11.5</v>
      </c>
      <c r="Q97" s="229">
        <f t="shared" si="145"/>
        <v>5</v>
      </c>
      <c r="R97" s="262">
        <v>10</v>
      </c>
      <c r="S97" s="263">
        <v>10</v>
      </c>
      <c r="T97" s="228">
        <f t="shared" si="146"/>
        <v>10</v>
      </c>
      <c r="U97" s="229">
        <f t="shared" si="147"/>
        <v>6</v>
      </c>
      <c r="V97" s="262">
        <v>5</v>
      </c>
      <c r="W97" s="263">
        <v>1</v>
      </c>
      <c r="X97" s="228">
        <f t="shared" si="148"/>
        <v>3</v>
      </c>
      <c r="Y97" s="229">
        <f t="shared" si="149"/>
        <v>0</v>
      </c>
      <c r="Z97" s="232">
        <f t="shared" si="150"/>
        <v>8.1666666666666661</v>
      </c>
      <c r="AA97" s="233">
        <f t="shared" si="151"/>
        <v>11</v>
      </c>
      <c r="AB97" s="263">
        <v>5</v>
      </c>
      <c r="AC97" s="234">
        <f t="shared" si="152"/>
        <v>5</v>
      </c>
      <c r="AD97" s="235">
        <f t="shared" si="153"/>
        <v>0</v>
      </c>
      <c r="AE97" s="262">
        <v>0</v>
      </c>
      <c r="AF97" s="263">
        <v>0</v>
      </c>
      <c r="AG97" s="228">
        <f t="shared" si="154"/>
        <v>0</v>
      </c>
      <c r="AH97" s="229">
        <f t="shared" si="155"/>
        <v>0</v>
      </c>
      <c r="AI97" s="262">
        <v>6</v>
      </c>
      <c r="AJ97" s="263">
        <v>0</v>
      </c>
      <c r="AK97" s="228">
        <f t="shared" si="156"/>
        <v>3</v>
      </c>
      <c r="AL97" s="229">
        <f t="shared" si="157"/>
        <v>0</v>
      </c>
      <c r="AM97" s="236">
        <f t="shared" si="158"/>
        <v>2.2000000000000002</v>
      </c>
      <c r="AN97" s="237">
        <f t="shared" si="159"/>
        <v>0</v>
      </c>
      <c r="AO97" s="262">
        <v>11.5</v>
      </c>
      <c r="AP97" s="263">
        <v>7</v>
      </c>
      <c r="AQ97" s="228">
        <f t="shared" si="160"/>
        <v>9.25</v>
      </c>
      <c r="AR97" s="229">
        <f t="shared" si="161"/>
        <v>0</v>
      </c>
      <c r="AS97" s="263">
        <v>0</v>
      </c>
      <c r="AT97" s="234">
        <f t="shared" si="162"/>
        <v>0</v>
      </c>
      <c r="AU97" s="238">
        <f t="shared" si="163"/>
        <v>0</v>
      </c>
      <c r="AV97" s="236">
        <f t="shared" si="164"/>
        <v>4.625</v>
      </c>
      <c r="AW97" s="237">
        <f t="shared" si="165"/>
        <v>0</v>
      </c>
      <c r="AX97" s="263">
        <v>12.5</v>
      </c>
      <c r="AY97" s="263">
        <v>0</v>
      </c>
      <c r="AZ97" s="228">
        <f t="shared" si="166"/>
        <v>6.25</v>
      </c>
      <c r="BA97" s="229">
        <f t="shared" si="167"/>
        <v>0</v>
      </c>
      <c r="BB97" s="236">
        <f t="shared" si="168"/>
        <v>6.25</v>
      </c>
      <c r="BC97" s="237">
        <f t="shared" si="169"/>
        <v>0</v>
      </c>
      <c r="BD97" s="239">
        <f t="shared" si="170"/>
        <v>5.3928571428571432</v>
      </c>
      <c r="BE97" s="240">
        <f t="shared" si="171"/>
        <v>11</v>
      </c>
      <c r="BF97" s="263"/>
      <c r="BG97" s="263"/>
      <c r="BH97" s="264">
        <f t="shared" si="172"/>
        <v>0</v>
      </c>
      <c r="BI97" s="265">
        <f t="shared" si="173"/>
        <v>0</v>
      </c>
      <c r="BJ97" s="263"/>
      <c r="BK97" s="263"/>
      <c r="BL97" s="264">
        <f t="shared" si="174"/>
        <v>0</v>
      </c>
      <c r="BM97" s="265">
        <f t="shared" si="175"/>
        <v>0</v>
      </c>
      <c r="BN97" s="263"/>
      <c r="BO97" s="263"/>
      <c r="BP97" s="264">
        <f t="shared" si="176"/>
        <v>0</v>
      </c>
      <c r="BQ97" s="265">
        <f t="shared" si="177"/>
        <v>0</v>
      </c>
      <c r="BR97" s="266">
        <f t="shared" si="178"/>
        <v>0</v>
      </c>
      <c r="BS97" s="267">
        <f t="shared" si="179"/>
        <v>0</v>
      </c>
      <c r="BT97" s="263"/>
      <c r="BU97" s="263"/>
      <c r="BV97" s="264">
        <f t="shared" si="180"/>
        <v>0</v>
      </c>
      <c r="BW97" s="265">
        <f t="shared" si="181"/>
        <v>0</v>
      </c>
      <c r="BX97" s="263"/>
      <c r="BY97" s="263"/>
      <c r="BZ97" s="264">
        <f t="shared" si="182"/>
        <v>0</v>
      </c>
      <c r="CA97" s="265">
        <f t="shared" si="183"/>
        <v>0</v>
      </c>
      <c r="CB97" s="268">
        <f t="shared" si="184"/>
        <v>0</v>
      </c>
      <c r="CC97" s="267">
        <f t="shared" si="185"/>
        <v>0</v>
      </c>
      <c r="CD97" s="263"/>
      <c r="CE97" s="263"/>
      <c r="CF97" s="264">
        <f t="shared" si="186"/>
        <v>0</v>
      </c>
      <c r="CG97" s="265">
        <f t="shared" si="187"/>
        <v>0</v>
      </c>
      <c r="CH97" s="268">
        <f t="shared" si="188"/>
        <v>0</v>
      </c>
      <c r="CI97" s="267">
        <f t="shared" si="189"/>
        <v>0</v>
      </c>
      <c r="CJ97" s="263"/>
      <c r="CK97" s="269">
        <f t="shared" si="190"/>
        <v>0</v>
      </c>
      <c r="CL97" s="270">
        <f t="shared" si="191"/>
        <v>0</v>
      </c>
      <c r="CM97" s="268">
        <f t="shared" si="192"/>
        <v>0</v>
      </c>
      <c r="CN97" s="267">
        <f t="shared" si="193"/>
        <v>0</v>
      </c>
      <c r="CO97" s="65">
        <f t="shared" si="194"/>
        <v>0</v>
      </c>
      <c r="CP97" s="66">
        <f t="shared" si="195"/>
        <v>0</v>
      </c>
      <c r="CQ97" s="31">
        <f t="shared" si="135"/>
        <v>5.3928571428571432</v>
      </c>
      <c r="CR97" s="32">
        <f t="shared" si="136"/>
        <v>11</v>
      </c>
      <c r="CS97" s="33">
        <f t="shared" si="137"/>
        <v>0</v>
      </c>
      <c r="CT97" s="34">
        <f t="shared" si="138"/>
        <v>0</v>
      </c>
      <c r="CU97" s="67">
        <f t="shared" si="139"/>
        <v>2.6964285714285716</v>
      </c>
      <c r="CV97" s="35">
        <f t="shared" si="140"/>
        <v>11</v>
      </c>
      <c r="CW97" s="59">
        <f t="shared" si="141"/>
        <v>44</v>
      </c>
      <c r="CX97" s="43" t="str">
        <f t="shared" si="196"/>
        <v>مؤجل(ة)</v>
      </c>
      <c r="CZ97" s="51"/>
      <c r="DA97" s="46"/>
    </row>
    <row r="98" spans="2:105" ht="27.75" customHeight="1" thickBot="1">
      <c r="B98" s="1">
        <f t="shared" si="197"/>
        <v>4</v>
      </c>
      <c r="C98" s="329" t="s">
        <v>296</v>
      </c>
      <c r="D98" s="249" t="s">
        <v>634</v>
      </c>
      <c r="E98" s="47" t="s">
        <v>465</v>
      </c>
      <c r="F98" s="276">
        <v>35396</v>
      </c>
      <c r="G98" s="136" t="s">
        <v>746</v>
      </c>
      <c r="H98" s="131">
        <v>9.44</v>
      </c>
      <c r="I98" s="132">
        <v>21</v>
      </c>
      <c r="J98" s="133">
        <v>8.07</v>
      </c>
      <c r="K98" s="134">
        <v>12</v>
      </c>
      <c r="L98" s="53">
        <f t="shared" si="142"/>
        <v>8.754999999999999</v>
      </c>
      <c r="M98" s="58">
        <f t="shared" si="143"/>
        <v>33</v>
      </c>
      <c r="N98" s="262">
        <v>10.5</v>
      </c>
      <c r="O98" s="263">
        <v>10.5</v>
      </c>
      <c r="P98" s="228">
        <f t="shared" si="144"/>
        <v>10.5</v>
      </c>
      <c r="Q98" s="229">
        <f t="shared" si="145"/>
        <v>5</v>
      </c>
      <c r="R98" s="262">
        <v>11.38</v>
      </c>
      <c r="S98" s="263">
        <v>11.38</v>
      </c>
      <c r="T98" s="228">
        <f t="shared" si="146"/>
        <v>11.38</v>
      </c>
      <c r="U98" s="229">
        <f t="shared" si="147"/>
        <v>6</v>
      </c>
      <c r="V98" s="262">
        <v>8.8800000000000008</v>
      </c>
      <c r="W98" s="263">
        <v>8.8800000000000008</v>
      </c>
      <c r="X98" s="228">
        <f t="shared" si="148"/>
        <v>8.8800000000000008</v>
      </c>
      <c r="Y98" s="229">
        <f t="shared" si="149"/>
        <v>0</v>
      </c>
      <c r="Z98" s="232">
        <f t="shared" si="150"/>
        <v>10.253333333333336</v>
      </c>
      <c r="AA98" s="233">
        <f t="shared" si="151"/>
        <v>17</v>
      </c>
      <c r="AB98" s="263">
        <v>10.5</v>
      </c>
      <c r="AC98" s="234">
        <f t="shared" si="152"/>
        <v>10.5</v>
      </c>
      <c r="AD98" s="235">
        <f t="shared" si="153"/>
        <v>1</v>
      </c>
      <c r="AE98" s="262">
        <v>10</v>
      </c>
      <c r="AF98" s="263">
        <v>10</v>
      </c>
      <c r="AG98" s="228">
        <f t="shared" si="154"/>
        <v>10</v>
      </c>
      <c r="AH98" s="229">
        <f t="shared" si="155"/>
        <v>3</v>
      </c>
      <c r="AI98" s="262">
        <v>11</v>
      </c>
      <c r="AJ98" s="263">
        <v>5.25</v>
      </c>
      <c r="AK98" s="228">
        <f t="shared" si="156"/>
        <v>8.125</v>
      </c>
      <c r="AL98" s="229">
        <f t="shared" si="157"/>
        <v>0</v>
      </c>
      <c r="AM98" s="236">
        <f t="shared" si="158"/>
        <v>9.35</v>
      </c>
      <c r="AN98" s="237">
        <f t="shared" si="159"/>
        <v>4</v>
      </c>
      <c r="AO98" s="262">
        <v>11.5</v>
      </c>
      <c r="AP98" s="263">
        <v>9</v>
      </c>
      <c r="AQ98" s="228">
        <f t="shared" si="160"/>
        <v>10.25</v>
      </c>
      <c r="AR98" s="229">
        <f t="shared" si="161"/>
        <v>4</v>
      </c>
      <c r="AS98" s="263">
        <v>10</v>
      </c>
      <c r="AT98" s="234">
        <f t="shared" si="162"/>
        <v>10</v>
      </c>
      <c r="AU98" s="238">
        <f t="shared" si="163"/>
        <v>1</v>
      </c>
      <c r="AV98" s="236">
        <f t="shared" si="164"/>
        <v>10.125</v>
      </c>
      <c r="AW98" s="237">
        <f t="shared" si="165"/>
        <v>5</v>
      </c>
      <c r="AX98" s="263">
        <v>13.5</v>
      </c>
      <c r="AY98" s="263">
        <v>3.5</v>
      </c>
      <c r="AZ98" s="228">
        <f t="shared" si="166"/>
        <v>8.5</v>
      </c>
      <c r="BA98" s="229">
        <f t="shared" si="167"/>
        <v>0</v>
      </c>
      <c r="BB98" s="236">
        <f t="shared" si="168"/>
        <v>8.5</v>
      </c>
      <c r="BC98" s="237">
        <f t="shared" si="169"/>
        <v>0</v>
      </c>
      <c r="BD98" s="239">
        <f t="shared" si="170"/>
        <v>9.7871428571428574</v>
      </c>
      <c r="BE98" s="240">
        <f t="shared" si="171"/>
        <v>26</v>
      </c>
      <c r="BF98" s="263"/>
      <c r="BG98" s="263"/>
      <c r="BH98" s="264">
        <f t="shared" si="172"/>
        <v>0</v>
      </c>
      <c r="BI98" s="265">
        <f t="shared" si="173"/>
        <v>0</v>
      </c>
      <c r="BJ98" s="263"/>
      <c r="BK98" s="263"/>
      <c r="BL98" s="264">
        <f t="shared" si="174"/>
        <v>0</v>
      </c>
      <c r="BM98" s="265">
        <f t="shared" si="175"/>
        <v>0</v>
      </c>
      <c r="BN98" s="263"/>
      <c r="BO98" s="263"/>
      <c r="BP98" s="264">
        <f t="shared" si="176"/>
        <v>0</v>
      </c>
      <c r="BQ98" s="265">
        <f t="shared" si="177"/>
        <v>0</v>
      </c>
      <c r="BR98" s="266">
        <f t="shared" si="178"/>
        <v>0</v>
      </c>
      <c r="BS98" s="267">
        <f t="shared" si="179"/>
        <v>0</v>
      </c>
      <c r="BT98" s="263"/>
      <c r="BU98" s="263"/>
      <c r="BV98" s="264">
        <f t="shared" si="180"/>
        <v>0</v>
      </c>
      <c r="BW98" s="265">
        <f t="shared" si="181"/>
        <v>0</v>
      </c>
      <c r="BX98" s="263"/>
      <c r="BY98" s="263"/>
      <c r="BZ98" s="264">
        <f t="shared" si="182"/>
        <v>0</v>
      </c>
      <c r="CA98" s="265">
        <f t="shared" si="183"/>
        <v>0</v>
      </c>
      <c r="CB98" s="268">
        <f t="shared" si="184"/>
        <v>0</v>
      </c>
      <c r="CC98" s="267">
        <f t="shared" si="185"/>
        <v>0</v>
      </c>
      <c r="CD98" s="263"/>
      <c r="CE98" s="263"/>
      <c r="CF98" s="264">
        <f t="shared" si="186"/>
        <v>0</v>
      </c>
      <c r="CG98" s="265">
        <f t="shared" si="187"/>
        <v>0</v>
      </c>
      <c r="CH98" s="268">
        <f t="shared" si="188"/>
        <v>0</v>
      </c>
      <c r="CI98" s="267">
        <f t="shared" si="189"/>
        <v>0</v>
      </c>
      <c r="CJ98" s="263"/>
      <c r="CK98" s="269">
        <f t="shared" si="190"/>
        <v>0</v>
      </c>
      <c r="CL98" s="270">
        <f t="shared" si="191"/>
        <v>0</v>
      </c>
      <c r="CM98" s="268">
        <f t="shared" si="192"/>
        <v>0</v>
      </c>
      <c r="CN98" s="267">
        <f t="shared" si="193"/>
        <v>0</v>
      </c>
      <c r="CO98" s="65">
        <f t="shared" si="194"/>
        <v>0</v>
      </c>
      <c r="CP98" s="66">
        <f t="shared" si="195"/>
        <v>0</v>
      </c>
      <c r="CQ98" s="31">
        <f t="shared" si="135"/>
        <v>9.7871428571428574</v>
      </c>
      <c r="CR98" s="32">
        <f t="shared" si="136"/>
        <v>26</v>
      </c>
      <c r="CS98" s="33">
        <f t="shared" si="137"/>
        <v>0</v>
      </c>
      <c r="CT98" s="34">
        <f t="shared" si="138"/>
        <v>0</v>
      </c>
      <c r="CU98" s="67">
        <f t="shared" si="139"/>
        <v>4.8935714285714287</v>
      </c>
      <c r="CV98" s="35">
        <f t="shared" si="140"/>
        <v>26</v>
      </c>
      <c r="CW98" s="59">
        <f t="shared" si="141"/>
        <v>59</v>
      </c>
      <c r="CX98" s="43" t="str">
        <f t="shared" si="196"/>
        <v>مؤجل(ة)</v>
      </c>
      <c r="CY98" s="44"/>
      <c r="CZ98" s="50"/>
      <c r="DA98" s="46"/>
    </row>
    <row r="99" spans="2:105" ht="27.75" customHeight="1" thickBot="1">
      <c r="B99" s="1">
        <f t="shared" si="197"/>
        <v>5</v>
      </c>
      <c r="C99" s="330" t="s">
        <v>635</v>
      </c>
      <c r="D99" s="249" t="s">
        <v>636</v>
      </c>
      <c r="E99" s="47" t="s">
        <v>799</v>
      </c>
      <c r="F99" s="135" t="s">
        <v>800</v>
      </c>
      <c r="G99" s="136" t="s">
        <v>746</v>
      </c>
      <c r="H99" s="131">
        <v>8.84</v>
      </c>
      <c r="I99" s="132">
        <v>16</v>
      </c>
      <c r="J99" s="133">
        <v>9.9</v>
      </c>
      <c r="K99" s="134">
        <v>20</v>
      </c>
      <c r="L99" s="53">
        <f t="shared" si="142"/>
        <v>9.370000000000001</v>
      </c>
      <c r="M99" s="58">
        <f t="shared" si="143"/>
        <v>36</v>
      </c>
      <c r="N99" s="262">
        <v>11</v>
      </c>
      <c r="O99" s="263">
        <v>7.75</v>
      </c>
      <c r="P99" s="228">
        <f t="shared" si="144"/>
        <v>9.375</v>
      </c>
      <c r="Q99" s="229">
        <f t="shared" si="145"/>
        <v>0</v>
      </c>
      <c r="R99" s="262">
        <v>12</v>
      </c>
      <c r="S99" s="263">
        <v>8.5</v>
      </c>
      <c r="T99" s="228">
        <f t="shared" si="146"/>
        <v>10.25</v>
      </c>
      <c r="U99" s="229">
        <f t="shared" si="147"/>
        <v>6</v>
      </c>
      <c r="V99" s="262">
        <v>18</v>
      </c>
      <c r="W99" s="263">
        <v>5.75</v>
      </c>
      <c r="X99" s="228">
        <f t="shared" si="148"/>
        <v>11.875</v>
      </c>
      <c r="Y99" s="229">
        <f t="shared" si="149"/>
        <v>6</v>
      </c>
      <c r="Z99" s="232">
        <f t="shared" si="150"/>
        <v>10.5</v>
      </c>
      <c r="AA99" s="233">
        <f t="shared" si="151"/>
        <v>17</v>
      </c>
      <c r="AB99" s="263">
        <v>16</v>
      </c>
      <c r="AC99" s="234">
        <f t="shared" si="152"/>
        <v>16</v>
      </c>
      <c r="AD99" s="235">
        <f t="shared" si="153"/>
        <v>1</v>
      </c>
      <c r="AE99" s="262">
        <v>10</v>
      </c>
      <c r="AF99" s="263">
        <v>10</v>
      </c>
      <c r="AG99" s="228">
        <f t="shared" si="154"/>
        <v>10</v>
      </c>
      <c r="AH99" s="229">
        <f t="shared" si="155"/>
        <v>3</v>
      </c>
      <c r="AI99" s="262">
        <v>12</v>
      </c>
      <c r="AJ99" s="263">
        <v>6</v>
      </c>
      <c r="AK99" s="228">
        <f t="shared" si="156"/>
        <v>9</v>
      </c>
      <c r="AL99" s="229">
        <f t="shared" si="157"/>
        <v>0</v>
      </c>
      <c r="AM99" s="236">
        <f t="shared" si="158"/>
        <v>10.8</v>
      </c>
      <c r="AN99" s="237">
        <f t="shared" si="159"/>
        <v>7</v>
      </c>
      <c r="AO99" s="262">
        <v>11.5</v>
      </c>
      <c r="AP99" s="263">
        <v>3</v>
      </c>
      <c r="AQ99" s="228">
        <f t="shared" si="160"/>
        <v>7.25</v>
      </c>
      <c r="AR99" s="229">
        <f t="shared" si="161"/>
        <v>0</v>
      </c>
      <c r="AS99" s="263">
        <v>7.5</v>
      </c>
      <c r="AT99" s="234">
        <f t="shared" si="162"/>
        <v>7.5</v>
      </c>
      <c r="AU99" s="238">
        <f t="shared" si="163"/>
        <v>0</v>
      </c>
      <c r="AV99" s="236">
        <f t="shared" si="164"/>
        <v>7.375</v>
      </c>
      <c r="AW99" s="237">
        <f t="shared" si="165"/>
        <v>0</v>
      </c>
      <c r="AX99" s="263">
        <v>12</v>
      </c>
      <c r="AY99" s="263">
        <v>3.5</v>
      </c>
      <c r="AZ99" s="228">
        <f t="shared" si="166"/>
        <v>7.75</v>
      </c>
      <c r="BA99" s="229">
        <f t="shared" si="167"/>
        <v>0</v>
      </c>
      <c r="BB99" s="236">
        <f t="shared" si="168"/>
        <v>7.75</v>
      </c>
      <c r="BC99" s="237">
        <f t="shared" si="169"/>
        <v>0</v>
      </c>
      <c r="BD99" s="239">
        <f t="shared" si="170"/>
        <v>9.9642857142857135</v>
      </c>
      <c r="BE99" s="240">
        <f t="shared" si="171"/>
        <v>24</v>
      </c>
      <c r="BF99" s="263"/>
      <c r="BG99" s="263"/>
      <c r="BH99" s="264">
        <f t="shared" si="172"/>
        <v>0</v>
      </c>
      <c r="BI99" s="265">
        <f t="shared" si="173"/>
        <v>0</v>
      </c>
      <c r="BJ99" s="263"/>
      <c r="BK99" s="263"/>
      <c r="BL99" s="264">
        <f t="shared" si="174"/>
        <v>0</v>
      </c>
      <c r="BM99" s="265">
        <f t="shared" si="175"/>
        <v>0</v>
      </c>
      <c r="BN99" s="263"/>
      <c r="BO99" s="263"/>
      <c r="BP99" s="264">
        <f t="shared" si="176"/>
        <v>0</v>
      </c>
      <c r="BQ99" s="265">
        <f t="shared" si="177"/>
        <v>0</v>
      </c>
      <c r="BR99" s="266">
        <f t="shared" si="178"/>
        <v>0</v>
      </c>
      <c r="BS99" s="267">
        <f t="shared" si="179"/>
        <v>0</v>
      </c>
      <c r="BT99" s="263"/>
      <c r="BU99" s="263"/>
      <c r="BV99" s="264">
        <f t="shared" si="180"/>
        <v>0</v>
      </c>
      <c r="BW99" s="265">
        <f t="shared" si="181"/>
        <v>0</v>
      </c>
      <c r="BX99" s="263"/>
      <c r="BY99" s="263"/>
      <c r="BZ99" s="264">
        <f t="shared" si="182"/>
        <v>0</v>
      </c>
      <c r="CA99" s="265">
        <f t="shared" si="183"/>
        <v>0</v>
      </c>
      <c r="CB99" s="268">
        <f t="shared" si="184"/>
        <v>0</v>
      </c>
      <c r="CC99" s="267">
        <f t="shared" si="185"/>
        <v>0</v>
      </c>
      <c r="CD99" s="263"/>
      <c r="CE99" s="263"/>
      <c r="CF99" s="264">
        <f t="shared" si="186"/>
        <v>0</v>
      </c>
      <c r="CG99" s="265">
        <f t="shared" si="187"/>
        <v>0</v>
      </c>
      <c r="CH99" s="268">
        <f t="shared" si="188"/>
        <v>0</v>
      </c>
      <c r="CI99" s="267">
        <f t="shared" si="189"/>
        <v>0</v>
      </c>
      <c r="CJ99" s="263"/>
      <c r="CK99" s="269">
        <f t="shared" si="190"/>
        <v>0</v>
      </c>
      <c r="CL99" s="270">
        <f t="shared" si="191"/>
        <v>0</v>
      </c>
      <c r="CM99" s="268">
        <f t="shared" si="192"/>
        <v>0</v>
      </c>
      <c r="CN99" s="267">
        <f t="shared" si="193"/>
        <v>0</v>
      </c>
      <c r="CO99" s="65">
        <f t="shared" si="194"/>
        <v>0</v>
      </c>
      <c r="CP99" s="66">
        <f t="shared" si="195"/>
        <v>0</v>
      </c>
      <c r="CQ99" s="31">
        <f t="shared" si="135"/>
        <v>9.9642857142857135</v>
      </c>
      <c r="CR99" s="32">
        <f t="shared" si="136"/>
        <v>24</v>
      </c>
      <c r="CS99" s="33">
        <f t="shared" si="137"/>
        <v>0</v>
      </c>
      <c r="CT99" s="34">
        <f t="shared" si="138"/>
        <v>0</v>
      </c>
      <c r="CU99" s="67">
        <f t="shared" si="139"/>
        <v>4.9821428571428568</v>
      </c>
      <c r="CV99" s="35">
        <f t="shared" si="140"/>
        <v>24</v>
      </c>
      <c r="CW99" s="59">
        <f t="shared" si="141"/>
        <v>60</v>
      </c>
      <c r="CX99" s="43" t="str">
        <f t="shared" si="196"/>
        <v>مؤجل(ة)</v>
      </c>
      <c r="CY99" s="44"/>
      <c r="CZ99" s="50"/>
      <c r="DA99" s="46"/>
    </row>
    <row r="100" spans="2:105" ht="27.75" customHeight="1" thickBot="1">
      <c r="B100" s="1">
        <v>6</v>
      </c>
      <c r="C100" s="329" t="s">
        <v>637</v>
      </c>
      <c r="D100" s="249" t="s">
        <v>638</v>
      </c>
      <c r="E100" s="47" t="s">
        <v>362</v>
      </c>
      <c r="F100" s="135">
        <v>33850</v>
      </c>
      <c r="G100" s="136" t="s">
        <v>772</v>
      </c>
      <c r="H100" s="131">
        <v>9.91</v>
      </c>
      <c r="I100" s="132">
        <v>25</v>
      </c>
      <c r="J100" s="133">
        <v>7.97</v>
      </c>
      <c r="K100" s="134">
        <v>10</v>
      </c>
      <c r="L100" s="53">
        <f t="shared" si="142"/>
        <v>8.94</v>
      </c>
      <c r="M100" s="58">
        <f t="shared" si="143"/>
        <v>35</v>
      </c>
      <c r="N100" s="262">
        <v>1.5</v>
      </c>
      <c r="O100" s="263">
        <v>3</v>
      </c>
      <c r="P100" s="228">
        <f t="shared" si="144"/>
        <v>2.25</v>
      </c>
      <c r="Q100" s="229">
        <f t="shared" si="145"/>
        <v>0</v>
      </c>
      <c r="R100" s="262"/>
      <c r="S100" s="263">
        <v>4</v>
      </c>
      <c r="T100" s="228">
        <f t="shared" si="146"/>
        <v>2</v>
      </c>
      <c r="U100" s="229">
        <f t="shared" si="147"/>
        <v>0</v>
      </c>
      <c r="V100" s="262"/>
      <c r="W100" s="263"/>
      <c r="X100" s="228">
        <f t="shared" si="148"/>
        <v>0</v>
      </c>
      <c r="Y100" s="229">
        <f t="shared" si="149"/>
        <v>0</v>
      </c>
      <c r="Z100" s="232">
        <f t="shared" si="150"/>
        <v>1.4166666666666667</v>
      </c>
      <c r="AA100" s="233">
        <f t="shared" si="151"/>
        <v>0</v>
      </c>
      <c r="AB100" s="263"/>
      <c r="AC100" s="234">
        <f t="shared" si="152"/>
        <v>0</v>
      </c>
      <c r="AD100" s="235">
        <f t="shared" si="153"/>
        <v>0</v>
      </c>
      <c r="AE100" s="262"/>
      <c r="AF100" s="263"/>
      <c r="AG100" s="228">
        <f t="shared" si="154"/>
        <v>0</v>
      </c>
      <c r="AH100" s="229">
        <f t="shared" si="155"/>
        <v>0</v>
      </c>
      <c r="AI100" s="262"/>
      <c r="AJ100" s="263"/>
      <c r="AK100" s="228">
        <f t="shared" si="156"/>
        <v>0</v>
      </c>
      <c r="AL100" s="229">
        <f t="shared" si="157"/>
        <v>0</v>
      </c>
      <c r="AM100" s="236">
        <f t="shared" si="158"/>
        <v>0</v>
      </c>
      <c r="AN100" s="237">
        <f t="shared" si="159"/>
        <v>0</v>
      </c>
      <c r="AO100" s="262"/>
      <c r="AP100" s="263"/>
      <c r="AQ100" s="228">
        <f t="shared" si="160"/>
        <v>0</v>
      </c>
      <c r="AR100" s="229">
        <f t="shared" si="161"/>
        <v>0</v>
      </c>
      <c r="AS100" s="263"/>
      <c r="AT100" s="234">
        <f t="shared" si="162"/>
        <v>0</v>
      </c>
      <c r="AU100" s="238">
        <f t="shared" si="163"/>
        <v>0</v>
      </c>
      <c r="AV100" s="236">
        <f t="shared" si="164"/>
        <v>0</v>
      </c>
      <c r="AW100" s="237">
        <f t="shared" si="165"/>
        <v>0</v>
      </c>
      <c r="AX100" s="263"/>
      <c r="AY100" s="263"/>
      <c r="AZ100" s="228">
        <f t="shared" si="166"/>
        <v>0</v>
      </c>
      <c r="BA100" s="229">
        <f t="shared" si="167"/>
        <v>0</v>
      </c>
      <c r="BB100" s="236">
        <f t="shared" si="168"/>
        <v>0</v>
      </c>
      <c r="BC100" s="237">
        <f t="shared" si="169"/>
        <v>0</v>
      </c>
      <c r="BD100" s="239">
        <f t="shared" si="170"/>
        <v>0.6071428571428571</v>
      </c>
      <c r="BE100" s="240">
        <f t="shared" si="171"/>
        <v>0</v>
      </c>
      <c r="BF100" s="263"/>
      <c r="BG100" s="263"/>
      <c r="BH100" s="264">
        <f t="shared" si="172"/>
        <v>0</v>
      </c>
      <c r="BI100" s="265">
        <f t="shared" si="173"/>
        <v>0</v>
      </c>
      <c r="BJ100" s="263"/>
      <c r="BK100" s="263"/>
      <c r="BL100" s="264">
        <f t="shared" si="174"/>
        <v>0</v>
      </c>
      <c r="BM100" s="265">
        <f t="shared" si="175"/>
        <v>0</v>
      </c>
      <c r="BN100" s="263"/>
      <c r="BO100" s="263"/>
      <c r="BP100" s="264">
        <f t="shared" si="176"/>
        <v>0</v>
      </c>
      <c r="BQ100" s="265">
        <f t="shared" si="177"/>
        <v>0</v>
      </c>
      <c r="BR100" s="266">
        <f t="shared" si="178"/>
        <v>0</v>
      </c>
      <c r="BS100" s="267">
        <f t="shared" si="179"/>
        <v>0</v>
      </c>
      <c r="BT100" s="263"/>
      <c r="BU100" s="263"/>
      <c r="BV100" s="264">
        <f t="shared" si="180"/>
        <v>0</v>
      </c>
      <c r="BW100" s="265">
        <f t="shared" si="181"/>
        <v>0</v>
      </c>
      <c r="BX100" s="263"/>
      <c r="BY100" s="263"/>
      <c r="BZ100" s="264">
        <f t="shared" si="182"/>
        <v>0</v>
      </c>
      <c r="CA100" s="265">
        <f t="shared" si="183"/>
        <v>0</v>
      </c>
      <c r="CB100" s="268">
        <f t="shared" si="184"/>
        <v>0</v>
      </c>
      <c r="CC100" s="267">
        <f t="shared" si="185"/>
        <v>0</v>
      </c>
      <c r="CD100" s="263"/>
      <c r="CE100" s="263"/>
      <c r="CF100" s="264">
        <f t="shared" si="186"/>
        <v>0</v>
      </c>
      <c r="CG100" s="265">
        <f t="shared" si="187"/>
        <v>0</v>
      </c>
      <c r="CH100" s="268">
        <f t="shared" si="188"/>
        <v>0</v>
      </c>
      <c r="CI100" s="267">
        <f t="shared" si="189"/>
        <v>0</v>
      </c>
      <c r="CJ100" s="263"/>
      <c r="CK100" s="269">
        <f t="shared" si="190"/>
        <v>0</v>
      </c>
      <c r="CL100" s="270">
        <f t="shared" si="191"/>
        <v>0</v>
      </c>
      <c r="CM100" s="268">
        <f t="shared" si="192"/>
        <v>0</v>
      </c>
      <c r="CN100" s="267">
        <f t="shared" si="193"/>
        <v>0</v>
      </c>
      <c r="CO100" s="65">
        <f t="shared" si="194"/>
        <v>0</v>
      </c>
      <c r="CP100" s="66">
        <f t="shared" si="195"/>
        <v>0</v>
      </c>
      <c r="CQ100" s="31">
        <f t="shared" si="135"/>
        <v>0.6071428571428571</v>
      </c>
      <c r="CR100" s="32">
        <f t="shared" si="136"/>
        <v>0</v>
      </c>
      <c r="CS100" s="33">
        <f t="shared" si="137"/>
        <v>0</v>
      </c>
      <c r="CT100" s="34">
        <f t="shared" si="138"/>
        <v>0</v>
      </c>
      <c r="CU100" s="67">
        <f t="shared" si="139"/>
        <v>0.30357142857142855</v>
      </c>
      <c r="CV100" s="35">
        <f t="shared" si="140"/>
        <v>0</v>
      </c>
      <c r="CW100" s="59">
        <f t="shared" si="141"/>
        <v>35</v>
      </c>
      <c r="CX100" s="43" t="str">
        <f t="shared" si="196"/>
        <v>مؤجل(ة)</v>
      </c>
      <c r="CY100" s="44"/>
      <c r="CZ100" s="50"/>
      <c r="DA100" s="46"/>
    </row>
    <row r="101" spans="2:105" ht="27.75" customHeight="1" thickBot="1">
      <c r="B101" s="1">
        <f t="shared" si="197"/>
        <v>7</v>
      </c>
      <c r="C101" s="329" t="s">
        <v>639</v>
      </c>
      <c r="D101" s="249" t="s">
        <v>640</v>
      </c>
      <c r="E101" s="47"/>
      <c r="F101" s="135"/>
      <c r="G101" s="136"/>
      <c r="H101" s="131"/>
      <c r="I101" s="132"/>
      <c r="J101" s="133"/>
      <c r="K101" s="134"/>
      <c r="L101" s="53">
        <f t="shared" si="142"/>
        <v>0</v>
      </c>
      <c r="M101" s="58">
        <f t="shared" si="143"/>
        <v>0</v>
      </c>
      <c r="N101" s="262">
        <v>10</v>
      </c>
      <c r="O101" s="263">
        <v>3</v>
      </c>
      <c r="P101" s="228">
        <f t="shared" si="144"/>
        <v>6.5</v>
      </c>
      <c r="Q101" s="229">
        <f t="shared" si="145"/>
        <v>0</v>
      </c>
      <c r="R101" s="262">
        <v>14</v>
      </c>
      <c r="S101" s="263">
        <v>8</v>
      </c>
      <c r="T101" s="228">
        <f t="shared" si="146"/>
        <v>11</v>
      </c>
      <c r="U101" s="229">
        <f t="shared" si="147"/>
        <v>6</v>
      </c>
      <c r="V101" s="262">
        <v>8.5</v>
      </c>
      <c r="W101" s="263">
        <v>1</v>
      </c>
      <c r="X101" s="228">
        <f t="shared" si="148"/>
        <v>4.75</v>
      </c>
      <c r="Y101" s="229">
        <f t="shared" si="149"/>
        <v>0</v>
      </c>
      <c r="Z101" s="232">
        <f t="shared" si="150"/>
        <v>7.416666666666667</v>
      </c>
      <c r="AA101" s="233">
        <f t="shared" si="151"/>
        <v>6</v>
      </c>
      <c r="AB101" s="263">
        <v>8</v>
      </c>
      <c r="AC101" s="234">
        <f t="shared" si="152"/>
        <v>8</v>
      </c>
      <c r="AD101" s="235">
        <f t="shared" si="153"/>
        <v>0</v>
      </c>
      <c r="AE101" s="262">
        <v>5</v>
      </c>
      <c r="AF101" s="263">
        <v>5</v>
      </c>
      <c r="AG101" s="228">
        <f t="shared" si="154"/>
        <v>5</v>
      </c>
      <c r="AH101" s="229">
        <f t="shared" si="155"/>
        <v>0</v>
      </c>
      <c r="AI101" s="262">
        <v>12</v>
      </c>
      <c r="AJ101" s="263">
        <v>7.5</v>
      </c>
      <c r="AK101" s="228">
        <f t="shared" si="156"/>
        <v>9.75</v>
      </c>
      <c r="AL101" s="229">
        <f t="shared" si="157"/>
        <v>0</v>
      </c>
      <c r="AM101" s="236">
        <f t="shared" si="158"/>
        <v>7.5</v>
      </c>
      <c r="AN101" s="237">
        <f t="shared" si="159"/>
        <v>0</v>
      </c>
      <c r="AO101" s="262">
        <v>11.5</v>
      </c>
      <c r="AP101" s="263">
        <v>8</v>
      </c>
      <c r="AQ101" s="228">
        <f t="shared" si="160"/>
        <v>9.75</v>
      </c>
      <c r="AR101" s="229">
        <f t="shared" si="161"/>
        <v>0</v>
      </c>
      <c r="AS101" s="263">
        <v>5.5</v>
      </c>
      <c r="AT101" s="234">
        <f t="shared" si="162"/>
        <v>5.5</v>
      </c>
      <c r="AU101" s="238">
        <f t="shared" si="163"/>
        <v>0</v>
      </c>
      <c r="AV101" s="236">
        <f t="shared" si="164"/>
        <v>7.625</v>
      </c>
      <c r="AW101" s="237">
        <f t="shared" si="165"/>
        <v>0</v>
      </c>
      <c r="AX101" s="263">
        <v>17</v>
      </c>
      <c r="AY101" s="263">
        <v>12.5</v>
      </c>
      <c r="AZ101" s="228">
        <f t="shared" si="166"/>
        <v>14.75</v>
      </c>
      <c r="BA101" s="229">
        <f t="shared" si="167"/>
        <v>1</v>
      </c>
      <c r="BB101" s="236">
        <f t="shared" si="168"/>
        <v>14.75</v>
      </c>
      <c r="BC101" s="237">
        <f t="shared" si="169"/>
        <v>1</v>
      </c>
      <c r="BD101" s="239">
        <f t="shared" si="170"/>
        <v>8</v>
      </c>
      <c r="BE101" s="240">
        <f t="shared" si="171"/>
        <v>7</v>
      </c>
      <c r="BF101" s="263"/>
      <c r="BG101" s="263"/>
      <c r="BH101" s="264">
        <f t="shared" si="172"/>
        <v>0</v>
      </c>
      <c r="BI101" s="265">
        <f t="shared" si="173"/>
        <v>0</v>
      </c>
      <c r="BJ101" s="263"/>
      <c r="BK101" s="263"/>
      <c r="BL101" s="264">
        <f t="shared" si="174"/>
        <v>0</v>
      </c>
      <c r="BM101" s="265">
        <f t="shared" si="175"/>
        <v>0</v>
      </c>
      <c r="BN101" s="263"/>
      <c r="BO101" s="263"/>
      <c r="BP101" s="264">
        <f t="shared" si="176"/>
        <v>0</v>
      </c>
      <c r="BQ101" s="265">
        <f t="shared" si="177"/>
        <v>0</v>
      </c>
      <c r="BR101" s="266">
        <f t="shared" si="178"/>
        <v>0</v>
      </c>
      <c r="BS101" s="267">
        <f t="shared" si="179"/>
        <v>0</v>
      </c>
      <c r="BT101" s="263"/>
      <c r="BU101" s="263"/>
      <c r="BV101" s="264">
        <f t="shared" si="180"/>
        <v>0</v>
      </c>
      <c r="BW101" s="265">
        <f t="shared" si="181"/>
        <v>0</v>
      </c>
      <c r="BX101" s="263"/>
      <c r="BY101" s="263"/>
      <c r="BZ101" s="264">
        <f t="shared" si="182"/>
        <v>0</v>
      </c>
      <c r="CA101" s="265">
        <f t="shared" si="183"/>
        <v>0</v>
      </c>
      <c r="CB101" s="268">
        <f t="shared" si="184"/>
        <v>0</v>
      </c>
      <c r="CC101" s="267">
        <f t="shared" si="185"/>
        <v>0</v>
      </c>
      <c r="CD101" s="263"/>
      <c r="CE101" s="263"/>
      <c r="CF101" s="264">
        <f t="shared" si="186"/>
        <v>0</v>
      </c>
      <c r="CG101" s="265">
        <f t="shared" si="187"/>
        <v>0</v>
      </c>
      <c r="CH101" s="268">
        <f t="shared" si="188"/>
        <v>0</v>
      </c>
      <c r="CI101" s="267">
        <f t="shared" si="189"/>
        <v>0</v>
      </c>
      <c r="CJ101" s="263"/>
      <c r="CK101" s="269">
        <f t="shared" si="190"/>
        <v>0</v>
      </c>
      <c r="CL101" s="270">
        <f t="shared" si="191"/>
        <v>0</v>
      </c>
      <c r="CM101" s="268">
        <f t="shared" si="192"/>
        <v>0</v>
      </c>
      <c r="CN101" s="267">
        <f t="shared" si="193"/>
        <v>0</v>
      </c>
      <c r="CO101" s="65">
        <f t="shared" si="194"/>
        <v>0</v>
      </c>
      <c r="CP101" s="66">
        <f t="shared" si="195"/>
        <v>0</v>
      </c>
      <c r="CQ101" s="31">
        <f t="shared" si="135"/>
        <v>8</v>
      </c>
      <c r="CR101" s="32">
        <f t="shared" si="136"/>
        <v>7</v>
      </c>
      <c r="CS101" s="33">
        <f t="shared" si="137"/>
        <v>0</v>
      </c>
      <c r="CT101" s="34">
        <f t="shared" si="138"/>
        <v>0</v>
      </c>
      <c r="CU101" s="67">
        <f t="shared" si="139"/>
        <v>4</v>
      </c>
      <c r="CV101" s="35">
        <f t="shared" si="140"/>
        <v>7</v>
      </c>
      <c r="CW101" s="59">
        <f t="shared" si="141"/>
        <v>7</v>
      </c>
      <c r="CX101" s="43" t="str">
        <f t="shared" si="196"/>
        <v>مؤجل(ة)</v>
      </c>
      <c r="CY101" s="44"/>
      <c r="CZ101" s="50"/>
      <c r="DA101" s="46"/>
    </row>
    <row r="102" spans="2:105" ht="27.75" customHeight="1" thickBot="1">
      <c r="B102" s="1">
        <f t="shared" si="197"/>
        <v>8</v>
      </c>
      <c r="C102" s="329" t="s">
        <v>695</v>
      </c>
      <c r="D102" s="249" t="s">
        <v>642</v>
      </c>
      <c r="E102" s="47"/>
      <c r="F102" s="135"/>
      <c r="G102" s="136"/>
      <c r="H102" s="131"/>
      <c r="I102" s="132"/>
      <c r="J102" s="133"/>
      <c r="K102" s="134"/>
      <c r="L102" s="53">
        <f t="shared" si="142"/>
        <v>0</v>
      </c>
      <c r="M102" s="58">
        <f t="shared" si="143"/>
        <v>0</v>
      </c>
      <c r="N102" s="262">
        <v>16</v>
      </c>
      <c r="O102" s="263">
        <v>15.75</v>
      </c>
      <c r="P102" s="228">
        <f t="shared" si="144"/>
        <v>15.875</v>
      </c>
      <c r="Q102" s="229">
        <f t="shared" si="145"/>
        <v>5</v>
      </c>
      <c r="R102" s="262">
        <v>12</v>
      </c>
      <c r="S102" s="263">
        <v>8.5</v>
      </c>
      <c r="T102" s="228">
        <f t="shared" si="146"/>
        <v>10.25</v>
      </c>
      <c r="U102" s="229">
        <f t="shared" si="147"/>
        <v>6</v>
      </c>
      <c r="V102" s="262">
        <v>12</v>
      </c>
      <c r="W102" s="263">
        <v>3.25</v>
      </c>
      <c r="X102" s="228">
        <f t="shared" si="148"/>
        <v>7.625</v>
      </c>
      <c r="Y102" s="229">
        <f t="shared" si="149"/>
        <v>0</v>
      </c>
      <c r="Z102" s="232">
        <f t="shared" si="150"/>
        <v>11.25</v>
      </c>
      <c r="AA102" s="233">
        <f t="shared" si="151"/>
        <v>17</v>
      </c>
      <c r="AB102" s="263">
        <v>15</v>
      </c>
      <c r="AC102" s="234">
        <f t="shared" si="152"/>
        <v>15</v>
      </c>
      <c r="AD102" s="235">
        <f t="shared" si="153"/>
        <v>1</v>
      </c>
      <c r="AE102" s="262">
        <v>10</v>
      </c>
      <c r="AF102" s="263">
        <v>10</v>
      </c>
      <c r="AG102" s="228">
        <f t="shared" si="154"/>
        <v>10</v>
      </c>
      <c r="AH102" s="229">
        <f t="shared" si="155"/>
        <v>3</v>
      </c>
      <c r="AI102" s="262">
        <v>14.5</v>
      </c>
      <c r="AJ102" s="263">
        <v>9</v>
      </c>
      <c r="AK102" s="228">
        <f t="shared" si="156"/>
        <v>11.75</v>
      </c>
      <c r="AL102" s="229">
        <f t="shared" si="157"/>
        <v>3</v>
      </c>
      <c r="AM102" s="236">
        <f t="shared" si="158"/>
        <v>11.7</v>
      </c>
      <c r="AN102" s="237">
        <f t="shared" si="159"/>
        <v>7</v>
      </c>
      <c r="AO102" s="262">
        <v>11.5</v>
      </c>
      <c r="AP102" s="263">
        <v>5</v>
      </c>
      <c r="AQ102" s="228">
        <f t="shared" si="160"/>
        <v>8.25</v>
      </c>
      <c r="AR102" s="229">
        <f t="shared" si="161"/>
        <v>0</v>
      </c>
      <c r="AS102" s="263">
        <v>11.5</v>
      </c>
      <c r="AT102" s="234">
        <f t="shared" si="162"/>
        <v>11.5</v>
      </c>
      <c r="AU102" s="238">
        <f t="shared" si="163"/>
        <v>1</v>
      </c>
      <c r="AV102" s="236">
        <f t="shared" si="164"/>
        <v>9.875</v>
      </c>
      <c r="AW102" s="237">
        <f t="shared" si="165"/>
        <v>1</v>
      </c>
      <c r="AX102" s="263">
        <v>16.5</v>
      </c>
      <c r="AY102" s="263">
        <v>14</v>
      </c>
      <c r="AZ102" s="228">
        <f t="shared" si="166"/>
        <v>15.25</v>
      </c>
      <c r="BA102" s="229">
        <f t="shared" si="167"/>
        <v>1</v>
      </c>
      <c r="BB102" s="236">
        <f t="shared" si="168"/>
        <v>15.25</v>
      </c>
      <c r="BC102" s="237">
        <f t="shared" si="169"/>
        <v>1</v>
      </c>
      <c r="BD102" s="239">
        <f t="shared" si="170"/>
        <v>11.5</v>
      </c>
      <c r="BE102" s="240">
        <f t="shared" si="171"/>
        <v>30</v>
      </c>
      <c r="BF102" s="263"/>
      <c r="BG102" s="263"/>
      <c r="BH102" s="264">
        <f t="shared" si="172"/>
        <v>0</v>
      </c>
      <c r="BI102" s="265">
        <f t="shared" si="173"/>
        <v>0</v>
      </c>
      <c r="BJ102" s="263"/>
      <c r="BK102" s="263"/>
      <c r="BL102" s="264">
        <f t="shared" si="174"/>
        <v>0</v>
      </c>
      <c r="BM102" s="265">
        <f t="shared" si="175"/>
        <v>0</v>
      </c>
      <c r="BN102" s="263"/>
      <c r="BO102" s="263"/>
      <c r="BP102" s="264">
        <f t="shared" si="176"/>
        <v>0</v>
      </c>
      <c r="BQ102" s="265">
        <f t="shared" si="177"/>
        <v>0</v>
      </c>
      <c r="BR102" s="266">
        <f t="shared" si="178"/>
        <v>0</v>
      </c>
      <c r="BS102" s="267">
        <f t="shared" si="179"/>
        <v>0</v>
      </c>
      <c r="BT102" s="263"/>
      <c r="BU102" s="263"/>
      <c r="BV102" s="264">
        <f t="shared" si="180"/>
        <v>0</v>
      </c>
      <c r="BW102" s="265">
        <f t="shared" si="181"/>
        <v>0</v>
      </c>
      <c r="BX102" s="263"/>
      <c r="BY102" s="263"/>
      <c r="BZ102" s="264">
        <f t="shared" si="182"/>
        <v>0</v>
      </c>
      <c r="CA102" s="265">
        <f t="shared" si="183"/>
        <v>0</v>
      </c>
      <c r="CB102" s="268">
        <f t="shared" si="184"/>
        <v>0</v>
      </c>
      <c r="CC102" s="267">
        <f t="shared" si="185"/>
        <v>0</v>
      </c>
      <c r="CD102" s="263"/>
      <c r="CE102" s="263"/>
      <c r="CF102" s="264">
        <f t="shared" si="186"/>
        <v>0</v>
      </c>
      <c r="CG102" s="265">
        <f t="shared" si="187"/>
        <v>0</v>
      </c>
      <c r="CH102" s="268">
        <f t="shared" si="188"/>
        <v>0</v>
      </c>
      <c r="CI102" s="267">
        <f t="shared" si="189"/>
        <v>0</v>
      </c>
      <c r="CJ102" s="263"/>
      <c r="CK102" s="269">
        <f t="shared" si="190"/>
        <v>0</v>
      </c>
      <c r="CL102" s="270">
        <f t="shared" si="191"/>
        <v>0</v>
      </c>
      <c r="CM102" s="268">
        <f t="shared" si="192"/>
        <v>0</v>
      </c>
      <c r="CN102" s="267">
        <f t="shared" si="193"/>
        <v>0</v>
      </c>
      <c r="CO102" s="65">
        <f t="shared" si="194"/>
        <v>0</v>
      </c>
      <c r="CP102" s="66">
        <f t="shared" si="195"/>
        <v>0</v>
      </c>
      <c r="CQ102" s="31">
        <f t="shared" si="135"/>
        <v>11.5</v>
      </c>
      <c r="CR102" s="32">
        <f t="shared" si="136"/>
        <v>30</v>
      </c>
      <c r="CS102" s="33">
        <f t="shared" si="137"/>
        <v>0</v>
      </c>
      <c r="CT102" s="34">
        <f t="shared" si="138"/>
        <v>0</v>
      </c>
      <c r="CU102" s="67">
        <f t="shared" si="139"/>
        <v>5.75</v>
      </c>
      <c r="CV102" s="35">
        <f t="shared" si="140"/>
        <v>30</v>
      </c>
      <c r="CW102" s="59">
        <f t="shared" si="141"/>
        <v>30</v>
      </c>
      <c r="CX102" s="43" t="str">
        <f t="shared" si="196"/>
        <v>مؤجل(ة)</v>
      </c>
      <c r="CY102" s="44"/>
      <c r="CZ102" s="51"/>
      <c r="DA102" s="46"/>
    </row>
    <row r="103" spans="2:105" ht="27.75" customHeight="1" thickBot="1">
      <c r="B103" s="1">
        <f t="shared" si="197"/>
        <v>9</v>
      </c>
      <c r="C103" s="329" t="s">
        <v>641</v>
      </c>
      <c r="D103" s="249" t="s">
        <v>642</v>
      </c>
      <c r="E103" s="47"/>
      <c r="F103" s="135"/>
      <c r="G103" s="52"/>
      <c r="H103" s="131"/>
      <c r="I103" s="132"/>
      <c r="J103" s="133"/>
      <c r="K103" s="134"/>
      <c r="L103" s="53">
        <f t="shared" si="142"/>
        <v>0</v>
      </c>
      <c r="M103" s="58">
        <f t="shared" si="143"/>
        <v>0</v>
      </c>
      <c r="N103" s="262">
        <v>12.5</v>
      </c>
      <c r="O103" s="263">
        <v>5.25</v>
      </c>
      <c r="P103" s="228">
        <f t="shared" si="144"/>
        <v>8.875</v>
      </c>
      <c r="Q103" s="229">
        <f t="shared" si="145"/>
        <v>0</v>
      </c>
      <c r="R103" s="262">
        <v>10.5</v>
      </c>
      <c r="S103" s="263">
        <v>6</v>
      </c>
      <c r="T103" s="228">
        <f t="shared" si="146"/>
        <v>8.25</v>
      </c>
      <c r="U103" s="229">
        <f t="shared" si="147"/>
        <v>0</v>
      </c>
      <c r="V103" s="262">
        <v>5.5</v>
      </c>
      <c r="W103" s="263">
        <v>1</v>
      </c>
      <c r="X103" s="228">
        <f t="shared" si="148"/>
        <v>3.25</v>
      </c>
      <c r="Y103" s="229">
        <f t="shared" si="149"/>
        <v>0</v>
      </c>
      <c r="Z103" s="232">
        <f t="shared" si="150"/>
        <v>6.791666666666667</v>
      </c>
      <c r="AA103" s="233">
        <f t="shared" si="151"/>
        <v>0</v>
      </c>
      <c r="AB103" s="263">
        <v>10</v>
      </c>
      <c r="AC103" s="234">
        <f t="shared" si="152"/>
        <v>10</v>
      </c>
      <c r="AD103" s="235">
        <f t="shared" si="153"/>
        <v>1</v>
      </c>
      <c r="AE103" s="262">
        <v>7</v>
      </c>
      <c r="AF103" s="263">
        <v>7</v>
      </c>
      <c r="AG103" s="228">
        <f t="shared" si="154"/>
        <v>7</v>
      </c>
      <c r="AH103" s="229">
        <f t="shared" si="155"/>
        <v>0</v>
      </c>
      <c r="AI103" s="262">
        <v>12.5</v>
      </c>
      <c r="AJ103" s="263">
        <v>7.5</v>
      </c>
      <c r="AK103" s="228">
        <f t="shared" si="156"/>
        <v>10</v>
      </c>
      <c r="AL103" s="229">
        <f t="shared" si="157"/>
        <v>3</v>
      </c>
      <c r="AM103" s="236">
        <f t="shared" si="158"/>
        <v>8.8000000000000007</v>
      </c>
      <c r="AN103" s="237">
        <f t="shared" si="159"/>
        <v>4</v>
      </c>
      <c r="AO103" s="262">
        <v>11.5</v>
      </c>
      <c r="AP103" s="263">
        <v>7</v>
      </c>
      <c r="AQ103" s="228">
        <f t="shared" si="160"/>
        <v>9.25</v>
      </c>
      <c r="AR103" s="229">
        <f t="shared" si="161"/>
        <v>0</v>
      </c>
      <c r="AS103" s="263">
        <v>15</v>
      </c>
      <c r="AT103" s="234">
        <f t="shared" si="162"/>
        <v>15</v>
      </c>
      <c r="AU103" s="238">
        <f t="shared" si="163"/>
        <v>1</v>
      </c>
      <c r="AV103" s="236">
        <f t="shared" si="164"/>
        <v>12.125</v>
      </c>
      <c r="AW103" s="237">
        <f t="shared" si="165"/>
        <v>5</v>
      </c>
      <c r="AX103" s="263">
        <v>13.5</v>
      </c>
      <c r="AY103" s="263">
        <v>8</v>
      </c>
      <c r="AZ103" s="228">
        <f t="shared" si="166"/>
        <v>10.75</v>
      </c>
      <c r="BA103" s="229">
        <f t="shared" si="167"/>
        <v>1</v>
      </c>
      <c r="BB103" s="236">
        <f t="shared" si="168"/>
        <v>10.75</v>
      </c>
      <c r="BC103" s="237">
        <f t="shared" si="169"/>
        <v>1</v>
      </c>
      <c r="BD103" s="239">
        <f t="shared" si="170"/>
        <v>8.5535714285714288</v>
      </c>
      <c r="BE103" s="240">
        <f t="shared" si="171"/>
        <v>10</v>
      </c>
      <c r="BF103" s="263"/>
      <c r="BG103" s="263"/>
      <c r="BH103" s="264">
        <f t="shared" si="172"/>
        <v>0</v>
      </c>
      <c r="BI103" s="265">
        <f t="shared" si="173"/>
        <v>0</v>
      </c>
      <c r="BJ103" s="263"/>
      <c r="BK103" s="263"/>
      <c r="BL103" s="264">
        <f t="shared" si="174"/>
        <v>0</v>
      </c>
      <c r="BM103" s="265">
        <f t="shared" si="175"/>
        <v>0</v>
      </c>
      <c r="BN103" s="263"/>
      <c r="BO103" s="263"/>
      <c r="BP103" s="264">
        <f t="shared" si="176"/>
        <v>0</v>
      </c>
      <c r="BQ103" s="265">
        <f t="shared" si="177"/>
        <v>0</v>
      </c>
      <c r="BR103" s="266">
        <f t="shared" si="178"/>
        <v>0</v>
      </c>
      <c r="BS103" s="267">
        <f t="shared" si="179"/>
        <v>0</v>
      </c>
      <c r="BT103" s="263"/>
      <c r="BU103" s="263"/>
      <c r="BV103" s="264">
        <f t="shared" si="180"/>
        <v>0</v>
      </c>
      <c r="BW103" s="265">
        <f t="shared" si="181"/>
        <v>0</v>
      </c>
      <c r="BX103" s="263"/>
      <c r="BY103" s="263"/>
      <c r="BZ103" s="264">
        <f t="shared" si="182"/>
        <v>0</v>
      </c>
      <c r="CA103" s="265">
        <f t="shared" si="183"/>
        <v>0</v>
      </c>
      <c r="CB103" s="268">
        <f t="shared" si="184"/>
        <v>0</v>
      </c>
      <c r="CC103" s="267">
        <f t="shared" si="185"/>
        <v>0</v>
      </c>
      <c r="CD103" s="263"/>
      <c r="CE103" s="263"/>
      <c r="CF103" s="264">
        <f t="shared" si="186"/>
        <v>0</v>
      </c>
      <c r="CG103" s="265">
        <f t="shared" si="187"/>
        <v>0</v>
      </c>
      <c r="CH103" s="268">
        <f t="shared" si="188"/>
        <v>0</v>
      </c>
      <c r="CI103" s="267">
        <f t="shared" si="189"/>
        <v>0</v>
      </c>
      <c r="CJ103" s="263"/>
      <c r="CK103" s="269">
        <f t="shared" si="190"/>
        <v>0</v>
      </c>
      <c r="CL103" s="270">
        <f t="shared" si="191"/>
        <v>0</v>
      </c>
      <c r="CM103" s="268">
        <f t="shared" si="192"/>
        <v>0</v>
      </c>
      <c r="CN103" s="267">
        <f t="shared" si="193"/>
        <v>0</v>
      </c>
      <c r="CO103" s="65">
        <f t="shared" si="194"/>
        <v>0</v>
      </c>
      <c r="CP103" s="66">
        <f t="shared" si="195"/>
        <v>0</v>
      </c>
      <c r="CQ103" s="31">
        <f t="shared" si="135"/>
        <v>8.5535714285714288</v>
      </c>
      <c r="CR103" s="32">
        <f t="shared" si="136"/>
        <v>10</v>
      </c>
      <c r="CS103" s="33">
        <f t="shared" si="137"/>
        <v>0</v>
      </c>
      <c r="CT103" s="34">
        <f t="shared" si="138"/>
        <v>0</v>
      </c>
      <c r="CU103" s="67">
        <f t="shared" si="139"/>
        <v>4.2767857142857144</v>
      </c>
      <c r="CV103" s="35">
        <f t="shared" si="140"/>
        <v>10</v>
      </c>
      <c r="CW103" s="59">
        <f t="shared" si="141"/>
        <v>10</v>
      </c>
      <c r="CX103" s="43" t="str">
        <f t="shared" si="196"/>
        <v>مؤجل(ة)</v>
      </c>
      <c r="CY103" s="44"/>
      <c r="CZ103" s="50"/>
      <c r="DA103" s="46"/>
    </row>
    <row r="104" spans="2:105" ht="27.75" customHeight="1" thickBot="1">
      <c r="B104" s="1">
        <f t="shared" si="197"/>
        <v>10</v>
      </c>
      <c r="C104" s="329" t="s">
        <v>643</v>
      </c>
      <c r="D104" s="249" t="s">
        <v>644</v>
      </c>
      <c r="E104" s="47" t="s">
        <v>435</v>
      </c>
      <c r="F104" s="135">
        <v>33873</v>
      </c>
      <c r="G104" s="136" t="s">
        <v>746</v>
      </c>
      <c r="H104" s="131">
        <v>8.64</v>
      </c>
      <c r="I104" s="132">
        <v>21</v>
      </c>
      <c r="J104" s="133">
        <v>6.95</v>
      </c>
      <c r="K104" s="134">
        <v>5</v>
      </c>
      <c r="L104" s="53">
        <f t="shared" si="142"/>
        <v>7.7949999999999999</v>
      </c>
      <c r="M104" s="58">
        <f t="shared" si="143"/>
        <v>26</v>
      </c>
      <c r="N104" s="262"/>
      <c r="O104" s="263"/>
      <c r="P104" s="228">
        <f t="shared" si="144"/>
        <v>0</v>
      </c>
      <c r="Q104" s="229">
        <f t="shared" si="145"/>
        <v>0</v>
      </c>
      <c r="R104" s="262"/>
      <c r="S104" s="263"/>
      <c r="T104" s="228">
        <f t="shared" si="146"/>
        <v>0</v>
      </c>
      <c r="U104" s="229">
        <f t="shared" si="147"/>
        <v>0</v>
      </c>
      <c r="V104" s="262"/>
      <c r="W104" s="263"/>
      <c r="X104" s="228">
        <f t="shared" si="148"/>
        <v>0</v>
      </c>
      <c r="Y104" s="229">
        <f t="shared" si="149"/>
        <v>0</v>
      </c>
      <c r="Z104" s="232">
        <f t="shared" si="150"/>
        <v>0</v>
      </c>
      <c r="AA104" s="233">
        <f t="shared" si="151"/>
        <v>0</v>
      </c>
      <c r="AB104" s="263"/>
      <c r="AC104" s="234">
        <f t="shared" si="152"/>
        <v>0</v>
      </c>
      <c r="AD104" s="235">
        <f t="shared" si="153"/>
        <v>0</v>
      </c>
      <c r="AE104" s="262"/>
      <c r="AF104" s="263"/>
      <c r="AG104" s="228">
        <f t="shared" si="154"/>
        <v>0</v>
      </c>
      <c r="AH104" s="229">
        <f t="shared" si="155"/>
        <v>0</v>
      </c>
      <c r="AI104" s="262"/>
      <c r="AJ104" s="263"/>
      <c r="AK104" s="228">
        <f t="shared" si="156"/>
        <v>0</v>
      </c>
      <c r="AL104" s="229">
        <f t="shared" si="157"/>
        <v>0</v>
      </c>
      <c r="AM104" s="236">
        <f t="shared" si="158"/>
        <v>0</v>
      </c>
      <c r="AN104" s="237">
        <f t="shared" si="159"/>
        <v>0</v>
      </c>
      <c r="AO104" s="262"/>
      <c r="AP104" s="263"/>
      <c r="AQ104" s="228">
        <f t="shared" si="160"/>
        <v>0</v>
      </c>
      <c r="AR104" s="229">
        <f t="shared" si="161"/>
        <v>0</v>
      </c>
      <c r="AS104" s="263"/>
      <c r="AT104" s="234">
        <f t="shared" si="162"/>
        <v>0</v>
      </c>
      <c r="AU104" s="238">
        <f t="shared" si="163"/>
        <v>0</v>
      </c>
      <c r="AV104" s="236">
        <f t="shared" si="164"/>
        <v>0</v>
      </c>
      <c r="AW104" s="237">
        <f t="shared" si="165"/>
        <v>0</v>
      </c>
      <c r="AX104" s="263">
        <v>10</v>
      </c>
      <c r="AY104" s="263">
        <v>10</v>
      </c>
      <c r="AZ104" s="228">
        <f t="shared" si="166"/>
        <v>10</v>
      </c>
      <c r="BA104" s="229">
        <f t="shared" si="167"/>
        <v>1</v>
      </c>
      <c r="BB104" s="236">
        <f t="shared" si="168"/>
        <v>10</v>
      </c>
      <c r="BC104" s="237">
        <f t="shared" si="169"/>
        <v>1</v>
      </c>
      <c r="BD104" s="239">
        <f t="shared" si="170"/>
        <v>0.7142857142857143</v>
      </c>
      <c r="BE104" s="240">
        <f t="shared" si="171"/>
        <v>1</v>
      </c>
      <c r="BF104" s="263"/>
      <c r="BG104" s="263"/>
      <c r="BH104" s="264">
        <f t="shared" si="172"/>
        <v>0</v>
      </c>
      <c r="BI104" s="265">
        <f t="shared" si="173"/>
        <v>0</v>
      </c>
      <c r="BJ104" s="263"/>
      <c r="BK104" s="263"/>
      <c r="BL104" s="264">
        <f t="shared" si="174"/>
        <v>0</v>
      </c>
      <c r="BM104" s="265">
        <f t="shared" si="175"/>
        <v>0</v>
      </c>
      <c r="BN104" s="263"/>
      <c r="BO104" s="263"/>
      <c r="BP104" s="264">
        <f t="shared" si="176"/>
        <v>0</v>
      </c>
      <c r="BQ104" s="265">
        <f t="shared" si="177"/>
        <v>0</v>
      </c>
      <c r="BR104" s="266">
        <f t="shared" si="178"/>
        <v>0</v>
      </c>
      <c r="BS104" s="267">
        <f t="shared" si="179"/>
        <v>0</v>
      </c>
      <c r="BT104" s="263"/>
      <c r="BU104" s="263"/>
      <c r="BV104" s="264">
        <f t="shared" si="180"/>
        <v>0</v>
      </c>
      <c r="BW104" s="265">
        <f t="shared" si="181"/>
        <v>0</v>
      </c>
      <c r="BX104" s="263"/>
      <c r="BY104" s="263"/>
      <c r="BZ104" s="264">
        <f t="shared" si="182"/>
        <v>0</v>
      </c>
      <c r="CA104" s="265">
        <f t="shared" si="183"/>
        <v>0</v>
      </c>
      <c r="CB104" s="268">
        <f t="shared" si="184"/>
        <v>0</v>
      </c>
      <c r="CC104" s="267">
        <f t="shared" si="185"/>
        <v>0</v>
      </c>
      <c r="CD104" s="263"/>
      <c r="CE104" s="263"/>
      <c r="CF104" s="264">
        <f t="shared" si="186"/>
        <v>0</v>
      </c>
      <c r="CG104" s="265">
        <f t="shared" si="187"/>
        <v>0</v>
      </c>
      <c r="CH104" s="268">
        <f t="shared" si="188"/>
        <v>0</v>
      </c>
      <c r="CI104" s="267">
        <f t="shared" si="189"/>
        <v>0</v>
      </c>
      <c r="CJ104" s="263"/>
      <c r="CK104" s="269">
        <f t="shared" si="190"/>
        <v>0</v>
      </c>
      <c r="CL104" s="270">
        <f t="shared" si="191"/>
        <v>0</v>
      </c>
      <c r="CM104" s="268">
        <f t="shared" si="192"/>
        <v>0</v>
      </c>
      <c r="CN104" s="267">
        <f t="shared" si="193"/>
        <v>0</v>
      </c>
      <c r="CO104" s="65">
        <f t="shared" si="194"/>
        <v>0</v>
      </c>
      <c r="CP104" s="66">
        <f t="shared" si="195"/>
        <v>0</v>
      </c>
      <c r="CQ104" s="31">
        <f t="shared" si="135"/>
        <v>0.7142857142857143</v>
      </c>
      <c r="CR104" s="32">
        <f t="shared" si="136"/>
        <v>1</v>
      </c>
      <c r="CS104" s="33">
        <f t="shared" si="137"/>
        <v>0</v>
      </c>
      <c r="CT104" s="34">
        <f t="shared" si="138"/>
        <v>0</v>
      </c>
      <c r="CU104" s="67">
        <f t="shared" si="139"/>
        <v>0.35714285714285715</v>
      </c>
      <c r="CV104" s="35">
        <f t="shared" si="140"/>
        <v>1</v>
      </c>
      <c r="CW104" s="59">
        <f t="shared" si="141"/>
        <v>27</v>
      </c>
      <c r="CX104" s="43" t="str">
        <f t="shared" si="196"/>
        <v>مؤجل(ة)</v>
      </c>
      <c r="CY104" s="44"/>
      <c r="CZ104" s="50"/>
      <c r="DA104" s="46"/>
    </row>
    <row r="105" spans="2:105" ht="27.75" customHeight="1" thickBot="1">
      <c r="B105" s="1">
        <f t="shared" si="197"/>
        <v>11</v>
      </c>
      <c r="C105" s="329" t="s">
        <v>645</v>
      </c>
      <c r="D105" s="249" t="s">
        <v>646</v>
      </c>
      <c r="E105" s="47"/>
      <c r="F105" s="135"/>
      <c r="G105" s="136"/>
      <c r="H105" s="131"/>
      <c r="I105" s="132"/>
      <c r="J105" s="133"/>
      <c r="K105" s="134"/>
      <c r="L105" s="53">
        <f t="shared" si="142"/>
        <v>0</v>
      </c>
      <c r="M105" s="58">
        <f t="shared" si="143"/>
        <v>0</v>
      </c>
      <c r="N105" s="262">
        <v>8.25</v>
      </c>
      <c r="O105" s="263">
        <v>3</v>
      </c>
      <c r="P105" s="228">
        <f t="shared" si="144"/>
        <v>5.625</v>
      </c>
      <c r="Q105" s="229">
        <f t="shared" si="145"/>
        <v>0</v>
      </c>
      <c r="R105" s="262">
        <v>12.5</v>
      </c>
      <c r="S105" s="263">
        <v>7</v>
      </c>
      <c r="T105" s="228">
        <f t="shared" si="146"/>
        <v>9.75</v>
      </c>
      <c r="U105" s="229">
        <f t="shared" si="147"/>
        <v>0</v>
      </c>
      <c r="V105" s="262">
        <v>5</v>
      </c>
      <c r="W105" s="263">
        <v>4.75</v>
      </c>
      <c r="X105" s="228">
        <f t="shared" si="148"/>
        <v>4.875</v>
      </c>
      <c r="Y105" s="229">
        <f t="shared" si="149"/>
        <v>0</v>
      </c>
      <c r="Z105" s="232">
        <f t="shared" si="150"/>
        <v>6.75</v>
      </c>
      <c r="AA105" s="233">
        <f t="shared" si="151"/>
        <v>0</v>
      </c>
      <c r="AB105" s="263">
        <v>10</v>
      </c>
      <c r="AC105" s="234">
        <f t="shared" si="152"/>
        <v>10</v>
      </c>
      <c r="AD105" s="235">
        <f t="shared" si="153"/>
        <v>1</v>
      </c>
      <c r="AE105" s="262">
        <v>3</v>
      </c>
      <c r="AF105" s="263">
        <v>3</v>
      </c>
      <c r="AG105" s="228">
        <f t="shared" si="154"/>
        <v>3</v>
      </c>
      <c r="AH105" s="229">
        <f t="shared" si="155"/>
        <v>0</v>
      </c>
      <c r="AI105" s="262">
        <v>10</v>
      </c>
      <c r="AJ105" s="263">
        <v>2.5</v>
      </c>
      <c r="AK105" s="228">
        <f t="shared" si="156"/>
        <v>6.25</v>
      </c>
      <c r="AL105" s="229">
        <f t="shared" si="157"/>
        <v>0</v>
      </c>
      <c r="AM105" s="236">
        <f t="shared" si="158"/>
        <v>5.7</v>
      </c>
      <c r="AN105" s="237">
        <f t="shared" si="159"/>
        <v>1</v>
      </c>
      <c r="AO105" s="262">
        <v>11.5</v>
      </c>
      <c r="AP105" s="263">
        <v>1</v>
      </c>
      <c r="AQ105" s="228">
        <f t="shared" si="160"/>
        <v>6.25</v>
      </c>
      <c r="AR105" s="229">
        <f t="shared" si="161"/>
        <v>0</v>
      </c>
      <c r="AS105" s="263">
        <v>6.5</v>
      </c>
      <c r="AT105" s="234">
        <f t="shared" si="162"/>
        <v>6.5</v>
      </c>
      <c r="AU105" s="238">
        <f t="shared" si="163"/>
        <v>0</v>
      </c>
      <c r="AV105" s="236">
        <f t="shared" si="164"/>
        <v>6.375</v>
      </c>
      <c r="AW105" s="237">
        <f t="shared" si="165"/>
        <v>0</v>
      </c>
      <c r="AX105" s="263">
        <v>15</v>
      </c>
      <c r="AY105" s="263">
        <v>10.5</v>
      </c>
      <c r="AZ105" s="228">
        <f t="shared" si="166"/>
        <v>12.75</v>
      </c>
      <c r="BA105" s="229">
        <f t="shared" si="167"/>
        <v>1</v>
      </c>
      <c r="BB105" s="236">
        <f t="shared" si="168"/>
        <v>12.75</v>
      </c>
      <c r="BC105" s="237">
        <f t="shared" si="169"/>
        <v>1</v>
      </c>
      <c r="BD105" s="239">
        <f t="shared" si="170"/>
        <v>6.75</v>
      </c>
      <c r="BE105" s="240">
        <f t="shared" si="171"/>
        <v>2</v>
      </c>
      <c r="BF105" s="263"/>
      <c r="BG105" s="263"/>
      <c r="BH105" s="264">
        <f t="shared" si="172"/>
        <v>0</v>
      </c>
      <c r="BI105" s="265">
        <f t="shared" si="173"/>
        <v>0</v>
      </c>
      <c r="BJ105" s="263"/>
      <c r="BK105" s="263"/>
      <c r="BL105" s="264">
        <f t="shared" si="174"/>
        <v>0</v>
      </c>
      <c r="BM105" s="265">
        <f t="shared" si="175"/>
        <v>0</v>
      </c>
      <c r="BN105" s="263"/>
      <c r="BO105" s="263"/>
      <c r="BP105" s="264">
        <f t="shared" si="176"/>
        <v>0</v>
      </c>
      <c r="BQ105" s="265">
        <f t="shared" si="177"/>
        <v>0</v>
      </c>
      <c r="BR105" s="266">
        <f t="shared" si="178"/>
        <v>0</v>
      </c>
      <c r="BS105" s="267">
        <f t="shared" si="179"/>
        <v>0</v>
      </c>
      <c r="BT105" s="263"/>
      <c r="BU105" s="263"/>
      <c r="BV105" s="264">
        <f t="shared" si="180"/>
        <v>0</v>
      </c>
      <c r="BW105" s="265">
        <f t="shared" si="181"/>
        <v>0</v>
      </c>
      <c r="BX105" s="263"/>
      <c r="BY105" s="263"/>
      <c r="BZ105" s="264">
        <f t="shared" si="182"/>
        <v>0</v>
      </c>
      <c r="CA105" s="265">
        <f t="shared" si="183"/>
        <v>0</v>
      </c>
      <c r="CB105" s="268">
        <f t="shared" si="184"/>
        <v>0</v>
      </c>
      <c r="CC105" s="267">
        <f t="shared" si="185"/>
        <v>0</v>
      </c>
      <c r="CD105" s="263"/>
      <c r="CE105" s="263"/>
      <c r="CF105" s="264">
        <f t="shared" si="186"/>
        <v>0</v>
      </c>
      <c r="CG105" s="265">
        <f t="shared" si="187"/>
        <v>0</v>
      </c>
      <c r="CH105" s="268">
        <f t="shared" si="188"/>
        <v>0</v>
      </c>
      <c r="CI105" s="267">
        <f t="shared" si="189"/>
        <v>0</v>
      </c>
      <c r="CJ105" s="263"/>
      <c r="CK105" s="269">
        <f t="shared" si="190"/>
        <v>0</v>
      </c>
      <c r="CL105" s="270">
        <f t="shared" si="191"/>
        <v>0</v>
      </c>
      <c r="CM105" s="268">
        <f t="shared" si="192"/>
        <v>0</v>
      </c>
      <c r="CN105" s="267">
        <f t="shared" si="193"/>
        <v>0</v>
      </c>
      <c r="CO105" s="65">
        <f t="shared" si="194"/>
        <v>0</v>
      </c>
      <c r="CP105" s="66">
        <f t="shared" si="195"/>
        <v>0</v>
      </c>
      <c r="CQ105" s="31">
        <f t="shared" si="135"/>
        <v>6.75</v>
      </c>
      <c r="CR105" s="32">
        <f t="shared" si="136"/>
        <v>2</v>
      </c>
      <c r="CS105" s="33">
        <f t="shared" si="137"/>
        <v>0</v>
      </c>
      <c r="CT105" s="34">
        <f t="shared" si="138"/>
        <v>0</v>
      </c>
      <c r="CU105" s="67">
        <f t="shared" si="139"/>
        <v>3.375</v>
      </c>
      <c r="CV105" s="35">
        <f t="shared" si="140"/>
        <v>2</v>
      </c>
      <c r="CW105" s="59">
        <f t="shared" si="141"/>
        <v>2</v>
      </c>
      <c r="CX105" s="43" t="str">
        <f t="shared" si="196"/>
        <v>مؤجل(ة)</v>
      </c>
      <c r="CY105" s="44"/>
      <c r="CZ105" s="50"/>
      <c r="DA105" s="46"/>
    </row>
    <row r="106" spans="2:105" ht="27.75" customHeight="1" thickBot="1">
      <c r="B106" s="1">
        <f t="shared" si="197"/>
        <v>12</v>
      </c>
      <c r="C106" s="329" t="s">
        <v>647</v>
      </c>
      <c r="D106" s="249" t="s">
        <v>306</v>
      </c>
      <c r="E106" s="47"/>
      <c r="F106" s="135"/>
      <c r="G106" s="136"/>
      <c r="H106" s="131"/>
      <c r="I106" s="132"/>
      <c r="J106" s="133"/>
      <c r="K106" s="134"/>
      <c r="L106" s="53">
        <f t="shared" si="142"/>
        <v>0</v>
      </c>
      <c r="M106" s="58">
        <f t="shared" si="143"/>
        <v>0</v>
      </c>
      <c r="N106" s="262">
        <v>12.5</v>
      </c>
      <c r="O106" s="263">
        <v>9.75</v>
      </c>
      <c r="P106" s="228">
        <f t="shared" si="144"/>
        <v>11.125</v>
      </c>
      <c r="Q106" s="229">
        <f t="shared" si="145"/>
        <v>5</v>
      </c>
      <c r="R106" s="262">
        <v>11.5</v>
      </c>
      <c r="S106" s="263">
        <v>2.5</v>
      </c>
      <c r="T106" s="228">
        <f t="shared" si="146"/>
        <v>7</v>
      </c>
      <c r="U106" s="229">
        <f t="shared" si="147"/>
        <v>0</v>
      </c>
      <c r="V106" s="262">
        <v>4</v>
      </c>
      <c r="W106" s="263">
        <v>0</v>
      </c>
      <c r="X106" s="228">
        <f t="shared" si="148"/>
        <v>2</v>
      </c>
      <c r="Y106" s="229">
        <f t="shared" si="149"/>
        <v>0</v>
      </c>
      <c r="Z106" s="232">
        <f t="shared" si="150"/>
        <v>6.708333333333333</v>
      </c>
      <c r="AA106" s="233">
        <f t="shared" si="151"/>
        <v>5</v>
      </c>
      <c r="AB106" s="263"/>
      <c r="AC106" s="234">
        <f t="shared" si="152"/>
        <v>0</v>
      </c>
      <c r="AD106" s="235">
        <f t="shared" si="153"/>
        <v>0</v>
      </c>
      <c r="AE106" s="262">
        <v>0</v>
      </c>
      <c r="AF106" s="263">
        <v>0</v>
      </c>
      <c r="AG106" s="228">
        <f t="shared" si="154"/>
        <v>0</v>
      </c>
      <c r="AH106" s="229">
        <f t="shared" si="155"/>
        <v>0</v>
      </c>
      <c r="AI106" s="262">
        <v>9</v>
      </c>
      <c r="AJ106" s="263"/>
      <c r="AK106" s="228">
        <f t="shared" si="156"/>
        <v>4.5</v>
      </c>
      <c r="AL106" s="229">
        <f t="shared" si="157"/>
        <v>0</v>
      </c>
      <c r="AM106" s="236">
        <f t="shared" si="158"/>
        <v>1.8</v>
      </c>
      <c r="AN106" s="237">
        <f t="shared" si="159"/>
        <v>0</v>
      </c>
      <c r="AO106" s="262">
        <v>11.5</v>
      </c>
      <c r="AP106" s="263">
        <v>10</v>
      </c>
      <c r="AQ106" s="228">
        <f t="shared" si="160"/>
        <v>10.75</v>
      </c>
      <c r="AR106" s="229">
        <f t="shared" si="161"/>
        <v>4</v>
      </c>
      <c r="AS106" s="263">
        <v>6.5</v>
      </c>
      <c r="AT106" s="234">
        <f t="shared" si="162"/>
        <v>6.5</v>
      </c>
      <c r="AU106" s="238">
        <f t="shared" si="163"/>
        <v>0</v>
      </c>
      <c r="AV106" s="236">
        <f t="shared" si="164"/>
        <v>8.625</v>
      </c>
      <c r="AW106" s="237">
        <f t="shared" si="165"/>
        <v>4</v>
      </c>
      <c r="AX106" s="263">
        <v>12</v>
      </c>
      <c r="AY106" s="263">
        <v>3.5</v>
      </c>
      <c r="AZ106" s="228">
        <f t="shared" si="166"/>
        <v>7.75</v>
      </c>
      <c r="BA106" s="229">
        <f t="shared" si="167"/>
        <v>0</v>
      </c>
      <c r="BB106" s="236">
        <f t="shared" si="168"/>
        <v>7.75</v>
      </c>
      <c r="BC106" s="237">
        <f t="shared" si="169"/>
        <v>0</v>
      </c>
      <c r="BD106" s="239">
        <f t="shared" si="170"/>
        <v>5.3035714285714288</v>
      </c>
      <c r="BE106" s="240">
        <f t="shared" si="171"/>
        <v>9</v>
      </c>
      <c r="BF106" s="263"/>
      <c r="BG106" s="263"/>
      <c r="BH106" s="264">
        <f t="shared" si="172"/>
        <v>0</v>
      </c>
      <c r="BI106" s="265">
        <f t="shared" si="173"/>
        <v>0</v>
      </c>
      <c r="BJ106" s="263"/>
      <c r="BK106" s="263"/>
      <c r="BL106" s="264">
        <f t="shared" si="174"/>
        <v>0</v>
      </c>
      <c r="BM106" s="265">
        <f t="shared" si="175"/>
        <v>0</v>
      </c>
      <c r="BN106" s="263"/>
      <c r="BO106" s="263"/>
      <c r="BP106" s="264">
        <f t="shared" si="176"/>
        <v>0</v>
      </c>
      <c r="BQ106" s="265">
        <f t="shared" si="177"/>
        <v>0</v>
      </c>
      <c r="BR106" s="266">
        <f t="shared" si="178"/>
        <v>0</v>
      </c>
      <c r="BS106" s="267">
        <f t="shared" si="179"/>
        <v>0</v>
      </c>
      <c r="BT106" s="263"/>
      <c r="BU106" s="263"/>
      <c r="BV106" s="264">
        <f t="shared" si="180"/>
        <v>0</v>
      </c>
      <c r="BW106" s="265">
        <f t="shared" si="181"/>
        <v>0</v>
      </c>
      <c r="BX106" s="263"/>
      <c r="BY106" s="263"/>
      <c r="BZ106" s="264">
        <f t="shared" si="182"/>
        <v>0</v>
      </c>
      <c r="CA106" s="265">
        <f t="shared" si="183"/>
        <v>0</v>
      </c>
      <c r="CB106" s="268">
        <f t="shared" si="184"/>
        <v>0</v>
      </c>
      <c r="CC106" s="267">
        <f t="shared" si="185"/>
        <v>0</v>
      </c>
      <c r="CD106" s="263"/>
      <c r="CE106" s="263"/>
      <c r="CF106" s="264">
        <f t="shared" si="186"/>
        <v>0</v>
      </c>
      <c r="CG106" s="265">
        <f t="shared" si="187"/>
        <v>0</v>
      </c>
      <c r="CH106" s="268">
        <f t="shared" si="188"/>
        <v>0</v>
      </c>
      <c r="CI106" s="267">
        <f t="shared" si="189"/>
        <v>0</v>
      </c>
      <c r="CJ106" s="263"/>
      <c r="CK106" s="269">
        <f t="shared" si="190"/>
        <v>0</v>
      </c>
      <c r="CL106" s="270">
        <f t="shared" si="191"/>
        <v>0</v>
      </c>
      <c r="CM106" s="268">
        <f t="shared" si="192"/>
        <v>0</v>
      </c>
      <c r="CN106" s="267">
        <f t="shared" si="193"/>
        <v>0</v>
      </c>
      <c r="CO106" s="65">
        <f t="shared" si="194"/>
        <v>0</v>
      </c>
      <c r="CP106" s="66">
        <f t="shared" si="195"/>
        <v>0</v>
      </c>
      <c r="CQ106" s="31">
        <f t="shared" si="135"/>
        <v>5.3035714285714288</v>
      </c>
      <c r="CR106" s="32">
        <f t="shared" si="136"/>
        <v>9</v>
      </c>
      <c r="CS106" s="33">
        <f t="shared" si="137"/>
        <v>0</v>
      </c>
      <c r="CT106" s="34">
        <f t="shared" si="138"/>
        <v>0</v>
      </c>
      <c r="CU106" s="67">
        <f t="shared" si="139"/>
        <v>2.6517857142857144</v>
      </c>
      <c r="CV106" s="35">
        <f t="shared" si="140"/>
        <v>9</v>
      </c>
      <c r="CW106" s="59">
        <f t="shared" si="141"/>
        <v>9</v>
      </c>
      <c r="CX106" s="43" t="str">
        <f t="shared" si="196"/>
        <v>مؤجل(ة)</v>
      </c>
      <c r="CY106" s="44"/>
      <c r="CZ106" s="50"/>
      <c r="DA106" s="46"/>
    </row>
    <row r="107" spans="2:105" ht="27.75" customHeight="1" thickBot="1">
      <c r="B107" s="1">
        <f t="shared" si="197"/>
        <v>13</v>
      </c>
      <c r="C107" s="329" t="s">
        <v>648</v>
      </c>
      <c r="D107" s="249" t="s">
        <v>649</v>
      </c>
      <c r="E107" s="47"/>
      <c r="F107" s="135"/>
      <c r="G107" s="136"/>
      <c r="H107" s="131"/>
      <c r="I107" s="132"/>
      <c r="J107" s="133"/>
      <c r="K107" s="134"/>
      <c r="L107" s="53">
        <f t="shared" si="142"/>
        <v>0</v>
      </c>
      <c r="M107" s="58">
        <f t="shared" si="143"/>
        <v>0</v>
      </c>
      <c r="N107" s="262">
        <v>2</v>
      </c>
      <c r="O107" s="263">
        <v>3</v>
      </c>
      <c r="P107" s="228">
        <f t="shared" si="144"/>
        <v>2.5</v>
      </c>
      <c r="Q107" s="229">
        <f t="shared" si="145"/>
        <v>0</v>
      </c>
      <c r="R107" s="262">
        <v>12</v>
      </c>
      <c r="S107" s="263">
        <v>2.5</v>
      </c>
      <c r="T107" s="228">
        <f t="shared" si="146"/>
        <v>7.25</v>
      </c>
      <c r="U107" s="229">
        <f t="shared" si="147"/>
        <v>0</v>
      </c>
      <c r="V107" s="262">
        <v>4.5</v>
      </c>
      <c r="W107" s="263">
        <v>1</v>
      </c>
      <c r="X107" s="228">
        <f t="shared" si="148"/>
        <v>2.75</v>
      </c>
      <c r="Y107" s="229">
        <f t="shared" si="149"/>
        <v>0</v>
      </c>
      <c r="Z107" s="232">
        <f t="shared" si="150"/>
        <v>4.166666666666667</v>
      </c>
      <c r="AA107" s="233">
        <f t="shared" si="151"/>
        <v>0</v>
      </c>
      <c r="AB107" s="263">
        <v>5</v>
      </c>
      <c r="AC107" s="234">
        <f t="shared" si="152"/>
        <v>5</v>
      </c>
      <c r="AD107" s="235">
        <f t="shared" si="153"/>
        <v>0</v>
      </c>
      <c r="AE107" s="262">
        <v>0.5</v>
      </c>
      <c r="AF107" s="263">
        <v>0.5</v>
      </c>
      <c r="AG107" s="228">
        <f t="shared" si="154"/>
        <v>0.5</v>
      </c>
      <c r="AH107" s="229">
        <f t="shared" si="155"/>
        <v>0</v>
      </c>
      <c r="AI107" s="262">
        <v>6</v>
      </c>
      <c r="AJ107" s="263">
        <v>1</v>
      </c>
      <c r="AK107" s="228">
        <f t="shared" si="156"/>
        <v>3.5</v>
      </c>
      <c r="AL107" s="229">
        <f t="shared" si="157"/>
        <v>0</v>
      </c>
      <c r="AM107" s="236">
        <f t="shared" si="158"/>
        <v>2.6</v>
      </c>
      <c r="AN107" s="237">
        <f t="shared" si="159"/>
        <v>0</v>
      </c>
      <c r="AO107" s="262">
        <v>11.5</v>
      </c>
      <c r="AP107" s="263">
        <v>1</v>
      </c>
      <c r="AQ107" s="228">
        <f t="shared" si="160"/>
        <v>6.25</v>
      </c>
      <c r="AR107" s="229">
        <f t="shared" si="161"/>
        <v>0</v>
      </c>
      <c r="AS107" s="263">
        <v>1</v>
      </c>
      <c r="AT107" s="234">
        <f t="shared" si="162"/>
        <v>1</v>
      </c>
      <c r="AU107" s="238">
        <f t="shared" si="163"/>
        <v>0</v>
      </c>
      <c r="AV107" s="236">
        <f t="shared" si="164"/>
        <v>3.625</v>
      </c>
      <c r="AW107" s="237">
        <f t="shared" si="165"/>
        <v>0</v>
      </c>
      <c r="AX107" s="263">
        <v>13</v>
      </c>
      <c r="AY107" s="263">
        <v>5.5</v>
      </c>
      <c r="AZ107" s="228">
        <f t="shared" si="166"/>
        <v>9.25</v>
      </c>
      <c r="BA107" s="229">
        <f t="shared" si="167"/>
        <v>0</v>
      </c>
      <c r="BB107" s="236">
        <f t="shared" si="168"/>
        <v>9.25</v>
      </c>
      <c r="BC107" s="237">
        <f t="shared" si="169"/>
        <v>0</v>
      </c>
      <c r="BD107" s="239">
        <f t="shared" si="170"/>
        <v>3.8928571428571428</v>
      </c>
      <c r="BE107" s="240">
        <f t="shared" si="171"/>
        <v>0</v>
      </c>
      <c r="BF107" s="263"/>
      <c r="BG107" s="263"/>
      <c r="BH107" s="264">
        <f t="shared" si="172"/>
        <v>0</v>
      </c>
      <c r="BI107" s="265">
        <f t="shared" si="173"/>
        <v>0</v>
      </c>
      <c r="BJ107" s="263"/>
      <c r="BK107" s="263"/>
      <c r="BL107" s="264">
        <f t="shared" si="174"/>
        <v>0</v>
      </c>
      <c r="BM107" s="265">
        <f t="shared" si="175"/>
        <v>0</v>
      </c>
      <c r="BN107" s="263"/>
      <c r="BO107" s="263"/>
      <c r="BP107" s="264">
        <f t="shared" si="176"/>
        <v>0</v>
      </c>
      <c r="BQ107" s="265">
        <f t="shared" si="177"/>
        <v>0</v>
      </c>
      <c r="BR107" s="266">
        <f t="shared" si="178"/>
        <v>0</v>
      </c>
      <c r="BS107" s="267">
        <f t="shared" si="179"/>
        <v>0</v>
      </c>
      <c r="BT107" s="263"/>
      <c r="BU107" s="263"/>
      <c r="BV107" s="264">
        <f t="shared" si="180"/>
        <v>0</v>
      </c>
      <c r="BW107" s="265">
        <f t="shared" si="181"/>
        <v>0</v>
      </c>
      <c r="BX107" s="263"/>
      <c r="BY107" s="263"/>
      <c r="BZ107" s="264">
        <f t="shared" si="182"/>
        <v>0</v>
      </c>
      <c r="CA107" s="265">
        <f t="shared" si="183"/>
        <v>0</v>
      </c>
      <c r="CB107" s="268">
        <f t="shared" si="184"/>
        <v>0</v>
      </c>
      <c r="CC107" s="267">
        <f t="shared" si="185"/>
        <v>0</v>
      </c>
      <c r="CD107" s="263"/>
      <c r="CE107" s="263"/>
      <c r="CF107" s="264">
        <f t="shared" si="186"/>
        <v>0</v>
      </c>
      <c r="CG107" s="265">
        <f t="shared" si="187"/>
        <v>0</v>
      </c>
      <c r="CH107" s="268">
        <f t="shared" si="188"/>
        <v>0</v>
      </c>
      <c r="CI107" s="267">
        <f t="shared" si="189"/>
        <v>0</v>
      </c>
      <c r="CJ107" s="263"/>
      <c r="CK107" s="269">
        <f t="shared" si="190"/>
        <v>0</v>
      </c>
      <c r="CL107" s="270">
        <f t="shared" si="191"/>
        <v>0</v>
      </c>
      <c r="CM107" s="268">
        <f t="shared" si="192"/>
        <v>0</v>
      </c>
      <c r="CN107" s="267">
        <f t="shared" si="193"/>
        <v>0</v>
      </c>
      <c r="CO107" s="65">
        <f t="shared" si="194"/>
        <v>0</v>
      </c>
      <c r="CP107" s="66">
        <f t="shared" si="195"/>
        <v>0</v>
      </c>
      <c r="CQ107" s="31">
        <f t="shared" si="135"/>
        <v>3.8928571428571428</v>
      </c>
      <c r="CR107" s="32">
        <f t="shared" si="136"/>
        <v>0</v>
      </c>
      <c r="CS107" s="33">
        <f t="shared" si="137"/>
        <v>0</v>
      </c>
      <c r="CT107" s="34">
        <f t="shared" si="138"/>
        <v>0</v>
      </c>
      <c r="CU107" s="67">
        <f t="shared" si="139"/>
        <v>1.9464285714285714</v>
      </c>
      <c r="CV107" s="35">
        <f t="shared" si="140"/>
        <v>0</v>
      </c>
      <c r="CW107" s="59">
        <f t="shared" si="141"/>
        <v>0</v>
      </c>
      <c r="CX107" s="43" t="str">
        <f t="shared" si="196"/>
        <v>مؤجل(ة)</v>
      </c>
      <c r="CY107" s="44"/>
      <c r="CZ107" s="50"/>
      <c r="DA107" s="46"/>
    </row>
    <row r="108" spans="2:105" ht="27.75" customHeight="1" thickBot="1">
      <c r="B108" s="1">
        <f t="shared" si="197"/>
        <v>14</v>
      </c>
      <c r="C108" s="331" t="s">
        <v>264</v>
      </c>
      <c r="D108" s="249" t="s">
        <v>181</v>
      </c>
      <c r="E108" s="47"/>
      <c r="F108" s="135"/>
      <c r="G108" s="136"/>
      <c r="H108" s="131"/>
      <c r="I108" s="132"/>
      <c r="J108" s="133"/>
      <c r="K108" s="134"/>
      <c r="L108" s="53">
        <f t="shared" si="142"/>
        <v>0</v>
      </c>
      <c r="M108" s="58">
        <f t="shared" si="143"/>
        <v>0</v>
      </c>
      <c r="N108" s="262">
        <v>15</v>
      </c>
      <c r="O108" s="263">
        <v>3.75</v>
      </c>
      <c r="P108" s="228">
        <f t="shared" si="144"/>
        <v>9.375</v>
      </c>
      <c r="Q108" s="229">
        <f t="shared" si="145"/>
        <v>0</v>
      </c>
      <c r="R108" s="262">
        <v>11</v>
      </c>
      <c r="S108" s="263">
        <v>6.5</v>
      </c>
      <c r="T108" s="228">
        <f t="shared" si="146"/>
        <v>8.75</v>
      </c>
      <c r="U108" s="229">
        <f t="shared" si="147"/>
        <v>0</v>
      </c>
      <c r="V108" s="262">
        <v>8</v>
      </c>
      <c r="W108" s="263">
        <v>4.5</v>
      </c>
      <c r="X108" s="228">
        <f t="shared" si="148"/>
        <v>6.25</v>
      </c>
      <c r="Y108" s="229">
        <f t="shared" si="149"/>
        <v>0</v>
      </c>
      <c r="Z108" s="232">
        <f t="shared" si="150"/>
        <v>8.125</v>
      </c>
      <c r="AA108" s="233">
        <f t="shared" si="151"/>
        <v>0</v>
      </c>
      <c r="AB108" s="263">
        <v>0</v>
      </c>
      <c r="AC108" s="234">
        <f t="shared" si="152"/>
        <v>0</v>
      </c>
      <c r="AD108" s="235">
        <f t="shared" si="153"/>
        <v>0</v>
      </c>
      <c r="AE108" s="262">
        <v>5</v>
      </c>
      <c r="AF108" s="263">
        <v>5</v>
      </c>
      <c r="AG108" s="228">
        <f t="shared" si="154"/>
        <v>5</v>
      </c>
      <c r="AH108" s="229">
        <f t="shared" si="155"/>
        <v>0</v>
      </c>
      <c r="AI108" s="262">
        <v>9</v>
      </c>
      <c r="AJ108" s="263">
        <v>0</v>
      </c>
      <c r="AK108" s="228">
        <f t="shared" si="156"/>
        <v>4.5</v>
      </c>
      <c r="AL108" s="229">
        <f t="shared" si="157"/>
        <v>0</v>
      </c>
      <c r="AM108" s="236">
        <f t="shared" si="158"/>
        <v>3.8</v>
      </c>
      <c r="AN108" s="237">
        <f t="shared" si="159"/>
        <v>0</v>
      </c>
      <c r="AO108" s="262">
        <v>11.5</v>
      </c>
      <c r="AP108" s="263">
        <v>2</v>
      </c>
      <c r="AQ108" s="228">
        <f t="shared" si="160"/>
        <v>6.75</v>
      </c>
      <c r="AR108" s="229">
        <f t="shared" si="161"/>
        <v>0</v>
      </c>
      <c r="AS108" s="263">
        <v>8</v>
      </c>
      <c r="AT108" s="234">
        <f t="shared" si="162"/>
        <v>8</v>
      </c>
      <c r="AU108" s="238">
        <f t="shared" si="163"/>
        <v>0</v>
      </c>
      <c r="AV108" s="236">
        <f t="shared" si="164"/>
        <v>7.375</v>
      </c>
      <c r="AW108" s="237">
        <f t="shared" si="165"/>
        <v>0</v>
      </c>
      <c r="AX108" s="263">
        <v>14</v>
      </c>
      <c r="AY108" s="263">
        <v>4.5</v>
      </c>
      <c r="AZ108" s="228">
        <f t="shared" si="166"/>
        <v>9.25</v>
      </c>
      <c r="BA108" s="229">
        <f t="shared" si="167"/>
        <v>0</v>
      </c>
      <c r="BB108" s="236">
        <f t="shared" si="168"/>
        <v>9.25</v>
      </c>
      <c r="BC108" s="237">
        <f t="shared" si="169"/>
        <v>0</v>
      </c>
      <c r="BD108" s="239">
        <f t="shared" si="170"/>
        <v>6.5535714285714288</v>
      </c>
      <c r="BE108" s="240">
        <f t="shared" si="171"/>
        <v>0</v>
      </c>
      <c r="BF108" s="263"/>
      <c r="BG108" s="263"/>
      <c r="BH108" s="264">
        <f t="shared" si="172"/>
        <v>0</v>
      </c>
      <c r="BI108" s="265">
        <f t="shared" si="173"/>
        <v>0</v>
      </c>
      <c r="BJ108" s="263"/>
      <c r="BK108" s="263"/>
      <c r="BL108" s="264">
        <f t="shared" si="174"/>
        <v>0</v>
      </c>
      <c r="BM108" s="265">
        <f t="shared" si="175"/>
        <v>0</v>
      </c>
      <c r="BN108" s="263"/>
      <c r="BO108" s="263"/>
      <c r="BP108" s="264">
        <f t="shared" si="176"/>
        <v>0</v>
      </c>
      <c r="BQ108" s="265">
        <f t="shared" si="177"/>
        <v>0</v>
      </c>
      <c r="BR108" s="266">
        <f t="shared" si="178"/>
        <v>0</v>
      </c>
      <c r="BS108" s="267">
        <f t="shared" si="179"/>
        <v>0</v>
      </c>
      <c r="BT108" s="263"/>
      <c r="BU108" s="263"/>
      <c r="BV108" s="264">
        <f t="shared" si="180"/>
        <v>0</v>
      </c>
      <c r="BW108" s="265">
        <f t="shared" si="181"/>
        <v>0</v>
      </c>
      <c r="BX108" s="263"/>
      <c r="BY108" s="263"/>
      <c r="BZ108" s="264">
        <f t="shared" si="182"/>
        <v>0</v>
      </c>
      <c r="CA108" s="265">
        <f t="shared" si="183"/>
        <v>0</v>
      </c>
      <c r="CB108" s="268">
        <f t="shared" si="184"/>
        <v>0</v>
      </c>
      <c r="CC108" s="267">
        <f t="shared" si="185"/>
        <v>0</v>
      </c>
      <c r="CD108" s="263"/>
      <c r="CE108" s="263"/>
      <c r="CF108" s="264">
        <f t="shared" si="186"/>
        <v>0</v>
      </c>
      <c r="CG108" s="265">
        <f t="shared" si="187"/>
        <v>0</v>
      </c>
      <c r="CH108" s="268">
        <f t="shared" si="188"/>
        <v>0</v>
      </c>
      <c r="CI108" s="267">
        <f t="shared" si="189"/>
        <v>0</v>
      </c>
      <c r="CJ108" s="263"/>
      <c r="CK108" s="269">
        <f t="shared" si="190"/>
        <v>0</v>
      </c>
      <c r="CL108" s="270">
        <f t="shared" si="191"/>
        <v>0</v>
      </c>
      <c r="CM108" s="268">
        <f t="shared" si="192"/>
        <v>0</v>
      </c>
      <c r="CN108" s="267">
        <f t="shared" si="193"/>
        <v>0</v>
      </c>
      <c r="CO108" s="65">
        <f t="shared" si="194"/>
        <v>0</v>
      </c>
      <c r="CP108" s="66">
        <f t="shared" si="195"/>
        <v>0</v>
      </c>
      <c r="CQ108" s="31">
        <f t="shared" si="135"/>
        <v>6.5535714285714288</v>
      </c>
      <c r="CR108" s="32">
        <f t="shared" si="136"/>
        <v>0</v>
      </c>
      <c r="CS108" s="33">
        <f t="shared" si="137"/>
        <v>0</v>
      </c>
      <c r="CT108" s="34">
        <f t="shared" si="138"/>
        <v>0</v>
      </c>
      <c r="CU108" s="67">
        <f t="shared" si="139"/>
        <v>3.2767857142857144</v>
      </c>
      <c r="CV108" s="35">
        <f t="shared" si="140"/>
        <v>0</v>
      </c>
      <c r="CW108" s="59">
        <f t="shared" si="141"/>
        <v>0</v>
      </c>
      <c r="CX108" s="43" t="str">
        <f t="shared" si="196"/>
        <v>مؤجل(ة)</v>
      </c>
      <c r="CZ108" s="51"/>
      <c r="DA108" s="46"/>
    </row>
    <row r="109" spans="2:105" ht="27.75" customHeight="1" thickBot="1">
      <c r="B109" s="1">
        <f t="shared" si="197"/>
        <v>15</v>
      </c>
      <c r="C109" s="329" t="s">
        <v>650</v>
      </c>
      <c r="D109" s="249" t="s">
        <v>651</v>
      </c>
      <c r="E109" s="47"/>
      <c r="F109" s="135"/>
      <c r="G109" s="136"/>
      <c r="H109" s="131"/>
      <c r="I109" s="132"/>
      <c r="J109" s="133"/>
      <c r="K109" s="134"/>
      <c r="L109" s="53">
        <f t="shared" si="142"/>
        <v>0</v>
      </c>
      <c r="M109" s="58">
        <f t="shared" si="143"/>
        <v>0</v>
      </c>
      <c r="N109" s="262">
        <v>6.5</v>
      </c>
      <c r="O109" s="263">
        <v>3</v>
      </c>
      <c r="P109" s="228">
        <f t="shared" si="144"/>
        <v>4.75</v>
      </c>
      <c r="Q109" s="229">
        <f t="shared" si="145"/>
        <v>0</v>
      </c>
      <c r="R109" s="262">
        <v>10.5</v>
      </c>
      <c r="S109" s="263">
        <v>6.5</v>
      </c>
      <c r="T109" s="228">
        <f t="shared" si="146"/>
        <v>8.5</v>
      </c>
      <c r="U109" s="229">
        <f t="shared" si="147"/>
        <v>0</v>
      </c>
      <c r="V109" s="262">
        <v>8</v>
      </c>
      <c r="W109" s="263">
        <v>6.5</v>
      </c>
      <c r="X109" s="228">
        <f t="shared" si="148"/>
        <v>7.25</v>
      </c>
      <c r="Y109" s="229">
        <f t="shared" si="149"/>
        <v>0</v>
      </c>
      <c r="Z109" s="232">
        <f t="shared" si="150"/>
        <v>6.833333333333333</v>
      </c>
      <c r="AA109" s="233">
        <f t="shared" si="151"/>
        <v>0</v>
      </c>
      <c r="AB109" s="263">
        <v>15</v>
      </c>
      <c r="AC109" s="234">
        <f t="shared" si="152"/>
        <v>15</v>
      </c>
      <c r="AD109" s="235">
        <f t="shared" si="153"/>
        <v>1</v>
      </c>
      <c r="AE109" s="262">
        <v>7.5</v>
      </c>
      <c r="AF109" s="263">
        <v>7.5</v>
      </c>
      <c r="AG109" s="228">
        <f t="shared" si="154"/>
        <v>7.5</v>
      </c>
      <c r="AH109" s="229">
        <f t="shared" si="155"/>
        <v>0</v>
      </c>
      <c r="AI109" s="262">
        <v>14</v>
      </c>
      <c r="AJ109" s="263">
        <v>7</v>
      </c>
      <c r="AK109" s="228">
        <f t="shared" si="156"/>
        <v>10.5</v>
      </c>
      <c r="AL109" s="229">
        <f t="shared" si="157"/>
        <v>3</v>
      </c>
      <c r="AM109" s="236">
        <f t="shared" si="158"/>
        <v>10.199999999999999</v>
      </c>
      <c r="AN109" s="237">
        <f t="shared" si="159"/>
        <v>7</v>
      </c>
      <c r="AO109" s="262">
        <v>11.5</v>
      </c>
      <c r="AP109" s="263">
        <v>2</v>
      </c>
      <c r="AQ109" s="228">
        <f t="shared" si="160"/>
        <v>6.75</v>
      </c>
      <c r="AR109" s="229">
        <f t="shared" si="161"/>
        <v>0</v>
      </c>
      <c r="AS109" s="263">
        <v>9</v>
      </c>
      <c r="AT109" s="234">
        <f t="shared" si="162"/>
        <v>9</v>
      </c>
      <c r="AU109" s="238">
        <f t="shared" si="163"/>
        <v>0</v>
      </c>
      <c r="AV109" s="236">
        <f t="shared" si="164"/>
        <v>7.875</v>
      </c>
      <c r="AW109" s="237">
        <f t="shared" si="165"/>
        <v>0</v>
      </c>
      <c r="AX109" s="263">
        <v>15.5</v>
      </c>
      <c r="AY109" s="263">
        <v>12</v>
      </c>
      <c r="AZ109" s="228">
        <f t="shared" si="166"/>
        <v>13.75</v>
      </c>
      <c r="BA109" s="229">
        <f t="shared" si="167"/>
        <v>1</v>
      </c>
      <c r="BB109" s="236">
        <f t="shared" si="168"/>
        <v>13.75</v>
      </c>
      <c r="BC109" s="237">
        <f t="shared" si="169"/>
        <v>1</v>
      </c>
      <c r="BD109" s="239">
        <f t="shared" si="170"/>
        <v>8.6785714285714288</v>
      </c>
      <c r="BE109" s="240">
        <f t="shared" si="171"/>
        <v>8</v>
      </c>
      <c r="BF109" s="263"/>
      <c r="BG109" s="263"/>
      <c r="BH109" s="264">
        <f t="shared" si="172"/>
        <v>0</v>
      </c>
      <c r="BI109" s="265">
        <f t="shared" si="173"/>
        <v>0</v>
      </c>
      <c r="BJ109" s="263"/>
      <c r="BK109" s="263"/>
      <c r="BL109" s="264">
        <f t="shared" si="174"/>
        <v>0</v>
      </c>
      <c r="BM109" s="265">
        <f t="shared" si="175"/>
        <v>0</v>
      </c>
      <c r="BN109" s="263"/>
      <c r="BO109" s="263"/>
      <c r="BP109" s="264">
        <f t="shared" si="176"/>
        <v>0</v>
      </c>
      <c r="BQ109" s="265">
        <f t="shared" si="177"/>
        <v>0</v>
      </c>
      <c r="BR109" s="266">
        <f t="shared" si="178"/>
        <v>0</v>
      </c>
      <c r="BS109" s="267">
        <f t="shared" si="179"/>
        <v>0</v>
      </c>
      <c r="BT109" s="263"/>
      <c r="BU109" s="263"/>
      <c r="BV109" s="264">
        <f t="shared" si="180"/>
        <v>0</v>
      </c>
      <c r="BW109" s="265">
        <f t="shared" si="181"/>
        <v>0</v>
      </c>
      <c r="BX109" s="263"/>
      <c r="BY109" s="263"/>
      <c r="BZ109" s="264">
        <f t="shared" si="182"/>
        <v>0</v>
      </c>
      <c r="CA109" s="265">
        <f t="shared" si="183"/>
        <v>0</v>
      </c>
      <c r="CB109" s="268">
        <f t="shared" si="184"/>
        <v>0</v>
      </c>
      <c r="CC109" s="267">
        <f t="shared" si="185"/>
        <v>0</v>
      </c>
      <c r="CD109" s="263"/>
      <c r="CE109" s="263"/>
      <c r="CF109" s="264">
        <f t="shared" si="186"/>
        <v>0</v>
      </c>
      <c r="CG109" s="265">
        <f t="shared" si="187"/>
        <v>0</v>
      </c>
      <c r="CH109" s="268">
        <f t="shared" si="188"/>
        <v>0</v>
      </c>
      <c r="CI109" s="267">
        <f t="shared" si="189"/>
        <v>0</v>
      </c>
      <c r="CJ109" s="263"/>
      <c r="CK109" s="269">
        <f t="shared" si="190"/>
        <v>0</v>
      </c>
      <c r="CL109" s="270">
        <f t="shared" si="191"/>
        <v>0</v>
      </c>
      <c r="CM109" s="268">
        <f t="shared" si="192"/>
        <v>0</v>
      </c>
      <c r="CN109" s="267">
        <f t="shared" si="193"/>
        <v>0</v>
      </c>
      <c r="CO109" s="65">
        <f t="shared" si="194"/>
        <v>0</v>
      </c>
      <c r="CP109" s="66">
        <f t="shared" si="195"/>
        <v>0</v>
      </c>
      <c r="CQ109" s="31">
        <f t="shared" si="135"/>
        <v>8.6785714285714288</v>
      </c>
      <c r="CR109" s="32">
        <f t="shared" si="136"/>
        <v>8</v>
      </c>
      <c r="CS109" s="33">
        <f t="shared" si="137"/>
        <v>0</v>
      </c>
      <c r="CT109" s="34">
        <f t="shared" si="138"/>
        <v>0</v>
      </c>
      <c r="CU109" s="67">
        <f t="shared" si="139"/>
        <v>4.3392857142857144</v>
      </c>
      <c r="CV109" s="35">
        <f t="shared" si="140"/>
        <v>8</v>
      </c>
      <c r="CW109" s="59">
        <f t="shared" si="141"/>
        <v>8</v>
      </c>
      <c r="CX109" s="43" t="str">
        <f t="shared" si="196"/>
        <v>مؤجل(ة)</v>
      </c>
      <c r="CZ109" s="51"/>
      <c r="DA109" s="46"/>
    </row>
    <row r="110" spans="2:105" ht="27.75" customHeight="1" thickBot="1">
      <c r="B110" s="1">
        <f t="shared" si="197"/>
        <v>16</v>
      </c>
      <c r="C110" s="328" t="s">
        <v>652</v>
      </c>
      <c r="D110" s="249" t="s">
        <v>808</v>
      </c>
      <c r="E110" s="137" t="s">
        <v>801</v>
      </c>
      <c r="F110" s="135">
        <v>34496</v>
      </c>
      <c r="G110" s="136" t="s">
        <v>110</v>
      </c>
      <c r="H110" s="131"/>
      <c r="I110" s="132"/>
      <c r="J110" s="133"/>
      <c r="K110" s="134"/>
      <c r="L110" s="53">
        <f t="shared" si="142"/>
        <v>0</v>
      </c>
      <c r="M110" s="58">
        <f t="shared" si="143"/>
        <v>0</v>
      </c>
      <c r="N110" s="262">
        <v>10</v>
      </c>
      <c r="O110" s="263">
        <v>10</v>
      </c>
      <c r="P110" s="228">
        <f t="shared" si="144"/>
        <v>10</v>
      </c>
      <c r="Q110" s="229">
        <f t="shared" si="145"/>
        <v>5</v>
      </c>
      <c r="R110" s="262"/>
      <c r="S110" s="263"/>
      <c r="T110" s="228">
        <f t="shared" si="146"/>
        <v>0</v>
      </c>
      <c r="U110" s="229">
        <f t="shared" si="147"/>
        <v>0</v>
      </c>
      <c r="V110" s="262"/>
      <c r="W110" s="263"/>
      <c r="X110" s="228">
        <f t="shared" si="148"/>
        <v>0</v>
      </c>
      <c r="Y110" s="229">
        <f t="shared" si="149"/>
        <v>0</v>
      </c>
      <c r="Z110" s="232">
        <f t="shared" si="150"/>
        <v>3.3333333333333335</v>
      </c>
      <c r="AA110" s="233">
        <f t="shared" si="151"/>
        <v>5</v>
      </c>
      <c r="AB110" s="263"/>
      <c r="AC110" s="234">
        <f t="shared" si="152"/>
        <v>0</v>
      </c>
      <c r="AD110" s="235">
        <f t="shared" si="153"/>
        <v>0</v>
      </c>
      <c r="AE110" s="262"/>
      <c r="AF110" s="263"/>
      <c r="AG110" s="228">
        <f t="shared" si="154"/>
        <v>0</v>
      </c>
      <c r="AH110" s="229">
        <f t="shared" si="155"/>
        <v>0</v>
      </c>
      <c r="AI110" s="262"/>
      <c r="AJ110" s="263"/>
      <c r="AK110" s="228">
        <f t="shared" si="156"/>
        <v>0</v>
      </c>
      <c r="AL110" s="229">
        <f t="shared" si="157"/>
        <v>0</v>
      </c>
      <c r="AM110" s="236">
        <f t="shared" si="158"/>
        <v>0</v>
      </c>
      <c r="AN110" s="237">
        <f t="shared" si="159"/>
        <v>0</v>
      </c>
      <c r="AO110" s="262"/>
      <c r="AP110" s="263"/>
      <c r="AQ110" s="228">
        <f t="shared" si="160"/>
        <v>0</v>
      </c>
      <c r="AR110" s="229">
        <f t="shared" si="161"/>
        <v>0</v>
      </c>
      <c r="AS110" s="263"/>
      <c r="AT110" s="234">
        <f t="shared" si="162"/>
        <v>0</v>
      </c>
      <c r="AU110" s="238">
        <f t="shared" si="163"/>
        <v>0</v>
      </c>
      <c r="AV110" s="236">
        <f t="shared" si="164"/>
        <v>0</v>
      </c>
      <c r="AW110" s="237">
        <f t="shared" si="165"/>
        <v>0</v>
      </c>
      <c r="AX110" s="263"/>
      <c r="AY110" s="263"/>
      <c r="AZ110" s="228">
        <f t="shared" si="166"/>
        <v>0</v>
      </c>
      <c r="BA110" s="229">
        <f t="shared" si="167"/>
        <v>0</v>
      </c>
      <c r="BB110" s="236">
        <f t="shared" si="168"/>
        <v>0</v>
      </c>
      <c r="BC110" s="237">
        <f t="shared" si="169"/>
        <v>0</v>
      </c>
      <c r="BD110" s="239">
        <f t="shared" si="170"/>
        <v>1.4285714285714286</v>
      </c>
      <c r="BE110" s="240">
        <f t="shared" si="171"/>
        <v>5</v>
      </c>
      <c r="BF110" s="263"/>
      <c r="BG110" s="263"/>
      <c r="BH110" s="264">
        <f t="shared" si="172"/>
        <v>0</v>
      </c>
      <c r="BI110" s="265">
        <f t="shared" si="173"/>
        <v>0</v>
      </c>
      <c r="BJ110" s="263"/>
      <c r="BK110" s="263"/>
      <c r="BL110" s="264">
        <f t="shared" si="174"/>
        <v>0</v>
      </c>
      <c r="BM110" s="265">
        <f t="shared" si="175"/>
        <v>0</v>
      </c>
      <c r="BN110" s="263"/>
      <c r="BO110" s="263"/>
      <c r="BP110" s="264">
        <f t="shared" si="176"/>
        <v>0</v>
      </c>
      <c r="BQ110" s="265">
        <f t="shared" si="177"/>
        <v>0</v>
      </c>
      <c r="BR110" s="266">
        <f t="shared" si="178"/>
        <v>0</v>
      </c>
      <c r="BS110" s="267">
        <f t="shared" si="179"/>
        <v>0</v>
      </c>
      <c r="BT110" s="263"/>
      <c r="BU110" s="263"/>
      <c r="BV110" s="264">
        <f t="shared" si="180"/>
        <v>0</v>
      </c>
      <c r="BW110" s="265">
        <f t="shared" si="181"/>
        <v>0</v>
      </c>
      <c r="BX110" s="263"/>
      <c r="BY110" s="263"/>
      <c r="BZ110" s="264">
        <f t="shared" si="182"/>
        <v>0</v>
      </c>
      <c r="CA110" s="265">
        <f t="shared" si="183"/>
        <v>0</v>
      </c>
      <c r="CB110" s="268">
        <f t="shared" si="184"/>
        <v>0</v>
      </c>
      <c r="CC110" s="267">
        <f t="shared" si="185"/>
        <v>0</v>
      </c>
      <c r="CD110" s="263"/>
      <c r="CE110" s="263"/>
      <c r="CF110" s="264">
        <f t="shared" si="186"/>
        <v>0</v>
      </c>
      <c r="CG110" s="265">
        <f t="shared" si="187"/>
        <v>0</v>
      </c>
      <c r="CH110" s="268">
        <f t="shared" si="188"/>
        <v>0</v>
      </c>
      <c r="CI110" s="267">
        <f t="shared" si="189"/>
        <v>0</v>
      </c>
      <c r="CJ110" s="263"/>
      <c r="CK110" s="269">
        <f t="shared" si="190"/>
        <v>0</v>
      </c>
      <c r="CL110" s="270">
        <f t="shared" si="191"/>
        <v>0</v>
      </c>
      <c r="CM110" s="268">
        <f t="shared" si="192"/>
        <v>0</v>
      </c>
      <c r="CN110" s="267">
        <f t="shared" si="193"/>
        <v>0</v>
      </c>
      <c r="CO110" s="65">
        <f t="shared" si="194"/>
        <v>0</v>
      </c>
      <c r="CP110" s="66">
        <f t="shared" si="195"/>
        <v>0</v>
      </c>
      <c r="CQ110" s="31">
        <f t="shared" si="135"/>
        <v>1.4285714285714286</v>
      </c>
      <c r="CR110" s="32">
        <f t="shared" si="136"/>
        <v>5</v>
      </c>
      <c r="CS110" s="33">
        <f t="shared" si="137"/>
        <v>0</v>
      </c>
      <c r="CT110" s="34">
        <f t="shared" si="138"/>
        <v>0</v>
      </c>
      <c r="CU110" s="67">
        <f t="shared" si="139"/>
        <v>0.7142857142857143</v>
      </c>
      <c r="CV110" s="35">
        <f t="shared" si="140"/>
        <v>5</v>
      </c>
      <c r="CW110" s="59">
        <f t="shared" si="141"/>
        <v>5</v>
      </c>
      <c r="CX110" s="43" t="str">
        <f t="shared" si="196"/>
        <v>مؤجل(ة)</v>
      </c>
      <c r="CY110" s="44"/>
      <c r="CZ110" s="50"/>
      <c r="DA110" s="46"/>
    </row>
    <row r="111" spans="2:105" ht="27.75" customHeight="1" thickBot="1">
      <c r="B111" s="1">
        <f t="shared" si="197"/>
        <v>17</v>
      </c>
      <c r="C111" s="328" t="s">
        <v>653</v>
      </c>
      <c r="D111" s="249" t="s">
        <v>654</v>
      </c>
      <c r="E111" s="47"/>
      <c r="F111" s="135"/>
      <c r="G111" s="136"/>
      <c r="H111" s="131"/>
      <c r="I111" s="132"/>
      <c r="J111" s="133"/>
      <c r="K111" s="134"/>
      <c r="L111" s="53">
        <f t="shared" si="142"/>
        <v>0</v>
      </c>
      <c r="M111" s="58">
        <f t="shared" si="143"/>
        <v>0</v>
      </c>
      <c r="N111" s="262">
        <v>7.5</v>
      </c>
      <c r="O111" s="263">
        <v>3</v>
      </c>
      <c r="P111" s="228">
        <f t="shared" si="144"/>
        <v>5.25</v>
      </c>
      <c r="Q111" s="229">
        <f t="shared" si="145"/>
        <v>0</v>
      </c>
      <c r="R111" s="262">
        <v>12.5</v>
      </c>
      <c r="S111" s="263">
        <v>5.75</v>
      </c>
      <c r="T111" s="228">
        <f t="shared" si="146"/>
        <v>9.125</v>
      </c>
      <c r="U111" s="229">
        <f t="shared" si="147"/>
        <v>0</v>
      </c>
      <c r="V111" s="262">
        <v>5.5</v>
      </c>
      <c r="W111" s="263">
        <v>4</v>
      </c>
      <c r="X111" s="228">
        <f t="shared" si="148"/>
        <v>4.75</v>
      </c>
      <c r="Y111" s="229">
        <f t="shared" si="149"/>
        <v>0</v>
      </c>
      <c r="Z111" s="232">
        <f t="shared" si="150"/>
        <v>6.375</v>
      </c>
      <c r="AA111" s="233">
        <f t="shared" si="151"/>
        <v>0</v>
      </c>
      <c r="AB111" s="263">
        <v>14.5</v>
      </c>
      <c r="AC111" s="234">
        <f t="shared" si="152"/>
        <v>14.5</v>
      </c>
      <c r="AD111" s="235">
        <f t="shared" si="153"/>
        <v>1</v>
      </c>
      <c r="AE111" s="262">
        <v>10.25</v>
      </c>
      <c r="AF111" s="263">
        <v>10.25</v>
      </c>
      <c r="AG111" s="228">
        <f t="shared" si="154"/>
        <v>10.25</v>
      </c>
      <c r="AH111" s="229">
        <f t="shared" si="155"/>
        <v>3</v>
      </c>
      <c r="AI111" s="262">
        <v>11.75</v>
      </c>
      <c r="AJ111" s="263">
        <v>2.5</v>
      </c>
      <c r="AK111" s="228">
        <f t="shared" si="156"/>
        <v>7.125</v>
      </c>
      <c r="AL111" s="229">
        <f t="shared" si="157"/>
        <v>0</v>
      </c>
      <c r="AM111" s="236">
        <f t="shared" si="158"/>
        <v>9.85</v>
      </c>
      <c r="AN111" s="237">
        <f t="shared" si="159"/>
        <v>4</v>
      </c>
      <c r="AO111" s="262">
        <v>11.5</v>
      </c>
      <c r="AP111" s="263">
        <v>3</v>
      </c>
      <c r="AQ111" s="228">
        <f t="shared" si="160"/>
        <v>7.25</v>
      </c>
      <c r="AR111" s="229">
        <f t="shared" si="161"/>
        <v>0</v>
      </c>
      <c r="AS111" s="263">
        <v>10.5</v>
      </c>
      <c r="AT111" s="234">
        <f t="shared" si="162"/>
        <v>10.5</v>
      </c>
      <c r="AU111" s="238">
        <f t="shared" si="163"/>
        <v>1</v>
      </c>
      <c r="AV111" s="236">
        <f t="shared" si="164"/>
        <v>8.875</v>
      </c>
      <c r="AW111" s="237">
        <f t="shared" si="165"/>
        <v>1</v>
      </c>
      <c r="AX111" s="263">
        <v>15.5</v>
      </c>
      <c r="AY111" s="263">
        <v>12.5</v>
      </c>
      <c r="AZ111" s="228">
        <f t="shared" si="166"/>
        <v>14</v>
      </c>
      <c r="BA111" s="229">
        <f t="shared" si="167"/>
        <v>1</v>
      </c>
      <c r="BB111" s="236">
        <f t="shared" si="168"/>
        <v>14</v>
      </c>
      <c r="BC111" s="237">
        <f t="shared" si="169"/>
        <v>1</v>
      </c>
      <c r="BD111" s="239">
        <f t="shared" si="170"/>
        <v>8.5178571428571423</v>
      </c>
      <c r="BE111" s="240">
        <f t="shared" si="171"/>
        <v>6</v>
      </c>
      <c r="BF111" s="263"/>
      <c r="BG111" s="263"/>
      <c r="BH111" s="264">
        <f t="shared" si="172"/>
        <v>0</v>
      </c>
      <c r="BI111" s="265">
        <f t="shared" si="173"/>
        <v>0</v>
      </c>
      <c r="BJ111" s="263"/>
      <c r="BK111" s="263"/>
      <c r="BL111" s="264">
        <f t="shared" si="174"/>
        <v>0</v>
      </c>
      <c r="BM111" s="265">
        <f t="shared" si="175"/>
        <v>0</v>
      </c>
      <c r="BN111" s="263"/>
      <c r="BO111" s="263"/>
      <c r="BP111" s="264">
        <f t="shared" si="176"/>
        <v>0</v>
      </c>
      <c r="BQ111" s="265">
        <f t="shared" si="177"/>
        <v>0</v>
      </c>
      <c r="BR111" s="266">
        <f t="shared" si="178"/>
        <v>0</v>
      </c>
      <c r="BS111" s="267">
        <f t="shared" si="179"/>
        <v>0</v>
      </c>
      <c r="BT111" s="263"/>
      <c r="BU111" s="263"/>
      <c r="BV111" s="264">
        <f t="shared" si="180"/>
        <v>0</v>
      </c>
      <c r="BW111" s="265">
        <f t="shared" si="181"/>
        <v>0</v>
      </c>
      <c r="BX111" s="263"/>
      <c r="BY111" s="263"/>
      <c r="BZ111" s="264">
        <f t="shared" si="182"/>
        <v>0</v>
      </c>
      <c r="CA111" s="265">
        <f t="shared" si="183"/>
        <v>0</v>
      </c>
      <c r="CB111" s="268">
        <f t="shared" si="184"/>
        <v>0</v>
      </c>
      <c r="CC111" s="267">
        <f t="shared" si="185"/>
        <v>0</v>
      </c>
      <c r="CD111" s="263"/>
      <c r="CE111" s="263"/>
      <c r="CF111" s="264">
        <f t="shared" si="186"/>
        <v>0</v>
      </c>
      <c r="CG111" s="265">
        <f t="shared" si="187"/>
        <v>0</v>
      </c>
      <c r="CH111" s="268">
        <f t="shared" si="188"/>
        <v>0</v>
      </c>
      <c r="CI111" s="267">
        <f t="shared" si="189"/>
        <v>0</v>
      </c>
      <c r="CJ111" s="263"/>
      <c r="CK111" s="269">
        <f t="shared" si="190"/>
        <v>0</v>
      </c>
      <c r="CL111" s="270">
        <f t="shared" si="191"/>
        <v>0</v>
      </c>
      <c r="CM111" s="268">
        <f t="shared" si="192"/>
        <v>0</v>
      </c>
      <c r="CN111" s="267">
        <f t="shared" si="193"/>
        <v>0</v>
      </c>
      <c r="CO111" s="65">
        <f t="shared" si="194"/>
        <v>0</v>
      </c>
      <c r="CP111" s="66">
        <f t="shared" si="195"/>
        <v>0</v>
      </c>
      <c r="CQ111" s="31">
        <f t="shared" si="135"/>
        <v>8.5178571428571423</v>
      </c>
      <c r="CR111" s="32">
        <f t="shared" si="136"/>
        <v>6</v>
      </c>
      <c r="CS111" s="33">
        <f t="shared" si="137"/>
        <v>0</v>
      </c>
      <c r="CT111" s="34">
        <f t="shared" si="138"/>
        <v>0</v>
      </c>
      <c r="CU111" s="67">
        <f t="shared" si="139"/>
        <v>4.2589285714285712</v>
      </c>
      <c r="CV111" s="35">
        <f t="shared" si="140"/>
        <v>6</v>
      </c>
      <c r="CW111" s="59">
        <f t="shared" si="141"/>
        <v>6</v>
      </c>
      <c r="CX111" s="43" t="str">
        <f t="shared" si="196"/>
        <v>مؤجل(ة)</v>
      </c>
      <c r="CY111" s="44"/>
      <c r="CZ111" s="50"/>
      <c r="DA111" s="46"/>
    </row>
    <row r="112" spans="2:105" ht="27.75" customHeight="1" thickBot="1">
      <c r="B112" s="1">
        <f t="shared" si="197"/>
        <v>18</v>
      </c>
      <c r="C112" s="329" t="s">
        <v>655</v>
      </c>
      <c r="D112" s="249" t="s">
        <v>656</v>
      </c>
      <c r="E112" s="47"/>
      <c r="F112" s="135"/>
      <c r="G112" s="52"/>
      <c r="H112" s="131"/>
      <c r="I112" s="132"/>
      <c r="J112" s="133"/>
      <c r="K112" s="134"/>
      <c r="L112" s="53">
        <f t="shared" si="142"/>
        <v>0</v>
      </c>
      <c r="M112" s="58">
        <f t="shared" si="143"/>
        <v>0</v>
      </c>
      <c r="N112" s="262">
        <v>4</v>
      </c>
      <c r="O112" s="263">
        <v>4.5</v>
      </c>
      <c r="P112" s="228">
        <f t="shared" si="144"/>
        <v>4.25</v>
      </c>
      <c r="Q112" s="229">
        <f t="shared" si="145"/>
        <v>0</v>
      </c>
      <c r="R112" s="262">
        <v>12.5</v>
      </c>
      <c r="S112" s="263">
        <v>4.25</v>
      </c>
      <c r="T112" s="228">
        <f t="shared" si="146"/>
        <v>8.375</v>
      </c>
      <c r="U112" s="229">
        <f t="shared" si="147"/>
        <v>0</v>
      </c>
      <c r="V112" s="262">
        <v>4</v>
      </c>
      <c r="W112" s="263">
        <v>1</v>
      </c>
      <c r="X112" s="228">
        <f t="shared" si="148"/>
        <v>2.5</v>
      </c>
      <c r="Y112" s="229">
        <f t="shared" si="149"/>
        <v>0</v>
      </c>
      <c r="Z112" s="232">
        <f t="shared" si="150"/>
        <v>5.041666666666667</v>
      </c>
      <c r="AA112" s="233">
        <f t="shared" si="151"/>
        <v>0</v>
      </c>
      <c r="AB112" s="263">
        <v>8</v>
      </c>
      <c r="AC112" s="234">
        <f t="shared" si="152"/>
        <v>8</v>
      </c>
      <c r="AD112" s="235">
        <f t="shared" si="153"/>
        <v>0</v>
      </c>
      <c r="AE112" s="262">
        <v>2.5</v>
      </c>
      <c r="AF112" s="263">
        <v>2.5</v>
      </c>
      <c r="AG112" s="228">
        <f t="shared" si="154"/>
        <v>2.5</v>
      </c>
      <c r="AH112" s="229">
        <f t="shared" si="155"/>
        <v>0</v>
      </c>
      <c r="AI112" s="262">
        <v>9</v>
      </c>
      <c r="AJ112" s="263">
        <v>2.5</v>
      </c>
      <c r="AK112" s="228">
        <f t="shared" si="156"/>
        <v>5.75</v>
      </c>
      <c r="AL112" s="229">
        <f t="shared" si="157"/>
        <v>0</v>
      </c>
      <c r="AM112" s="236">
        <f t="shared" si="158"/>
        <v>4.9000000000000004</v>
      </c>
      <c r="AN112" s="237">
        <f t="shared" si="159"/>
        <v>0</v>
      </c>
      <c r="AO112" s="262">
        <v>11.5</v>
      </c>
      <c r="AP112" s="263">
        <v>3</v>
      </c>
      <c r="AQ112" s="228">
        <f t="shared" si="160"/>
        <v>7.25</v>
      </c>
      <c r="AR112" s="229">
        <f t="shared" si="161"/>
        <v>0</v>
      </c>
      <c r="AS112" s="263">
        <v>4</v>
      </c>
      <c r="AT112" s="234">
        <f t="shared" si="162"/>
        <v>4</v>
      </c>
      <c r="AU112" s="238">
        <f t="shared" si="163"/>
        <v>0</v>
      </c>
      <c r="AV112" s="236">
        <f t="shared" si="164"/>
        <v>5.625</v>
      </c>
      <c r="AW112" s="237">
        <f t="shared" si="165"/>
        <v>0</v>
      </c>
      <c r="AX112" s="263">
        <v>11</v>
      </c>
      <c r="AY112" s="263">
        <v>4.5</v>
      </c>
      <c r="AZ112" s="228">
        <f t="shared" si="166"/>
        <v>7.75</v>
      </c>
      <c r="BA112" s="229">
        <f t="shared" si="167"/>
        <v>0</v>
      </c>
      <c r="BB112" s="236">
        <f t="shared" si="168"/>
        <v>7.75</v>
      </c>
      <c r="BC112" s="237">
        <f t="shared" si="169"/>
        <v>0</v>
      </c>
      <c r="BD112" s="239">
        <f t="shared" si="170"/>
        <v>5.2678571428571432</v>
      </c>
      <c r="BE112" s="240">
        <f t="shared" si="171"/>
        <v>0</v>
      </c>
      <c r="BF112" s="263"/>
      <c r="BG112" s="263"/>
      <c r="BH112" s="264">
        <f t="shared" si="172"/>
        <v>0</v>
      </c>
      <c r="BI112" s="265">
        <f t="shared" si="173"/>
        <v>0</v>
      </c>
      <c r="BJ112" s="263"/>
      <c r="BK112" s="263"/>
      <c r="BL112" s="264">
        <f t="shared" si="174"/>
        <v>0</v>
      </c>
      <c r="BM112" s="265">
        <f t="shared" si="175"/>
        <v>0</v>
      </c>
      <c r="BN112" s="263"/>
      <c r="BO112" s="263"/>
      <c r="BP112" s="264">
        <f t="shared" si="176"/>
        <v>0</v>
      </c>
      <c r="BQ112" s="265">
        <f t="shared" si="177"/>
        <v>0</v>
      </c>
      <c r="BR112" s="266">
        <f t="shared" si="178"/>
        <v>0</v>
      </c>
      <c r="BS112" s="267">
        <f t="shared" si="179"/>
        <v>0</v>
      </c>
      <c r="BT112" s="263"/>
      <c r="BU112" s="263"/>
      <c r="BV112" s="264">
        <f t="shared" si="180"/>
        <v>0</v>
      </c>
      <c r="BW112" s="265">
        <f t="shared" si="181"/>
        <v>0</v>
      </c>
      <c r="BX112" s="263"/>
      <c r="BY112" s="263"/>
      <c r="BZ112" s="264">
        <f t="shared" si="182"/>
        <v>0</v>
      </c>
      <c r="CA112" s="265">
        <f t="shared" si="183"/>
        <v>0</v>
      </c>
      <c r="CB112" s="268">
        <f t="shared" si="184"/>
        <v>0</v>
      </c>
      <c r="CC112" s="267">
        <f t="shared" si="185"/>
        <v>0</v>
      </c>
      <c r="CD112" s="263"/>
      <c r="CE112" s="263"/>
      <c r="CF112" s="264">
        <f t="shared" si="186"/>
        <v>0</v>
      </c>
      <c r="CG112" s="265">
        <f t="shared" si="187"/>
        <v>0</v>
      </c>
      <c r="CH112" s="268">
        <f t="shared" si="188"/>
        <v>0</v>
      </c>
      <c r="CI112" s="267">
        <f t="shared" si="189"/>
        <v>0</v>
      </c>
      <c r="CJ112" s="263"/>
      <c r="CK112" s="269">
        <f t="shared" si="190"/>
        <v>0</v>
      </c>
      <c r="CL112" s="270">
        <f t="shared" si="191"/>
        <v>0</v>
      </c>
      <c r="CM112" s="268">
        <f t="shared" si="192"/>
        <v>0</v>
      </c>
      <c r="CN112" s="267">
        <f t="shared" si="193"/>
        <v>0</v>
      </c>
      <c r="CO112" s="65">
        <f t="shared" si="194"/>
        <v>0</v>
      </c>
      <c r="CP112" s="66">
        <f t="shared" si="195"/>
        <v>0</v>
      </c>
      <c r="CQ112" s="31">
        <f t="shared" si="135"/>
        <v>5.2678571428571432</v>
      </c>
      <c r="CR112" s="32">
        <f t="shared" si="136"/>
        <v>0</v>
      </c>
      <c r="CS112" s="33">
        <f t="shared" si="137"/>
        <v>0</v>
      </c>
      <c r="CT112" s="34">
        <f t="shared" si="138"/>
        <v>0</v>
      </c>
      <c r="CU112" s="67">
        <f t="shared" si="139"/>
        <v>2.6339285714285716</v>
      </c>
      <c r="CV112" s="35">
        <f t="shared" si="140"/>
        <v>0</v>
      </c>
      <c r="CW112" s="59">
        <f t="shared" si="141"/>
        <v>0</v>
      </c>
      <c r="CX112" s="43" t="str">
        <f t="shared" si="196"/>
        <v>مؤجل(ة)</v>
      </c>
      <c r="CY112" s="44"/>
      <c r="CZ112" s="50"/>
      <c r="DA112" s="46"/>
    </row>
    <row r="113" spans="2:105" ht="27.75" customHeight="1" thickBot="1">
      <c r="B113" s="1">
        <f t="shared" si="197"/>
        <v>19</v>
      </c>
      <c r="C113" s="332" t="s">
        <v>274</v>
      </c>
      <c r="D113" s="249" t="s">
        <v>657</v>
      </c>
      <c r="E113" s="45" t="s">
        <v>453</v>
      </c>
      <c r="F113" s="135">
        <v>35140</v>
      </c>
      <c r="G113" s="136" t="s">
        <v>746</v>
      </c>
      <c r="H113" s="131"/>
      <c r="I113" s="132"/>
      <c r="J113" s="133"/>
      <c r="K113" s="134"/>
      <c r="L113" s="53">
        <f t="shared" si="142"/>
        <v>0</v>
      </c>
      <c r="M113" s="58">
        <f t="shared" si="143"/>
        <v>0</v>
      </c>
      <c r="N113" s="262">
        <v>4.5</v>
      </c>
      <c r="O113" s="263">
        <v>3</v>
      </c>
      <c r="P113" s="228">
        <f t="shared" si="144"/>
        <v>3.75</v>
      </c>
      <c r="Q113" s="229">
        <f t="shared" si="145"/>
        <v>0</v>
      </c>
      <c r="R113" s="262">
        <v>11</v>
      </c>
      <c r="S113" s="263">
        <v>5.75</v>
      </c>
      <c r="T113" s="228">
        <f t="shared" si="146"/>
        <v>8.375</v>
      </c>
      <c r="U113" s="229">
        <f t="shared" si="147"/>
        <v>0</v>
      </c>
      <c r="V113" s="262"/>
      <c r="W113" s="263"/>
      <c r="X113" s="228">
        <f t="shared" si="148"/>
        <v>0</v>
      </c>
      <c r="Y113" s="229">
        <f t="shared" si="149"/>
        <v>0</v>
      </c>
      <c r="Z113" s="232">
        <f t="shared" si="150"/>
        <v>4.041666666666667</v>
      </c>
      <c r="AA113" s="233">
        <f t="shared" si="151"/>
        <v>0</v>
      </c>
      <c r="AB113" s="263">
        <v>10</v>
      </c>
      <c r="AC113" s="234">
        <f t="shared" si="152"/>
        <v>10</v>
      </c>
      <c r="AD113" s="235">
        <f t="shared" si="153"/>
        <v>1</v>
      </c>
      <c r="AE113" s="262">
        <v>0</v>
      </c>
      <c r="AF113" s="263">
        <v>0</v>
      </c>
      <c r="AG113" s="228">
        <f t="shared" si="154"/>
        <v>0</v>
      </c>
      <c r="AH113" s="229">
        <f t="shared" si="155"/>
        <v>0</v>
      </c>
      <c r="AI113" s="262">
        <v>7</v>
      </c>
      <c r="AJ113" s="263">
        <v>0</v>
      </c>
      <c r="AK113" s="228">
        <f t="shared" si="156"/>
        <v>3.5</v>
      </c>
      <c r="AL113" s="229">
        <f t="shared" si="157"/>
        <v>0</v>
      </c>
      <c r="AM113" s="236">
        <f t="shared" si="158"/>
        <v>3.4</v>
      </c>
      <c r="AN113" s="237">
        <f t="shared" si="159"/>
        <v>1</v>
      </c>
      <c r="AO113" s="262">
        <v>11.5</v>
      </c>
      <c r="AP113" s="263">
        <v>5</v>
      </c>
      <c r="AQ113" s="228">
        <f t="shared" si="160"/>
        <v>8.25</v>
      </c>
      <c r="AR113" s="229">
        <f t="shared" si="161"/>
        <v>0</v>
      </c>
      <c r="AS113" s="263">
        <v>0</v>
      </c>
      <c r="AT113" s="234">
        <f t="shared" si="162"/>
        <v>0</v>
      </c>
      <c r="AU113" s="238">
        <f t="shared" si="163"/>
        <v>0</v>
      </c>
      <c r="AV113" s="236">
        <f t="shared" si="164"/>
        <v>4.125</v>
      </c>
      <c r="AW113" s="237">
        <f t="shared" si="165"/>
        <v>0</v>
      </c>
      <c r="AX113" s="263">
        <v>13</v>
      </c>
      <c r="AY113" s="263">
        <v>9.5</v>
      </c>
      <c r="AZ113" s="228">
        <f t="shared" si="166"/>
        <v>11.25</v>
      </c>
      <c r="BA113" s="229">
        <f t="shared" si="167"/>
        <v>1</v>
      </c>
      <c r="BB113" s="236">
        <f t="shared" si="168"/>
        <v>11.25</v>
      </c>
      <c r="BC113" s="237">
        <f t="shared" si="169"/>
        <v>1</v>
      </c>
      <c r="BD113" s="239">
        <f t="shared" si="170"/>
        <v>4.3392857142857144</v>
      </c>
      <c r="BE113" s="240">
        <f t="shared" si="171"/>
        <v>2</v>
      </c>
      <c r="BF113" s="263"/>
      <c r="BG113" s="263"/>
      <c r="BH113" s="264">
        <f t="shared" si="172"/>
        <v>0</v>
      </c>
      <c r="BI113" s="265">
        <f t="shared" si="173"/>
        <v>0</v>
      </c>
      <c r="BJ113" s="263"/>
      <c r="BK113" s="263"/>
      <c r="BL113" s="264">
        <f t="shared" si="174"/>
        <v>0</v>
      </c>
      <c r="BM113" s="265">
        <f t="shared" si="175"/>
        <v>0</v>
      </c>
      <c r="BN113" s="263"/>
      <c r="BO113" s="263"/>
      <c r="BP113" s="264">
        <f t="shared" si="176"/>
        <v>0</v>
      </c>
      <c r="BQ113" s="265">
        <f t="shared" si="177"/>
        <v>0</v>
      </c>
      <c r="BR113" s="266">
        <f t="shared" si="178"/>
        <v>0</v>
      </c>
      <c r="BS113" s="267">
        <f t="shared" si="179"/>
        <v>0</v>
      </c>
      <c r="BT113" s="263"/>
      <c r="BU113" s="263"/>
      <c r="BV113" s="264">
        <f t="shared" si="180"/>
        <v>0</v>
      </c>
      <c r="BW113" s="265">
        <f t="shared" si="181"/>
        <v>0</v>
      </c>
      <c r="BX113" s="263"/>
      <c r="BY113" s="263"/>
      <c r="BZ113" s="264">
        <f t="shared" si="182"/>
        <v>0</v>
      </c>
      <c r="CA113" s="265">
        <f t="shared" si="183"/>
        <v>0</v>
      </c>
      <c r="CB113" s="268">
        <f t="shared" si="184"/>
        <v>0</v>
      </c>
      <c r="CC113" s="267">
        <f t="shared" si="185"/>
        <v>0</v>
      </c>
      <c r="CD113" s="263"/>
      <c r="CE113" s="263"/>
      <c r="CF113" s="264">
        <f t="shared" si="186"/>
        <v>0</v>
      </c>
      <c r="CG113" s="265">
        <f t="shared" si="187"/>
        <v>0</v>
      </c>
      <c r="CH113" s="268">
        <f t="shared" si="188"/>
        <v>0</v>
      </c>
      <c r="CI113" s="267">
        <f t="shared" si="189"/>
        <v>0</v>
      </c>
      <c r="CJ113" s="263"/>
      <c r="CK113" s="269">
        <f t="shared" si="190"/>
        <v>0</v>
      </c>
      <c r="CL113" s="270">
        <f t="shared" si="191"/>
        <v>0</v>
      </c>
      <c r="CM113" s="268">
        <f t="shared" si="192"/>
        <v>0</v>
      </c>
      <c r="CN113" s="267">
        <f t="shared" si="193"/>
        <v>0</v>
      </c>
      <c r="CO113" s="65">
        <f t="shared" si="194"/>
        <v>0</v>
      </c>
      <c r="CP113" s="66">
        <f t="shared" si="195"/>
        <v>0</v>
      </c>
      <c r="CQ113" s="31">
        <f t="shared" si="135"/>
        <v>4.3392857142857144</v>
      </c>
      <c r="CR113" s="32">
        <f t="shared" si="136"/>
        <v>2</v>
      </c>
      <c r="CS113" s="33">
        <f t="shared" si="137"/>
        <v>0</v>
      </c>
      <c r="CT113" s="34">
        <f t="shared" si="138"/>
        <v>0</v>
      </c>
      <c r="CU113" s="67">
        <f t="shared" si="139"/>
        <v>2.1696428571428572</v>
      </c>
      <c r="CV113" s="35">
        <f t="shared" si="140"/>
        <v>2</v>
      </c>
      <c r="CW113" s="59">
        <f t="shared" si="141"/>
        <v>2</v>
      </c>
      <c r="CX113" s="43" t="str">
        <f t="shared" si="196"/>
        <v>مؤجل(ة)</v>
      </c>
      <c r="CY113" s="44"/>
      <c r="CZ113" s="50"/>
      <c r="DA113" s="46"/>
    </row>
    <row r="114" spans="2:105" ht="27.75" customHeight="1" thickBot="1">
      <c r="B114" s="1">
        <f t="shared" si="197"/>
        <v>20</v>
      </c>
      <c r="C114" s="328" t="s">
        <v>274</v>
      </c>
      <c r="D114" s="249" t="s">
        <v>119</v>
      </c>
      <c r="E114" s="47"/>
      <c r="F114" s="135"/>
      <c r="G114" s="136"/>
      <c r="H114" s="131"/>
      <c r="I114" s="132"/>
      <c r="J114" s="133"/>
      <c r="K114" s="134"/>
      <c r="L114" s="53">
        <f t="shared" si="142"/>
        <v>0</v>
      </c>
      <c r="M114" s="58">
        <f t="shared" si="143"/>
        <v>0</v>
      </c>
      <c r="N114" s="262">
        <v>7</v>
      </c>
      <c r="O114" s="263">
        <v>7.25</v>
      </c>
      <c r="P114" s="228">
        <f t="shared" si="144"/>
        <v>7.125</v>
      </c>
      <c r="Q114" s="229">
        <f t="shared" si="145"/>
        <v>0</v>
      </c>
      <c r="R114" s="262">
        <v>11.5</v>
      </c>
      <c r="S114" s="263">
        <v>6.25</v>
      </c>
      <c r="T114" s="228">
        <f t="shared" si="146"/>
        <v>8.875</v>
      </c>
      <c r="U114" s="229">
        <f t="shared" si="147"/>
        <v>0</v>
      </c>
      <c r="V114" s="262">
        <v>14</v>
      </c>
      <c r="W114" s="263">
        <v>1</v>
      </c>
      <c r="X114" s="228">
        <f t="shared" si="148"/>
        <v>7.5</v>
      </c>
      <c r="Y114" s="229">
        <f t="shared" si="149"/>
        <v>0</v>
      </c>
      <c r="Z114" s="232">
        <f t="shared" si="150"/>
        <v>7.833333333333333</v>
      </c>
      <c r="AA114" s="233">
        <f t="shared" si="151"/>
        <v>0</v>
      </c>
      <c r="AB114" s="263">
        <v>10</v>
      </c>
      <c r="AC114" s="234">
        <f t="shared" si="152"/>
        <v>10</v>
      </c>
      <c r="AD114" s="235">
        <f t="shared" si="153"/>
        <v>1</v>
      </c>
      <c r="AE114" s="262">
        <v>0.5</v>
      </c>
      <c r="AF114" s="263">
        <v>0.5</v>
      </c>
      <c r="AG114" s="228">
        <f t="shared" si="154"/>
        <v>0.5</v>
      </c>
      <c r="AH114" s="229">
        <f t="shared" si="155"/>
        <v>0</v>
      </c>
      <c r="AI114" s="262">
        <v>10</v>
      </c>
      <c r="AJ114" s="263">
        <v>0</v>
      </c>
      <c r="AK114" s="228">
        <f t="shared" si="156"/>
        <v>5</v>
      </c>
      <c r="AL114" s="229">
        <f t="shared" si="157"/>
        <v>0</v>
      </c>
      <c r="AM114" s="236">
        <f t="shared" si="158"/>
        <v>4.2</v>
      </c>
      <c r="AN114" s="237">
        <f t="shared" si="159"/>
        <v>1</v>
      </c>
      <c r="AO114" s="262">
        <v>11.5</v>
      </c>
      <c r="AP114" s="263">
        <v>1</v>
      </c>
      <c r="AQ114" s="228">
        <f t="shared" si="160"/>
        <v>6.25</v>
      </c>
      <c r="AR114" s="229">
        <f t="shared" si="161"/>
        <v>0</v>
      </c>
      <c r="AS114" s="263">
        <v>0</v>
      </c>
      <c r="AT114" s="234">
        <f t="shared" si="162"/>
        <v>0</v>
      </c>
      <c r="AU114" s="238">
        <f t="shared" si="163"/>
        <v>0</v>
      </c>
      <c r="AV114" s="236">
        <f t="shared" si="164"/>
        <v>3.125</v>
      </c>
      <c r="AW114" s="237">
        <f t="shared" si="165"/>
        <v>0</v>
      </c>
      <c r="AX114" s="263">
        <v>11</v>
      </c>
      <c r="AY114" s="263">
        <v>7</v>
      </c>
      <c r="AZ114" s="228">
        <f t="shared" si="166"/>
        <v>9</v>
      </c>
      <c r="BA114" s="229">
        <f t="shared" si="167"/>
        <v>0</v>
      </c>
      <c r="BB114" s="236">
        <f t="shared" si="168"/>
        <v>9</v>
      </c>
      <c r="BC114" s="237">
        <f t="shared" si="169"/>
        <v>0</v>
      </c>
      <c r="BD114" s="239">
        <f t="shared" si="170"/>
        <v>5.9464285714285712</v>
      </c>
      <c r="BE114" s="240">
        <f t="shared" si="171"/>
        <v>1</v>
      </c>
      <c r="BF114" s="263"/>
      <c r="BG114" s="263"/>
      <c r="BH114" s="264">
        <f t="shared" si="172"/>
        <v>0</v>
      </c>
      <c r="BI114" s="265">
        <f t="shared" si="173"/>
        <v>0</v>
      </c>
      <c r="BJ114" s="263"/>
      <c r="BK114" s="263"/>
      <c r="BL114" s="264">
        <f t="shared" si="174"/>
        <v>0</v>
      </c>
      <c r="BM114" s="265">
        <f t="shared" si="175"/>
        <v>0</v>
      </c>
      <c r="BN114" s="263"/>
      <c r="BO114" s="263"/>
      <c r="BP114" s="264">
        <f t="shared" si="176"/>
        <v>0</v>
      </c>
      <c r="BQ114" s="265">
        <f t="shared" si="177"/>
        <v>0</v>
      </c>
      <c r="BR114" s="266">
        <f t="shared" si="178"/>
        <v>0</v>
      </c>
      <c r="BS114" s="267">
        <f t="shared" si="179"/>
        <v>0</v>
      </c>
      <c r="BT114" s="263"/>
      <c r="BU114" s="263"/>
      <c r="BV114" s="264">
        <f t="shared" si="180"/>
        <v>0</v>
      </c>
      <c r="BW114" s="265">
        <f t="shared" si="181"/>
        <v>0</v>
      </c>
      <c r="BX114" s="263"/>
      <c r="BY114" s="263"/>
      <c r="BZ114" s="264">
        <f t="shared" si="182"/>
        <v>0</v>
      </c>
      <c r="CA114" s="265">
        <f t="shared" si="183"/>
        <v>0</v>
      </c>
      <c r="CB114" s="268">
        <f t="shared" si="184"/>
        <v>0</v>
      </c>
      <c r="CC114" s="267">
        <f t="shared" si="185"/>
        <v>0</v>
      </c>
      <c r="CD114" s="263"/>
      <c r="CE114" s="263"/>
      <c r="CF114" s="264">
        <f t="shared" si="186"/>
        <v>0</v>
      </c>
      <c r="CG114" s="265">
        <f t="shared" si="187"/>
        <v>0</v>
      </c>
      <c r="CH114" s="268">
        <f t="shared" si="188"/>
        <v>0</v>
      </c>
      <c r="CI114" s="267">
        <f t="shared" si="189"/>
        <v>0</v>
      </c>
      <c r="CJ114" s="263"/>
      <c r="CK114" s="269">
        <f t="shared" si="190"/>
        <v>0</v>
      </c>
      <c r="CL114" s="270">
        <f t="shared" si="191"/>
        <v>0</v>
      </c>
      <c r="CM114" s="268">
        <f t="shared" si="192"/>
        <v>0</v>
      </c>
      <c r="CN114" s="267">
        <f t="shared" si="193"/>
        <v>0</v>
      </c>
      <c r="CO114" s="65">
        <f t="shared" si="194"/>
        <v>0</v>
      </c>
      <c r="CP114" s="66">
        <f t="shared" si="195"/>
        <v>0</v>
      </c>
      <c r="CQ114" s="31">
        <f t="shared" si="135"/>
        <v>5.9464285714285712</v>
      </c>
      <c r="CR114" s="32">
        <f t="shared" si="136"/>
        <v>1</v>
      </c>
      <c r="CS114" s="33">
        <f t="shared" si="137"/>
        <v>0</v>
      </c>
      <c r="CT114" s="34">
        <f t="shared" si="138"/>
        <v>0</v>
      </c>
      <c r="CU114" s="67">
        <f t="shared" si="139"/>
        <v>2.9732142857142856</v>
      </c>
      <c r="CV114" s="35">
        <f t="shared" si="140"/>
        <v>1</v>
      </c>
      <c r="CW114" s="59">
        <f t="shared" si="141"/>
        <v>1</v>
      </c>
      <c r="CX114" s="43" t="str">
        <f t="shared" si="196"/>
        <v>مؤجل(ة)</v>
      </c>
      <c r="CY114" s="44"/>
      <c r="CZ114" s="50"/>
      <c r="DA114" s="46"/>
    </row>
    <row r="115" spans="2:105" ht="27.75" customHeight="1" thickBot="1">
      <c r="B115" s="1">
        <f t="shared" si="197"/>
        <v>21</v>
      </c>
      <c r="C115" s="329" t="s">
        <v>658</v>
      </c>
      <c r="D115" s="249" t="s">
        <v>659</v>
      </c>
      <c r="E115" s="47"/>
      <c r="F115" s="135"/>
      <c r="G115" s="136"/>
      <c r="H115" s="131"/>
      <c r="I115" s="132"/>
      <c r="J115" s="133"/>
      <c r="K115" s="134"/>
      <c r="L115" s="53">
        <f t="shared" si="142"/>
        <v>0</v>
      </c>
      <c r="M115" s="58">
        <f t="shared" si="143"/>
        <v>0</v>
      </c>
      <c r="N115" s="262">
        <v>8.5</v>
      </c>
      <c r="O115" s="263">
        <v>10.5</v>
      </c>
      <c r="P115" s="228">
        <f t="shared" si="144"/>
        <v>9.5</v>
      </c>
      <c r="Q115" s="229">
        <f t="shared" si="145"/>
        <v>0</v>
      </c>
      <c r="R115" s="262">
        <v>12</v>
      </c>
      <c r="S115" s="263">
        <v>6.25</v>
      </c>
      <c r="T115" s="228">
        <f t="shared" si="146"/>
        <v>9.125</v>
      </c>
      <c r="U115" s="229">
        <f t="shared" si="147"/>
        <v>0</v>
      </c>
      <c r="V115" s="262">
        <v>11.5</v>
      </c>
      <c r="W115" s="263">
        <v>6</v>
      </c>
      <c r="X115" s="228">
        <f t="shared" si="148"/>
        <v>8.75</v>
      </c>
      <c r="Y115" s="229">
        <f t="shared" si="149"/>
        <v>0</v>
      </c>
      <c r="Z115" s="232">
        <f t="shared" si="150"/>
        <v>9.125</v>
      </c>
      <c r="AA115" s="233">
        <f t="shared" si="151"/>
        <v>0</v>
      </c>
      <c r="AB115" s="263">
        <v>11</v>
      </c>
      <c r="AC115" s="234">
        <f t="shared" si="152"/>
        <v>11</v>
      </c>
      <c r="AD115" s="235">
        <f t="shared" si="153"/>
        <v>1</v>
      </c>
      <c r="AE115" s="262">
        <v>13</v>
      </c>
      <c r="AF115" s="263">
        <v>13</v>
      </c>
      <c r="AG115" s="228">
        <f t="shared" si="154"/>
        <v>13</v>
      </c>
      <c r="AH115" s="229">
        <f t="shared" si="155"/>
        <v>3</v>
      </c>
      <c r="AI115" s="262">
        <v>13</v>
      </c>
      <c r="AJ115" s="263">
        <v>2.5</v>
      </c>
      <c r="AK115" s="228">
        <f t="shared" si="156"/>
        <v>7.75</v>
      </c>
      <c r="AL115" s="229">
        <f t="shared" si="157"/>
        <v>0</v>
      </c>
      <c r="AM115" s="236">
        <f t="shared" si="158"/>
        <v>10.5</v>
      </c>
      <c r="AN115" s="237">
        <f t="shared" si="159"/>
        <v>7</v>
      </c>
      <c r="AO115" s="262">
        <v>11.5</v>
      </c>
      <c r="AP115" s="263">
        <v>5</v>
      </c>
      <c r="AQ115" s="228">
        <f t="shared" si="160"/>
        <v>8.25</v>
      </c>
      <c r="AR115" s="229">
        <f t="shared" si="161"/>
        <v>0</v>
      </c>
      <c r="AS115" s="263">
        <v>3.5</v>
      </c>
      <c r="AT115" s="234">
        <f t="shared" si="162"/>
        <v>3.5</v>
      </c>
      <c r="AU115" s="238">
        <f t="shared" si="163"/>
        <v>0</v>
      </c>
      <c r="AV115" s="236">
        <f t="shared" si="164"/>
        <v>5.875</v>
      </c>
      <c r="AW115" s="237">
        <f t="shared" si="165"/>
        <v>0</v>
      </c>
      <c r="AX115" s="263">
        <v>12.5</v>
      </c>
      <c r="AY115" s="263">
        <v>2.5</v>
      </c>
      <c r="AZ115" s="228">
        <f t="shared" si="166"/>
        <v>7.5</v>
      </c>
      <c r="BA115" s="229">
        <f t="shared" si="167"/>
        <v>0</v>
      </c>
      <c r="BB115" s="236">
        <f t="shared" si="168"/>
        <v>7.5</v>
      </c>
      <c r="BC115" s="237">
        <f t="shared" si="169"/>
        <v>0</v>
      </c>
      <c r="BD115" s="239">
        <f t="shared" si="170"/>
        <v>9.0357142857142865</v>
      </c>
      <c r="BE115" s="240">
        <f t="shared" si="171"/>
        <v>7</v>
      </c>
      <c r="BF115" s="263"/>
      <c r="BG115" s="263"/>
      <c r="BH115" s="264">
        <f t="shared" si="172"/>
        <v>0</v>
      </c>
      <c r="BI115" s="265">
        <f t="shared" si="173"/>
        <v>0</v>
      </c>
      <c r="BJ115" s="263"/>
      <c r="BK115" s="263"/>
      <c r="BL115" s="264">
        <f t="shared" si="174"/>
        <v>0</v>
      </c>
      <c r="BM115" s="265">
        <f t="shared" si="175"/>
        <v>0</v>
      </c>
      <c r="BN115" s="263"/>
      <c r="BO115" s="263"/>
      <c r="BP115" s="264">
        <f t="shared" si="176"/>
        <v>0</v>
      </c>
      <c r="BQ115" s="265">
        <f t="shared" si="177"/>
        <v>0</v>
      </c>
      <c r="BR115" s="266">
        <f t="shared" si="178"/>
        <v>0</v>
      </c>
      <c r="BS115" s="267">
        <f t="shared" si="179"/>
        <v>0</v>
      </c>
      <c r="BT115" s="263"/>
      <c r="BU115" s="263"/>
      <c r="BV115" s="264">
        <f t="shared" si="180"/>
        <v>0</v>
      </c>
      <c r="BW115" s="265">
        <f t="shared" si="181"/>
        <v>0</v>
      </c>
      <c r="BX115" s="263"/>
      <c r="BY115" s="263"/>
      <c r="BZ115" s="264">
        <f t="shared" si="182"/>
        <v>0</v>
      </c>
      <c r="CA115" s="265">
        <f t="shared" si="183"/>
        <v>0</v>
      </c>
      <c r="CB115" s="268">
        <f t="shared" si="184"/>
        <v>0</v>
      </c>
      <c r="CC115" s="267">
        <f t="shared" si="185"/>
        <v>0</v>
      </c>
      <c r="CD115" s="263"/>
      <c r="CE115" s="263"/>
      <c r="CF115" s="264">
        <f t="shared" si="186"/>
        <v>0</v>
      </c>
      <c r="CG115" s="265">
        <f t="shared" si="187"/>
        <v>0</v>
      </c>
      <c r="CH115" s="268">
        <f t="shared" si="188"/>
        <v>0</v>
      </c>
      <c r="CI115" s="267">
        <f t="shared" si="189"/>
        <v>0</v>
      </c>
      <c r="CJ115" s="263"/>
      <c r="CK115" s="269">
        <f t="shared" si="190"/>
        <v>0</v>
      </c>
      <c r="CL115" s="270">
        <f t="shared" si="191"/>
        <v>0</v>
      </c>
      <c r="CM115" s="268">
        <f t="shared" si="192"/>
        <v>0</v>
      </c>
      <c r="CN115" s="267">
        <f t="shared" si="193"/>
        <v>0</v>
      </c>
      <c r="CO115" s="65">
        <f t="shared" si="194"/>
        <v>0</v>
      </c>
      <c r="CP115" s="66">
        <f t="shared" si="195"/>
        <v>0</v>
      </c>
      <c r="CQ115" s="31">
        <f t="shared" si="135"/>
        <v>9.0357142857142865</v>
      </c>
      <c r="CR115" s="32">
        <f t="shared" si="136"/>
        <v>7</v>
      </c>
      <c r="CS115" s="33">
        <f t="shared" si="137"/>
        <v>0</v>
      </c>
      <c r="CT115" s="34">
        <f t="shared" si="138"/>
        <v>0</v>
      </c>
      <c r="CU115" s="67">
        <f t="shared" si="139"/>
        <v>4.5178571428571432</v>
      </c>
      <c r="CV115" s="35">
        <f t="shared" si="140"/>
        <v>7</v>
      </c>
      <c r="CW115" s="59">
        <f t="shared" si="141"/>
        <v>7</v>
      </c>
      <c r="CX115" s="43" t="str">
        <f t="shared" si="196"/>
        <v>مؤجل(ة)</v>
      </c>
      <c r="CY115" s="44"/>
      <c r="CZ115" s="50"/>
      <c r="DA115" s="46"/>
    </row>
    <row r="116" spans="2:105" ht="27.75" customHeight="1" thickBot="1">
      <c r="B116" s="1">
        <f t="shared" si="197"/>
        <v>22</v>
      </c>
      <c r="C116" s="329" t="s">
        <v>318</v>
      </c>
      <c r="D116" s="249" t="s">
        <v>660</v>
      </c>
      <c r="E116" s="47" t="s">
        <v>482</v>
      </c>
      <c r="F116" s="135">
        <v>35761</v>
      </c>
      <c r="G116" s="136" t="s">
        <v>746</v>
      </c>
      <c r="H116" s="131">
        <v>10</v>
      </c>
      <c r="I116" s="132">
        <v>30</v>
      </c>
      <c r="J116" s="133">
        <v>10</v>
      </c>
      <c r="K116" s="134">
        <v>30</v>
      </c>
      <c r="L116" s="53">
        <f t="shared" si="142"/>
        <v>10</v>
      </c>
      <c r="M116" s="58">
        <f t="shared" si="143"/>
        <v>60</v>
      </c>
      <c r="N116" s="262">
        <v>11.5</v>
      </c>
      <c r="O116" s="263">
        <v>11.5</v>
      </c>
      <c r="P116" s="228">
        <f t="shared" si="144"/>
        <v>11.5</v>
      </c>
      <c r="Q116" s="229">
        <f t="shared" si="145"/>
        <v>5</v>
      </c>
      <c r="R116" s="262">
        <v>11</v>
      </c>
      <c r="S116" s="263">
        <v>5.5</v>
      </c>
      <c r="T116" s="228">
        <f t="shared" si="146"/>
        <v>8.25</v>
      </c>
      <c r="U116" s="229">
        <f t="shared" si="147"/>
        <v>0</v>
      </c>
      <c r="V116" s="262">
        <v>7.5</v>
      </c>
      <c r="W116" s="263">
        <v>0.5</v>
      </c>
      <c r="X116" s="228">
        <f t="shared" si="148"/>
        <v>4</v>
      </c>
      <c r="Y116" s="229">
        <f t="shared" si="149"/>
        <v>0</v>
      </c>
      <c r="Z116" s="232">
        <f t="shared" si="150"/>
        <v>7.916666666666667</v>
      </c>
      <c r="AA116" s="233">
        <f t="shared" si="151"/>
        <v>5</v>
      </c>
      <c r="AB116" s="263">
        <v>7</v>
      </c>
      <c r="AC116" s="234">
        <f t="shared" si="152"/>
        <v>7</v>
      </c>
      <c r="AD116" s="235">
        <f t="shared" si="153"/>
        <v>0</v>
      </c>
      <c r="AE116" s="262">
        <v>0.5</v>
      </c>
      <c r="AF116" s="263">
        <v>0.5</v>
      </c>
      <c r="AG116" s="228">
        <f t="shared" si="154"/>
        <v>0.5</v>
      </c>
      <c r="AH116" s="229">
        <f t="shared" si="155"/>
        <v>0</v>
      </c>
      <c r="AI116" s="262">
        <v>10</v>
      </c>
      <c r="AJ116" s="263">
        <v>3</v>
      </c>
      <c r="AK116" s="228">
        <f t="shared" si="156"/>
        <v>6.5</v>
      </c>
      <c r="AL116" s="229">
        <f t="shared" si="157"/>
        <v>0</v>
      </c>
      <c r="AM116" s="236">
        <f t="shared" si="158"/>
        <v>4.2</v>
      </c>
      <c r="AN116" s="237">
        <f t="shared" si="159"/>
        <v>0</v>
      </c>
      <c r="AO116" s="262">
        <v>11.5</v>
      </c>
      <c r="AP116" s="263">
        <v>2</v>
      </c>
      <c r="AQ116" s="228">
        <f t="shared" si="160"/>
        <v>6.75</v>
      </c>
      <c r="AR116" s="229">
        <f t="shared" si="161"/>
        <v>0</v>
      </c>
      <c r="AS116" s="263">
        <v>0</v>
      </c>
      <c r="AT116" s="234">
        <f t="shared" si="162"/>
        <v>0</v>
      </c>
      <c r="AU116" s="238">
        <f t="shared" si="163"/>
        <v>0</v>
      </c>
      <c r="AV116" s="236">
        <f t="shared" si="164"/>
        <v>3.375</v>
      </c>
      <c r="AW116" s="237">
        <f t="shared" si="165"/>
        <v>0</v>
      </c>
      <c r="AX116" s="263">
        <v>10.75</v>
      </c>
      <c r="AY116" s="263">
        <v>10.75</v>
      </c>
      <c r="AZ116" s="228">
        <f t="shared" si="166"/>
        <v>10.75</v>
      </c>
      <c r="BA116" s="229">
        <f t="shared" si="167"/>
        <v>1</v>
      </c>
      <c r="BB116" s="236">
        <f t="shared" si="168"/>
        <v>10.75</v>
      </c>
      <c r="BC116" s="237">
        <f t="shared" si="169"/>
        <v>1</v>
      </c>
      <c r="BD116" s="239">
        <f t="shared" si="170"/>
        <v>6.1428571428571432</v>
      </c>
      <c r="BE116" s="240">
        <f t="shared" si="171"/>
        <v>6</v>
      </c>
      <c r="BF116" s="263"/>
      <c r="BG116" s="263"/>
      <c r="BH116" s="264">
        <f t="shared" si="172"/>
        <v>0</v>
      </c>
      <c r="BI116" s="265">
        <f t="shared" si="173"/>
        <v>0</v>
      </c>
      <c r="BJ116" s="263"/>
      <c r="BK116" s="263"/>
      <c r="BL116" s="264">
        <f t="shared" si="174"/>
        <v>0</v>
      </c>
      <c r="BM116" s="265">
        <f t="shared" si="175"/>
        <v>0</v>
      </c>
      <c r="BN116" s="263"/>
      <c r="BO116" s="263"/>
      <c r="BP116" s="264">
        <f t="shared" si="176"/>
        <v>0</v>
      </c>
      <c r="BQ116" s="265">
        <f t="shared" si="177"/>
        <v>0</v>
      </c>
      <c r="BR116" s="266">
        <f t="shared" si="178"/>
        <v>0</v>
      </c>
      <c r="BS116" s="267">
        <f t="shared" si="179"/>
        <v>0</v>
      </c>
      <c r="BT116" s="263"/>
      <c r="BU116" s="263"/>
      <c r="BV116" s="264">
        <f t="shared" si="180"/>
        <v>0</v>
      </c>
      <c r="BW116" s="265">
        <f t="shared" si="181"/>
        <v>0</v>
      </c>
      <c r="BX116" s="263"/>
      <c r="BY116" s="263"/>
      <c r="BZ116" s="264">
        <f t="shared" si="182"/>
        <v>0</v>
      </c>
      <c r="CA116" s="265">
        <f t="shared" si="183"/>
        <v>0</v>
      </c>
      <c r="CB116" s="268">
        <f t="shared" si="184"/>
        <v>0</v>
      </c>
      <c r="CC116" s="267">
        <f t="shared" si="185"/>
        <v>0</v>
      </c>
      <c r="CD116" s="263"/>
      <c r="CE116" s="263"/>
      <c r="CF116" s="264">
        <f t="shared" si="186"/>
        <v>0</v>
      </c>
      <c r="CG116" s="265">
        <f t="shared" si="187"/>
        <v>0</v>
      </c>
      <c r="CH116" s="268">
        <f t="shared" si="188"/>
        <v>0</v>
      </c>
      <c r="CI116" s="267">
        <f t="shared" si="189"/>
        <v>0</v>
      </c>
      <c r="CJ116" s="263"/>
      <c r="CK116" s="269">
        <f t="shared" si="190"/>
        <v>0</v>
      </c>
      <c r="CL116" s="270">
        <f t="shared" si="191"/>
        <v>0</v>
      </c>
      <c r="CM116" s="268">
        <f t="shared" si="192"/>
        <v>0</v>
      </c>
      <c r="CN116" s="267">
        <f t="shared" si="193"/>
        <v>0</v>
      </c>
      <c r="CO116" s="65">
        <f t="shared" si="194"/>
        <v>0</v>
      </c>
      <c r="CP116" s="66">
        <f t="shared" si="195"/>
        <v>0</v>
      </c>
      <c r="CQ116" s="31">
        <f t="shared" si="135"/>
        <v>6.1428571428571432</v>
      </c>
      <c r="CR116" s="32">
        <f t="shared" si="136"/>
        <v>6</v>
      </c>
      <c r="CS116" s="33">
        <f t="shared" si="137"/>
        <v>0</v>
      </c>
      <c r="CT116" s="34">
        <f t="shared" si="138"/>
        <v>0</v>
      </c>
      <c r="CU116" s="67">
        <f t="shared" si="139"/>
        <v>3.0714285714285716</v>
      </c>
      <c r="CV116" s="35">
        <f t="shared" si="140"/>
        <v>6</v>
      </c>
      <c r="CW116" s="59">
        <f t="shared" si="141"/>
        <v>66</v>
      </c>
      <c r="CX116" s="43" t="str">
        <f t="shared" si="196"/>
        <v>مؤجل(ة)</v>
      </c>
      <c r="CY116" s="44"/>
      <c r="CZ116" s="50"/>
      <c r="DA116" s="46"/>
    </row>
    <row r="117" spans="2:105" ht="27.75" customHeight="1" thickBot="1">
      <c r="B117" s="1">
        <f t="shared" si="197"/>
        <v>23</v>
      </c>
      <c r="C117" s="328" t="s">
        <v>661</v>
      </c>
      <c r="D117" s="249" t="s">
        <v>158</v>
      </c>
      <c r="E117" s="137"/>
      <c r="F117" s="135"/>
      <c r="G117" s="136"/>
      <c r="H117" s="131"/>
      <c r="I117" s="132"/>
      <c r="J117" s="133"/>
      <c r="K117" s="134"/>
      <c r="L117" s="53">
        <f t="shared" si="142"/>
        <v>0</v>
      </c>
      <c r="M117" s="58">
        <f t="shared" si="143"/>
        <v>0</v>
      </c>
      <c r="N117" s="262">
        <v>13</v>
      </c>
      <c r="O117" s="263">
        <v>10.5</v>
      </c>
      <c r="P117" s="228">
        <f t="shared" si="144"/>
        <v>11.75</v>
      </c>
      <c r="Q117" s="229">
        <f t="shared" si="145"/>
        <v>5</v>
      </c>
      <c r="R117" s="262">
        <v>10.5</v>
      </c>
      <c r="S117" s="263">
        <v>9.75</v>
      </c>
      <c r="T117" s="228">
        <f t="shared" si="146"/>
        <v>10.125</v>
      </c>
      <c r="U117" s="229">
        <f t="shared" si="147"/>
        <v>6</v>
      </c>
      <c r="V117" s="262">
        <v>8</v>
      </c>
      <c r="W117" s="263">
        <v>2</v>
      </c>
      <c r="X117" s="228">
        <f t="shared" si="148"/>
        <v>5</v>
      </c>
      <c r="Y117" s="229">
        <f t="shared" si="149"/>
        <v>0</v>
      </c>
      <c r="Z117" s="232">
        <f t="shared" si="150"/>
        <v>8.9583333333333339</v>
      </c>
      <c r="AA117" s="233">
        <f t="shared" si="151"/>
        <v>11</v>
      </c>
      <c r="AB117" s="263">
        <v>16</v>
      </c>
      <c r="AC117" s="234">
        <f t="shared" si="152"/>
        <v>16</v>
      </c>
      <c r="AD117" s="235">
        <f t="shared" si="153"/>
        <v>1</v>
      </c>
      <c r="AE117" s="262">
        <v>14.5</v>
      </c>
      <c r="AF117" s="263">
        <v>14.5</v>
      </c>
      <c r="AG117" s="228">
        <f t="shared" si="154"/>
        <v>14.5</v>
      </c>
      <c r="AH117" s="229">
        <f t="shared" si="155"/>
        <v>3</v>
      </c>
      <c r="AI117" s="262">
        <v>13</v>
      </c>
      <c r="AJ117" s="263">
        <v>4</v>
      </c>
      <c r="AK117" s="228">
        <f t="shared" si="156"/>
        <v>8.5</v>
      </c>
      <c r="AL117" s="229">
        <f t="shared" si="157"/>
        <v>0</v>
      </c>
      <c r="AM117" s="236">
        <f t="shared" si="158"/>
        <v>12.4</v>
      </c>
      <c r="AN117" s="237">
        <f t="shared" si="159"/>
        <v>7</v>
      </c>
      <c r="AO117" s="262">
        <v>11.5</v>
      </c>
      <c r="AP117" s="263">
        <v>2</v>
      </c>
      <c r="AQ117" s="228">
        <f t="shared" si="160"/>
        <v>6.75</v>
      </c>
      <c r="AR117" s="229">
        <f t="shared" si="161"/>
        <v>0</v>
      </c>
      <c r="AS117" s="263">
        <v>6</v>
      </c>
      <c r="AT117" s="234">
        <f t="shared" si="162"/>
        <v>6</v>
      </c>
      <c r="AU117" s="238">
        <f t="shared" si="163"/>
        <v>0</v>
      </c>
      <c r="AV117" s="236">
        <f t="shared" si="164"/>
        <v>6.375</v>
      </c>
      <c r="AW117" s="237">
        <f t="shared" si="165"/>
        <v>0</v>
      </c>
      <c r="AX117" s="263">
        <v>12.5</v>
      </c>
      <c r="AY117" s="263">
        <v>15.5</v>
      </c>
      <c r="AZ117" s="228">
        <f t="shared" si="166"/>
        <v>14</v>
      </c>
      <c r="BA117" s="229">
        <f t="shared" si="167"/>
        <v>1</v>
      </c>
      <c r="BB117" s="236">
        <f t="shared" si="168"/>
        <v>14</v>
      </c>
      <c r="BC117" s="237">
        <f t="shared" si="169"/>
        <v>1</v>
      </c>
      <c r="BD117" s="239">
        <f t="shared" si="170"/>
        <v>10.178571428571429</v>
      </c>
      <c r="BE117" s="240">
        <f t="shared" si="171"/>
        <v>30</v>
      </c>
      <c r="BF117" s="263"/>
      <c r="BG117" s="263"/>
      <c r="BH117" s="264">
        <f t="shared" si="172"/>
        <v>0</v>
      </c>
      <c r="BI117" s="265">
        <f t="shared" si="173"/>
        <v>0</v>
      </c>
      <c r="BJ117" s="263"/>
      <c r="BK117" s="263"/>
      <c r="BL117" s="264">
        <f t="shared" si="174"/>
        <v>0</v>
      </c>
      <c r="BM117" s="265">
        <f t="shared" si="175"/>
        <v>0</v>
      </c>
      <c r="BN117" s="263"/>
      <c r="BO117" s="263"/>
      <c r="BP117" s="264">
        <f t="shared" si="176"/>
        <v>0</v>
      </c>
      <c r="BQ117" s="265">
        <f t="shared" si="177"/>
        <v>0</v>
      </c>
      <c r="BR117" s="266">
        <f t="shared" si="178"/>
        <v>0</v>
      </c>
      <c r="BS117" s="267">
        <f t="shared" si="179"/>
        <v>0</v>
      </c>
      <c r="BT117" s="263"/>
      <c r="BU117" s="263"/>
      <c r="BV117" s="264">
        <f t="shared" si="180"/>
        <v>0</v>
      </c>
      <c r="BW117" s="265">
        <f t="shared" si="181"/>
        <v>0</v>
      </c>
      <c r="BX117" s="263"/>
      <c r="BY117" s="263"/>
      <c r="BZ117" s="264">
        <f t="shared" si="182"/>
        <v>0</v>
      </c>
      <c r="CA117" s="265">
        <f t="shared" si="183"/>
        <v>0</v>
      </c>
      <c r="CB117" s="268">
        <f t="shared" si="184"/>
        <v>0</v>
      </c>
      <c r="CC117" s="267">
        <f t="shared" si="185"/>
        <v>0</v>
      </c>
      <c r="CD117" s="263"/>
      <c r="CE117" s="263"/>
      <c r="CF117" s="264">
        <f t="shared" si="186"/>
        <v>0</v>
      </c>
      <c r="CG117" s="265">
        <f t="shared" si="187"/>
        <v>0</v>
      </c>
      <c r="CH117" s="268">
        <f t="shared" si="188"/>
        <v>0</v>
      </c>
      <c r="CI117" s="267">
        <f t="shared" si="189"/>
        <v>0</v>
      </c>
      <c r="CJ117" s="263"/>
      <c r="CK117" s="269">
        <f t="shared" si="190"/>
        <v>0</v>
      </c>
      <c r="CL117" s="270">
        <f t="shared" si="191"/>
        <v>0</v>
      </c>
      <c r="CM117" s="268">
        <f t="shared" si="192"/>
        <v>0</v>
      </c>
      <c r="CN117" s="267">
        <f t="shared" si="193"/>
        <v>0</v>
      </c>
      <c r="CO117" s="65">
        <f t="shared" si="194"/>
        <v>0</v>
      </c>
      <c r="CP117" s="66">
        <f t="shared" si="195"/>
        <v>0</v>
      </c>
      <c r="CQ117" s="31">
        <f t="shared" si="135"/>
        <v>10.178571428571429</v>
      </c>
      <c r="CR117" s="32">
        <f t="shared" si="136"/>
        <v>30</v>
      </c>
      <c r="CS117" s="33">
        <f t="shared" si="137"/>
        <v>0</v>
      </c>
      <c r="CT117" s="34">
        <f t="shared" si="138"/>
        <v>0</v>
      </c>
      <c r="CU117" s="67">
        <f t="shared" si="139"/>
        <v>5.0892857142857144</v>
      </c>
      <c r="CV117" s="35">
        <f t="shared" si="140"/>
        <v>30</v>
      </c>
      <c r="CW117" s="59">
        <f t="shared" si="141"/>
        <v>30</v>
      </c>
      <c r="CX117" s="43" t="str">
        <f t="shared" si="196"/>
        <v>مؤجل(ة)</v>
      </c>
      <c r="CY117" s="44"/>
      <c r="CZ117" s="50"/>
      <c r="DA117" s="46"/>
    </row>
    <row r="118" spans="2:105" ht="27.75" customHeight="1" thickBot="1">
      <c r="B118" s="1">
        <f t="shared" si="197"/>
        <v>24</v>
      </c>
      <c r="C118" s="329" t="s">
        <v>662</v>
      </c>
      <c r="D118" s="249" t="s">
        <v>663</v>
      </c>
      <c r="E118" s="47"/>
      <c r="F118" s="135"/>
      <c r="G118" s="136"/>
      <c r="H118" s="131"/>
      <c r="I118" s="132"/>
      <c r="J118" s="133"/>
      <c r="K118" s="134"/>
      <c r="L118" s="53">
        <f t="shared" si="142"/>
        <v>0</v>
      </c>
      <c r="M118" s="58">
        <f t="shared" si="143"/>
        <v>0</v>
      </c>
      <c r="N118" s="262">
        <v>14.5</v>
      </c>
      <c r="O118" s="263">
        <v>6.75</v>
      </c>
      <c r="P118" s="228">
        <f t="shared" si="144"/>
        <v>10.625</v>
      </c>
      <c r="Q118" s="229">
        <f t="shared" si="145"/>
        <v>5</v>
      </c>
      <c r="R118" s="262">
        <v>14.5</v>
      </c>
      <c r="S118" s="263">
        <v>10.5</v>
      </c>
      <c r="T118" s="228">
        <f t="shared" si="146"/>
        <v>12.5</v>
      </c>
      <c r="U118" s="229">
        <f t="shared" si="147"/>
        <v>6</v>
      </c>
      <c r="V118" s="262">
        <v>8</v>
      </c>
      <c r="W118" s="263">
        <v>6</v>
      </c>
      <c r="X118" s="228">
        <f t="shared" si="148"/>
        <v>7</v>
      </c>
      <c r="Y118" s="229">
        <f t="shared" si="149"/>
        <v>0</v>
      </c>
      <c r="Z118" s="232">
        <f t="shared" si="150"/>
        <v>10.041666666666666</v>
      </c>
      <c r="AA118" s="233">
        <f t="shared" si="151"/>
        <v>17</v>
      </c>
      <c r="AB118" s="263">
        <v>17.5</v>
      </c>
      <c r="AC118" s="234">
        <f t="shared" si="152"/>
        <v>17.5</v>
      </c>
      <c r="AD118" s="235">
        <f t="shared" si="153"/>
        <v>1</v>
      </c>
      <c r="AE118" s="262">
        <v>5</v>
      </c>
      <c r="AF118" s="263">
        <v>5</v>
      </c>
      <c r="AG118" s="228">
        <f t="shared" si="154"/>
        <v>5</v>
      </c>
      <c r="AH118" s="229">
        <f t="shared" si="155"/>
        <v>0</v>
      </c>
      <c r="AI118" s="262">
        <v>14</v>
      </c>
      <c r="AJ118" s="263">
        <v>8</v>
      </c>
      <c r="AK118" s="228">
        <f t="shared" si="156"/>
        <v>11</v>
      </c>
      <c r="AL118" s="229">
        <f t="shared" si="157"/>
        <v>3</v>
      </c>
      <c r="AM118" s="236">
        <f t="shared" si="158"/>
        <v>9.9</v>
      </c>
      <c r="AN118" s="237">
        <f t="shared" si="159"/>
        <v>4</v>
      </c>
      <c r="AO118" s="262">
        <v>11.5</v>
      </c>
      <c r="AP118" s="263">
        <v>4</v>
      </c>
      <c r="AQ118" s="228">
        <f t="shared" si="160"/>
        <v>7.75</v>
      </c>
      <c r="AR118" s="229">
        <f t="shared" si="161"/>
        <v>0</v>
      </c>
      <c r="AS118" s="263">
        <v>15</v>
      </c>
      <c r="AT118" s="234">
        <f t="shared" si="162"/>
        <v>15</v>
      </c>
      <c r="AU118" s="238">
        <f t="shared" si="163"/>
        <v>1</v>
      </c>
      <c r="AV118" s="236">
        <f t="shared" si="164"/>
        <v>11.375</v>
      </c>
      <c r="AW118" s="237">
        <f t="shared" si="165"/>
        <v>5</v>
      </c>
      <c r="AX118" s="263">
        <v>18</v>
      </c>
      <c r="AY118" s="263">
        <v>14.5</v>
      </c>
      <c r="AZ118" s="228">
        <f t="shared" si="166"/>
        <v>16.25</v>
      </c>
      <c r="BA118" s="229">
        <f t="shared" si="167"/>
        <v>1</v>
      </c>
      <c r="BB118" s="236">
        <f t="shared" si="168"/>
        <v>16.25</v>
      </c>
      <c r="BC118" s="237">
        <f t="shared" si="169"/>
        <v>1</v>
      </c>
      <c r="BD118" s="239">
        <f t="shared" si="170"/>
        <v>10.625</v>
      </c>
      <c r="BE118" s="240">
        <f t="shared" si="171"/>
        <v>30</v>
      </c>
      <c r="BF118" s="263"/>
      <c r="BG118" s="263"/>
      <c r="BH118" s="264">
        <f t="shared" si="172"/>
        <v>0</v>
      </c>
      <c r="BI118" s="265">
        <f t="shared" si="173"/>
        <v>0</v>
      </c>
      <c r="BJ118" s="263"/>
      <c r="BK118" s="263"/>
      <c r="BL118" s="264">
        <f t="shared" si="174"/>
        <v>0</v>
      </c>
      <c r="BM118" s="265">
        <f t="shared" si="175"/>
        <v>0</v>
      </c>
      <c r="BN118" s="263"/>
      <c r="BO118" s="263"/>
      <c r="BP118" s="264">
        <f t="shared" si="176"/>
        <v>0</v>
      </c>
      <c r="BQ118" s="265">
        <f t="shared" si="177"/>
        <v>0</v>
      </c>
      <c r="BR118" s="266">
        <f t="shared" si="178"/>
        <v>0</v>
      </c>
      <c r="BS118" s="267">
        <f t="shared" si="179"/>
        <v>0</v>
      </c>
      <c r="BT118" s="263"/>
      <c r="BU118" s="263"/>
      <c r="BV118" s="264">
        <f t="shared" si="180"/>
        <v>0</v>
      </c>
      <c r="BW118" s="265">
        <f t="shared" si="181"/>
        <v>0</v>
      </c>
      <c r="BX118" s="263"/>
      <c r="BY118" s="263"/>
      <c r="BZ118" s="264">
        <f t="shared" si="182"/>
        <v>0</v>
      </c>
      <c r="CA118" s="265">
        <f t="shared" si="183"/>
        <v>0</v>
      </c>
      <c r="CB118" s="268">
        <f t="shared" si="184"/>
        <v>0</v>
      </c>
      <c r="CC118" s="267">
        <f t="shared" si="185"/>
        <v>0</v>
      </c>
      <c r="CD118" s="263"/>
      <c r="CE118" s="263"/>
      <c r="CF118" s="264">
        <f t="shared" si="186"/>
        <v>0</v>
      </c>
      <c r="CG118" s="265">
        <f t="shared" si="187"/>
        <v>0</v>
      </c>
      <c r="CH118" s="268">
        <f t="shared" si="188"/>
        <v>0</v>
      </c>
      <c r="CI118" s="267">
        <f t="shared" si="189"/>
        <v>0</v>
      </c>
      <c r="CJ118" s="263"/>
      <c r="CK118" s="269">
        <f t="shared" si="190"/>
        <v>0</v>
      </c>
      <c r="CL118" s="270">
        <f t="shared" si="191"/>
        <v>0</v>
      </c>
      <c r="CM118" s="268">
        <f t="shared" si="192"/>
        <v>0</v>
      </c>
      <c r="CN118" s="267">
        <f t="shared" si="193"/>
        <v>0</v>
      </c>
      <c r="CO118" s="65">
        <f t="shared" si="194"/>
        <v>0</v>
      </c>
      <c r="CP118" s="66">
        <f t="shared" si="195"/>
        <v>0</v>
      </c>
      <c r="CQ118" s="31">
        <f t="shared" si="135"/>
        <v>10.625</v>
      </c>
      <c r="CR118" s="32">
        <f t="shared" si="136"/>
        <v>30</v>
      </c>
      <c r="CS118" s="33">
        <f t="shared" si="137"/>
        <v>0</v>
      </c>
      <c r="CT118" s="34">
        <f t="shared" si="138"/>
        <v>0</v>
      </c>
      <c r="CU118" s="67">
        <f t="shared" si="139"/>
        <v>5.3125</v>
      </c>
      <c r="CV118" s="35">
        <f t="shared" si="140"/>
        <v>30</v>
      </c>
      <c r="CW118" s="59">
        <f t="shared" si="141"/>
        <v>30</v>
      </c>
      <c r="CX118" s="43" t="str">
        <f t="shared" si="196"/>
        <v>مؤجل(ة)</v>
      </c>
      <c r="CY118" s="44"/>
      <c r="CZ118" s="50"/>
      <c r="DA118" s="46"/>
    </row>
    <row r="119" spans="2:105" ht="27.75" customHeight="1" thickBot="1">
      <c r="B119" s="1">
        <f t="shared" si="197"/>
        <v>25</v>
      </c>
      <c r="C119" s="328" t="s">
        <v>664</v>
      </c>
      <c r="D119" s="249" t="s">
        <v>665</v>
      </c>
      <c r="E119" s="47"/>
      <c r="F119" s="135"/>
      <c r="G119" s="136"/>
      <c r="H119" s="131"/>
      <c r="I119" s="132"/>
      <c r="J119" s="133"/>
      <c r="K119" s="134"/>
      <c r="L119" s="53">
        <f t="shared" si="142"/>
        <v>0</v>
      </c>
      <c r="M119" s="58">
        <f t="shared" si="143"/>
        <v>0</v>
      </c>
      <c r="N119" s="262">
        <v>5</v>
      </c>
      <c r="O119" s="263">
        <v>4.5</v>
      </c>
      <c r="P119" s="228">
        <f t="shared" si="144"/>
        <v>4.75</v>
      </c>
      <c r="Q119" s="229">
        <f t="shared" si="145"/>
        <v>0</v>
      </c>
      <c r="R119" s="262">
        <v>12.5</v>
      </c>
      <c r="S119" s="263">
        <v>4.25</v>
      </c>
      <c r="T119" s="228">
        <f t="shared" si="146"/>
        <v>8.375</v>
      </c>
      <c r="U119" s="229">
        <f t="shared" si="147"/>
        <v>0</v>
      </c>
      <c r="V119" s="262">
        <v>7</v>
      </c>
      <c r="W119" s="263">
        <v>1</v>
      </c>
      <c r="X119" s="228">
        <f t="shared" si="148"/>
        <v>4</v>
      </c>
      <c r="Y119" s="229">
        <f t="shared" si="149"/>
        <v>0</v>
      </c>
      <c r="Z119" s="232">
        <f t="shared" si="150"/>
        <v>5.708333333333333</v>
      </c>
      <c r="AA119" s="233">
        <f t="shared" si="151"/>
        <v>0</v>
      </c>
      <c r="AB119" s="263">
        <v>6.5</v>
      </c>
      <c r="AC119" s="234">
        <f t="shared" si="152"/>
        <v>6.5</v>
      </c>
      <c r="AD119" s="235">
        <f t="shared" si="153"/>
        <v>0</v>
      </c>
      <c r="AE119" s="262">
        <v>2</v>
      </c>
      <c r="AF119" s="263">
        <v>2</v>
      </c>
      <c r="AG119" s="228">
        <f t="shared" si="154"/>
        <v>2</v>
      </c>
      <c r="AH119" s="229">
        <f t="shared" si="155"/>
        <v>0</v>
      </c>
      <c r="AI119" s="262">
        <v>10</v>
      </c>
      <c r="AJ119" s="263">
        <v>2</v>
      </c>
      <c r="AK119" s="228">
        <f t="shared" si="156"/>
        <v>6</v>
      </c>
      <c r="AL119" s="229">
        <f t="shared" si="157"/>
        <v>0</v>
      </c>
      <c r="AM119" s="236">
        <f t="shared" si="158"/>
        <v>4.5</v>
      </c>
      <c r="AN119" s="237">
        <f t="shared" si="159"/>
        <v>0</v>
      </c>
      <c r="AO119" s="262">
        <v>11.5</v>
      </c>
      <c r="AP119" s="263">
        <v>1</v>
      </c>
      <c r="AQ119" s="228">
        <f t="shared" si="160"/>
        <v>6.25</v>
      </c>
      <c r="AR119" s="229">
        <f t="shared" si="161"/>
        <v>0</v>
      </c>
      <c r="AS119" s="263">
        <v>7</v>
      </c>
      <c r="AT119" s="234">
        <f t="shared" si="162"/>
        <v>7</v>
      </c>
      <c r="AU119" s="238">
        <f t="shared" si="163"/>
        <v>0</v>
      </c>
      <c r="AV119" s="236">
        <f t="shared" si="164"/>
        <v>6.625</v>
      </c>
      <c r="AW119" s="237">
        <f t="shared" si="165"/>
        <v>0</v>
      </c>
      <c r="AX119" s="263">
        <v>12</v>
      </c>
      <c r="AY119" s="263">
        <v>3.5</v>
      </c>
      <c r="AZ119" s="228">
        <f t="shared" si="166"/>
        <v>7.75</v>
      </c>
      <c r="BA119" s="229">
        <f t="shared" si="167"/>
        <v>0</v>
      </c>
      <c r="BB119" s="236">
        <f t="shared" si="168"/>
        <v>7.75</v>
      </c>
      <c r="BC119" s="237">
        <f t="shared" si="169"/>
        <v>0</v>
      </c>
      <c r="BD119" s="239">
        <f t="shared" si="170"/>
        <v>5.5535714285714288</v>
      </c>
      <c r="BE119" s="240">
        <f t="shared" si="171"/>
        <v>0</v>
      </c>
      <c r="BF119" s="263"/>
      <c r="BG119" s="263"/>
      <c r="BH119" s="264">
        <f t="shared" si="172"/>
        <v>0</v>
      </c>
      <c r="BI119" s="265">
        <f t="shared" si="173"/>
        <v>0</v>
      </c>
      <c r="BJ119" s="263"/>
      <c r="BK119" s="263"/>
      <c r="BL119" s="264">
        <f t="shared" si="174"/>
        <v>0</v>
      </c>
      <c r="BM119" s="265">
        <f t="shared" si="175"/>
        <v>0</v>
      </c>
      <c r="BN119" s="263"/>
      <c r="BO119" s="263"/>
      <c r="BP119" s="264">
        <f t="shared" si="176"/>
        <v>0</v>
      </c>
      <c r="BQ119" s="265">
        <f t="shared" si="177"/>
        <v>0</v>
      </c>
      <c r="BR119" s="266">
        <f t="shared" si="178"/>
        <v>0</v>
      </c>
      <c r="BS119" s="267">
        <f t="shared" si="179"/>
        <v>0</v>
      </c>
      <c r="BT119" s="263"/>
      <c r="BU119" s="263"/>
      <c r="BV119" s="264">
        <f t="shared" si="180"/>
        <v>0</v>
      </c>
      <c r="BW119" s="265">
        <f t="shared" si="181"/>
        <v>0</v>
      </c>
      <c r="BX119" s="263"/>
      <c r="BY119" s="263"/>
      <c r="BZ119" s="264">
        <f t="shared" si="182"/>
        <v>0</v>
      </c>
      <c r="CA119" s="265">
        <f t="shared" si="183"/>
        <v>0</v>
      </c>
      <c r="CB119" s="268">
        <f t="shared" si="184"/>
        <v>0</v>
      </c>
      <c r="CC119" s="267">
        <f t="shared" si="185"/>
        <v>0</v>
      </c>
      <c r="CD119" s="263"/>
      <c r="CE119" s="263"/>
      <c r="CF119" s="264">
        <f t="shared" si="186"/>
        <v>0</v>
      </c>
      <c r="CG119" s="265">
        <f t="shared" si="187"/>
        <v>0</v>
      </c>
      <c r="CH119" s="268">
        <f t="shared" si="188"/>
        <v>0</v>
      </c>
      <c r="CI119" s="267">
        <f t="shared" si="189"/>
        <v>0</v>
      </c>
      <c r="CJ119" s="263"/>
      <c r="CK119" s="269">
        <f t="shared" si="190"/>
        <v>0</v>
      </c>
      <c r="CL119" s="270">
        <f t="shared" si="191"/>
        <v>0</v>
      </c>
      <c r="CM119" s="268">
        <f t="shared" si="192"/>
        <v>0</v>
      </c>
      <c r="CN119" s="267">
        <f t="shared" si="193"/>
        <v>0</v>
      </c>
      <c r="CO119" s="65">
        <f t="shared" si="194"/>
        <v>0</v>
      </c>
      <c r="CP119" s="66">
        <f t="shared" si="195"/>
        <v>0</v>
      </c>
      <c r="CQ119" s="31">
        <f t="shared" si="135"/>
        <v>5.5535714285714288</v>
      </c>
      <c r="CR119" s="32">
        <f t="shared" si="136"/>
        <v>0</v>
      </c>
      <c r="CS119" s="33">
        <f t="shared" si="137"/>
        <v>0</v>
      </c>
      <c r="CT119" s="34">
        <f t="shared" si="138"/>
        <v>0</v>
      </c>
      <c r="CU119" s="67">
        <f t="shared" si="139"/>
        <v>2.7767857142857144</v>
      </c>
      <c r="CV119" s="35">
        <f t="shared" si="140"/>
        <v>0</v>
      </c>
      <c r="CW119" s="59">
        <f t="shared" si="141"/>
        <v>0</v>
      </c>
      <c r="CX119" s="43" t="str">
        <f t="shared" si="196"/>
        <v>مؤجل(ة)</v>
      </c>
      <c r="CY119" s="44"/>
      <c r="CZ119" s="51"/>
      <c r="DA119" s="46"/>
    </row>
    <row r="120" spans="2:105" ht="27.75" customHeight="1" thickBot="1">
      <c r="B120" s="1">
        <f t="shared" si="197"/>
        <v>26</v>
      </c>
      <c r="C120" s="328" t="s">
        <v>666</v>
      </c>
      <c r="D120" s="249" t="s">
        <v>667</v>
      </c>
      <c r="E120" s="47"/>
      <c r="F120" s="135"/>
      <c r="G120" s="136"/>
      <c r="H120" s="131"/>
      <c r="I120" s="132"/>
      <c r="J120" s="133"/>
      <c r="K120" s="134"/>
      <c r="L120" s="53">
        <f t="shared" si="142"/>
        <v>0</v>
      </c>
      <c r="M120" s="58">
        <f t="shared" si="143"/>
        <v>0</v>
      </c>
      <c r="N120" s="262">
        <v>10.5</v>
      </c>
      <c r="O120" s="263">
        <v>3</v>
      </c>
      <c r="P120" s="228">
        <f t="shared" si="144"/>
        <v>6.75</v>
      </c>
      <c r="Q120" s="229">
        <f t="shared" si="145"/>
        <v>0</v>
      </c>
      <c r="R120" s="262">
        <v>11.5</v>
      </c>
      <c r="S120" s="263">
        <v>5.25</v>
      </c>
      <c r="T120" s="228">
        <f t="shared" si="146"/>
        <v>8.375</v>
      </c>
      <c r="U120" s="229">
        <f t="shared" si="147"/>
        <v>0</v>
      </c>
      <c r="V120" s="262">
        <v>6</v>
      </c>
      <c r="W120" s="263">
        <v>1.5</v>
      </c>
      <c r="X120" s="228">
        <f t="shared" si="148"/>
        <v>3.75</v>
      </c>
      <c r="Y120" s="229">
        <f t="shared" si="149"/>
        <v>0</v>
      </c>
      <c r="Z120" s="232">
        <f t="shared" si="150"/>
        <v>6.291666666666667</v>
      </c>
      <c r="AA120" s="233">
        <f t="shared" si="151"/>
        <v>0</v>
      </c>
      <c r="AB120" s="263">
        <v>7.5</v>
      </c>
      <c r="AC120" s="234">
        <f t="shared" si="152"/>
        <v>7.5</v>
      </c>
      <c r="AD120" s="235">
        <f t="shared" si="153"/>
        <v>0</v>
      </c>
      <c r="AE120" s="262">
        <v>0.5</v>
      </c>
      <c r="AF120" s="263">
        <v>0.5</v>
      </c>
      <c r="AG120" s="228">
        <f t="shared" si="154"/>
        <v>0.5</v>
      </c>
      <c r="AH120" s="229">
        <f t="shared" si="155"/>
        <v>0</v>
      </c>
      <c r="AI120" s="262">
        <v>6</v>
      </c>
      <c r="AJ120" s="263">
        <v>0</v>
      </c>
      <c r="AK120" s="228">
        <f t="shared" si="156"/>
        <v>3</v>
      </c>
      <c r="AL120" s="229">
        <f t="shared" si="157"/>
        <v>0</v>
      </c>
      <c r="AM120" s="236">
        <f t="shared" si="158"/>
        <v>2.9</v>
      </c>
      <c r="AN120" s="237">
        <f t="shared" si="159"/>
        <v>0</v>
      </c>
      <c r="AO120" s="262">
        <v>11.5</v>
      </c>
      <c r="AP120" s="263">
        <v>5</v>
      </c>
      <c r="AQ120" s="228">
        <f t="shared" si="160"/>
        <v>8.25</v>
      </c>
      <c r="AR120" s="229">
        <f t="shared" si="161"/>
        <v>0</v>
      </c>
      <c r="AS120" s="263">
        <v>1</v>
      </c>
      <c r="AT120" s="234">
        <f t="shared" si="162"/>
        <v>1</v>
      </c>
      <c r="AU120" s="238">
        <f t="shared" si="163"/>
        <v>0</v>
      </c>
      <c r="AV120" s="236">
        <f t="shared" si="164"/>
        <v>4.625</v>
      </c>
      <c r="AW120" s="237">
        <f t="shared" si="165"/>
        <v>0</v>
      </c>
      <c r="AX120" s="263">
        <v>12</v>
      </c>
      <c r="AY120" s="263">
        <v>7</v>
      </c>
      <c r="AZ120" s="228">
        <f t="shared" si="166"/>
        <v>9.5</v>
      </c>
      <c r="BA120" s="229">
        <f t="shared" si="167"/>
        <v>0</v>
      </c>
      <c r="BB120" s="236">
        <f t="shared" si="168"/>
        <v>9.5</v>
      </c>
      <c r="BC120" s="237">
        <f t="shared" si="169"/>
        <v>0</v>
      </c>
      <c r="BD120" s="239">
        <f t="shared" si="170"/>
        <v>5.0714285714285712</v>
      </c>
      <c r="BE120" s="240">
        <f t="shared" si="171"/>
        <v>0</v>
      </c>
      <c r="BF120" s="263"/>
      <c r="BG120" s="263"/>
      <c r="BH120" s="264">
        <f t="shared" si="172"/>
        <v>0</v>
      </c>
      <c r="BI120" s="265">
        <f t="shared" si="173"/>
        <v>0</v>
      </c>
      <c r="BJ120" s="263"/>
      <c r="BK120" s="263"/>
      <c r="BL120" s="264">
        <f t="shared" si="174"/>
        <v>0</v>
      </c>
      <c r="BM120" s="265">
        <f t="shared" si="175"/>
        <v>0</v>
      </c>
      <c r="BN120" s="263"/>
      <c r="BO120" s="263"/>
      <c r="BP120" s="264">
        <f t="shared" si="176"/>
        <v>0</v>
      </c>
      <c r="BQ120" s="265">
        <f t="shared" si="177"/>
        <v>0</v>
      </c>
      <c r="BR120" s="266">
        <f t="shared" si="178"/>
        <v>0</v>
      </c>
      <c r="BS120" s="267">
        <f t="shared" si="179"/>
        <v>0</v>
      </c>
      <c r="BT120" s="263"/>
      <c r="BU120" s="263"/>
      <c r="BV120" s="264">
        <f t="shared" si="180"/>
        <v>0</v>
      </c>
      <c r="BW120" s="265">
        <f t="shared" si="181"/>
        <v>0</v>
      </c>
      <c r="BX120" s="263"/>
      <c r="BY120" s="263"/>
      <c r="BZ120" s="264">
        <f t="shared" si="182"/>
        <v>0</v>
      </c>
      <c r="CA120" s="265">
        <f t="shared" si="183"/>
        <v>0</v>
      </c>
      <c r="CB120" s="268">
        <f t="shared" si="184"/>
        <v>0</v>
      </c>
      <c r="CC120" s="267">
        <f t="shared" si="185"/>
        <v>0</v>
      </c>
      <c r="CD120" s="263"/>
      <c r="CE120" s="263"/>
      <c r="CF120" s="264">
        <f t="shared" si="186"/>
        <v>0</v>
      </c>
      <c r="CG120" s="265">
        <f t="shared" si="187"/>
        <v>0</v>
      </c>
      <c r="CH120" s="268">
        <f t="shared" si="188"/>
        <v>0</v>
      </c>
      <c r="CI120" s="267">
        <f t="shared" si="189"/>
        <v>0</v>
      </c>
      <c r="CJ120" s="263"/>
      <c r="CK120" s="269">
        <f t="shared" si="190"/>
        <v>0</v>
      </c>
      <c r="CL120" s="270">
        <f t="shared" si="191"/>
        <v>0</v>
      </c>
      <c r="CM120" s="268">
        <f t="shared" si="192"/>
        <v>0</v>
      </c>
      <c r="CN120" s="267">
        <f t="shared" si="193"/>
        <v>0</v>
      </c>
      <c r="CO120" s="65">
        <f t="shared" si="194"/>
        <v>0</v>
      </c>
      <c r="CP120" s="66">
        <f t="shared" si="195"/>
        <v>0</v>
      </c>
      <c r="CQ120" s="31">
        <f t="shared" si="135"/>
        <v>5.0714285714285712</v>
      </c>
      <c r="CR120" s="32">
        <f t="shared" si="136"/>
        <v>0</v>
      </c>
      <c r="CS120" s="33">
        <f t="shared" si="137"/>
        <v>0</v>
      </c>
      <c r="CT120" s="34">
        <f t="shared" si="138"/>
        <v>0</v>
      </c>
      <c r="CU120" s="67">
        <f t="shared" si="139"/>
        <v>2.5357142857142856</v>
      </c>
      <c r="CV120" s="35">
        <f t="shared" si="140"/>
        <v>0</v>
      </c>
      <c r="CW120" s="59">
        <f t="shared" si="141"/>
        <v>0</v>
      </c>
      <c r="CX120" s="43" t="str">
        <f t="shared" si="196"/>
        <v>مؤجل(ة)</v>
      </c>
      <c r="CY120" s="44"/>
      <c r="CZ120" s="50"/>
      <c r="DA120" s="46"/>
    </row>
    <row r="121" spans="2:105" ht="27.75" customHeight="1" thickBot="1">
      <c r="B121" s="1">
        <f t="shared" si="197"/>
        <v>27</v>
      </c>
      <c r="C121" s="329" t="s">
        <v>328</v>
      </c>
      <c r="D121" s="249" t="s">
        <v>329</v>
      </c>
      <c r="E121" s="47" t="s">
        <v>489</v>
      </c>
      <c r="F121" s="135">
        <v>34615</v>
      </c>
      <c r="G121" s="136" t="s">
        <v>781</v>
      </c>
      <c r="H121" s="131">
        <v>8.52</v>
      </c>
      <c r="I121" s="132">
        <v>20</v>
      </c>
      <c r="J121" s="133">
        <v>4.3499999999999996</v>
      </c>
      <c r="K121" s="134">
        <v>12</v>
      </c>
      <c r="L121" s="53">
        <f t="shared" si="142"/>
        <v>6.4349999999999996</v>
      </c>
      <c r="M121" s="58">
        <f t="shared" si="143"/>
        <v>32</v>
      </c>
      <c r="N121" s="262">
        <v>11</v>
      </c>
      <c r="O121" s="263">
        <v>11</v>
      </c>
      <c r="P121" s="228">
        <f t="shared" si="144"/>
        <v>11</v>
      </c>
      <c r="Q121" s="229">
        <f t="shared" si="145"/>
        <v>5</v>
      </c>
      <c r="R121" s="262">
        <v>11.75</v>
      </c>
      <c r="S121" s="263">
        <v>11.75</v>
      </c>
      <c r="T121" s="228">
        <f t="shared" si="146"/>
        <v>11.75</v>
      </c>
      <c r="U121" s="229">
        <f t="shared" si="147"/>
        <v>6</v>
      </c>
      <c r="V121" s="262">
        <v>10</v>
      </c>
      <c r="W121" s="263">
        <v>10</v>
      </c>
      <c r="X121" s="228">
        <f t="shared" si="148"/>
        <v>10</v>
      </c>
      <c r="Y121" s="229">
        <f t="shared" si="149"/>
        <v>6</v>
      </c>
      <c r="Z121" s="232">
        <f t="shared" si="150"/>
        <v>10.916666666666666</v>
      </c>
      <c r="AA121" s="233">
        <f t="shared" si="151"/>
        <v>17</v>
      </c>
      <c r="AB121" s="263">
        <v>10</v>
      </c>
      <c r="AC121" s="234">
        <f t="shared" si="152"/>
        <v>10</v>
      </c>
      <c r="AD121" s="235">
        <f t="shared" si="153"/>
        <v>1</v>
      </c>
      <c r="AE121" s="262">
        <v>12.25</v>
      </c>
      <c r="AF121" s="263">
        <v>12.25</v>
      </c>
      <c r="AG121" s="228">
        <f t="shared" si="154"/>
        <v>12.25</v>
      </c>
      <c r="AH121" s="229">
        <f t="shared" si="155"/>
        <v>3</v>
      </c>
      <c r="AI121" s="262">
        <v>7.5</v>
      </c>
      <c r="AJ121" s="263">
        <v>7.5</v>
      </c>
      <c r="AK121" s="228">
        <f t="shared" si="156"/>
        <v>7.5</v>
      </c>
      <c r="AL121" s="229">
        <f t="shared" si="157"/>
        <v>0</v>
      </c>
      <c r="AM121" s="236">
        <f t="shared" si="158"/>
        <v>9.9</v>
      </c>
      <c r="AN121" s="237">
        <f t="shared" si="159"/>
        <v>4</v>
      </c>
      <c r="AO121" s="262">
        <v>5</v>
      </c>
      <c r="AP121" s="263">
        <v>5</v>
      </c>
      <c r="AQ121" s="228">
        <f t="shared" si="160"/>
        <v>5</v>
      </c>
      <c r="AR121" s="229">
        <f t="shared" si="161"/>
        <v>0</v>
      </c>
      <c r="AS121" s="263">
        <v>10</v>
      </c>
      <c r="AT121" s="234">
        <f t="shared" si="162"/>
        <v>10</v>
      </c>
      <c r="AU121" s="238">
        <f t="shared" si="163"/>
        <v>1</v>
      </c>
      <c r="AV121" s="236">
        <f t="shared" si="164"/>
        <v>7.5</v>
      </c>
      <c r="AW121" s="237">
        <f t="shared" si="165"/>
        <v>1</v>
      </c>
      <c r="AX121" s="263">
        <v>10.130000000000001</v>
      </c>
      <c r="AY121" s="263">
        <v>10.130000000000001</v>
      </c>
      <c r="AZ121" s="228">
        <f t="shared" si="166"/>
        <v>10.130000000000001</v>
      </c>
      <c r="BA121" s="229">
        <f t="shared" si="167"/>
        <v>1</v>
      </c>
      <c r="BB121" s="236">
        <f t="shared" si="168"/>
        <v>10.130000000000001</v>
      </c>
      <c r="BC121" s="237">
        <f t="shared" si="169"/>
        <v>1</v>
      </c>
      <c r="BD121" s="239">
        <f t="shared" si="170"/>
        <v>10.009285714285713</v>
      </c>
      <c r="BE121" s="240">
        <f t="shared" si="171"/>
        <v>30</v>
      </c>
      <c r="BF121" s="263"/>
      <c r="BG121" s="263"/>
      <c r="BH121" s="264">
        <f t="shared" si="172"/>
        <v>0</v>
      </c>
      <c r="BI121" s="265">
        <f t="shared" si="173"/>
        <v>0</v>
      </c>
      <c r="BJ121" s="263"/>
      <c r="BK121" s="263"/>
      <c r="BL121" s="264">
        <f t="shared" si="174"/>
        <v>0</v>
      </c>
      <c r="BM121" s="265">
        <f t="shared" si="175"/>
        <v>0</v>
      </c>
      <c r="BN121" s="263"/>
      <c r="BO121" s="263"/>
      <c r="BP121" s="264">
        <f t="shared" si="176"/>
        <v>0</v>
      </c>
      <c r="BQ121" s="265">
        <f t="shared" si="177"/>
        <v>0</v>
      </c>
      <c r="BR121" s="266">
        <f t="shared" si="178"/>
        <v>0</v>
      </c>
      <c r="BS121" s="267">
        <f t="shared" si="179"/>
        <v>0</v>
      </c>
      <c r="BT121" s="263"/>
      <c r="BU121" s="263"/>
      <c r="BV121" s="264">
        <f t="shared" si="180"/>
        <v>0</v>
      </c>
      <c r="BW121" s="265">
        <f t="shared" si="181"/>
        <v>0</v>
      </c>
      <c r="BX121" s="263"/>
      <c r="BY121" s="263"/>
      <c r="BZ121" s="264">
        <f t="shared" si="182"/>
        <v>0</v>
      </c>
      <c r="CA121" s="265">
        <f t="shared" si="183"/>
        <v>0</v>
      </c>
      <c r="CB121" s="268">
        <f t="shared" si="184"/>
        <v>0</v>
      </c>
      <c r="CC121" s="267">
        <f t="shared" si="185"/>
        <v>0</v>
      </c>
      <c r="CD121" s="263"/>
      <c r="CE121" s="263"/>
      <c r="CF121" s="264">
        <f t="shared" si="186"/>
        <v>0</v>
      </c>
      <c r="CG121" s="265">
        <f t="shared" si="187"/>
        <v>0</v>
      </c>
      <c r="CH121" s="268">
        <f t="shared" si="188"/>
        <v>0</v>
      </c>
      <c r="CI121" s="267">
        <f t="shared" si="189"/>
        <v>0</v>
      </c>
      <c r="CJ121" s="263"/>
      <c r="CK121" s="269">
        <f t="shared" si="190"/>
        <v>0</v>
      </c>
      <c r="CL121" s="270">
        <f t="shared" si="191"/>
        <v>0</v>
      </c>
      <c r="CM121" s="268">
        <f t="shared" si="192"/>
        <v>0</v>
      </c>
      <c r="CN121" s="267">
        <f t="shared" si="193"/>
        <v>0</v>
      </c>
      <c r="CO121" s="65">
        <f t="shared" si="194"/>
        <v>0</v>
      </c>
      <c r="CP121" s="66">
        <f t="shared" si="195"/>
        <v>0</v>
      </c>
      <c r="CQ121" s="31">
        <f t="shared" si="135"/>
        <v>10.009285714285713</v>
      </c>
      <c r="CR121" s="32">
        <f t="shared" si="136"/>
        <v>30</v>
      </c>
      <c r="CS121" s="33">
        <f t="shared" si="137"/>
        <v>0</v>
      </c>
      <c r="CT121" s="34">
        <f t="shared" si="138"/>
        <v>0</v>
      </c>
      <c r="CU121" s="67">
        <f t="shared" si="139"/>
        <v>5.0046428571428567</v>
      </c>
      <c r="CV121" s="35">
        <f t="shared" si="140"/>
        <v>30</v>
      </c>
      <c r="CW121" s="59">
        <f t="shared" si="141"/>
        <v>62</v>
      </c>
      <c r="CX121" s="43" t="str">
        <f t="shared" si="196"/>
        <v>مؤجل(ة)</v>
      </c>
      <c r="CZ121" s="51"/>
      <c r="DA121" s="46"/>
    </row>
    <row r="122" spans="2:105" ht="27.75" customHeight="1" thickBot="1">
      <c r="B122" s="1">
        <f t="shared" si="197"/>
        <v>28</v>
      </c>
      <c r="C122" s="333" t="s">
        <v>163</v>
      </c>
      <c r="D122" s="249" t="s">
        <v>668</v>
      </c>
      <c r="E122" s="47" t="s">
        <v>776</v>
      </c>
      <c r="F122" s="135">
        <v>35679</v>
      </c>
      <c r="G122" s="136" t="s">
        <v>777</v>
      </c>
      <c r="H122" s="131">
        <v>9.42</v>
      </c>
      <c r="I122" s="132">
        <v>15</v>
      </c>
      <c r="J122" s="133">
        <v>8.57</v>
      </c>
      <c r="K122" s="134">
        <v>17</v>
      </c>
      <c r="L122" s="53">
        <f t="shared" si="142"/>
        <v>8.995000000000001</v>
      </c>
      <c r="M122" s="58">
        <f t="shared" si="143"/>
        <v>32</v>
      </c>
      <c r="N122" s="262">
        <v>15.5</v>
      </c>
      <c r="O122" s="263">
        <v>15.5</v>
      </c>
      <c r="P122" s="228">
        <f t="shared" si="144"/>
        <v>15.5</v>
      </c>
      <c r="Q122" s="229">
        <f t="shared" si="145"/>
        <v>5</v>
      </c>
      <c r="R122" s="262">
        <v>7.75</v>
      </c>
      <c r="S122" s="263">
        <v>7.75</v>
      </c>
      <c r="T122" s="228">
        <f t="shared" si="146"/>
        <v>7.75</v>
      </c>
      <c r="U122" s="229">
        <f t="shared" si="147"/>
        <v>0</v>
      </c>
      <c r="V122" s="262">
        <v>6.75</v>
      </c>
      <c r="W122" s="263">
        <v>6.75</v>
      </c>
      <c r="X122" s="228">
        <f t="shared" si="148"/>
        <v>6.75</v>
      </c>
      <c r="Y122" s="229">
        <f t="shared" si="149"/>
        <v>0</v>
      </c>
      <c r="Z122" s="232">
        <f t="shared" si="150"/>
        <v>10</v>
      </c>
      <c r="AA122" s="233">
        <f t="shared" si="151"/>
        <v>17</v>
      </c>
      <c r="AB122" s="263">
        <v>13.5</v>
      </c>
      <c r="AC122" s="234">
        <f t="shared" si="152"/>
        <v>13.5</v>
      </c>
      <c r="AD122" s="235">
        <f t="shared" si="153"/>
        <v>1</v>
      </c>
      <c r="AE122" s="262">
        <v>11.5</v>
      </c>
      <c r="AF122" s="263">
        <v>11.5</v>
      </c>
      <c r="AG122" s="228">
        <f t="shared" si="154"/>
        <v>11.5</v>
      </c>
      <c r="AH122" s="229">
        <f t="shared" si="155"/>
        <v>3</v>
      </c>
      <c r="AI122" s="262">
        <v>11</v>
      </c>
      <c r="AJ122" s="263">
        <v>9.5</v>
      </c>
      <c r="AK122" s="228">
        <f t="shared" si="156"/>
        <v>10.25</v>
      </c>
      <c r="AL122" s="229">
        <f t="shared" si="157"/>
        <v>3</v>
      </c>
      <c r="AM122" s="236">
        <f t="shared" si="158"/>
        <v>11.4</v>
      </c>
      <c r="AN122" s="237">
        <f t="shared" si="159"/>
        <v>7</v>
      </c>
      <c r="AO122" s="262">
        <v>11.5</v>
      </c>
      <c r="AP122" s="263">
        <v>5</v>
      </c>
      <c r="AQ122" s="228">
        <f t="shared" si="160"/>
        <v>8.25</v>
      </c>
      <c r="AR122" s="229">
        <f t="shared" si="161"/>
        <v>0</v>
      </c>
      <c r="AS122" s="263">
        <v>7</v>
      </c>
      <c r="AT122" s="234">
        <f t="shared" si="162"/>
        <v>7</v>
      </c>
      <c r="AU122" s="238">
        <f t="shared" si="163"/>
        <v>0</v>
      </c>
      <c r="AV122" s="236">
        <f t="shared" si="164"/>
        <v>7.625</v>
      </c>
      <c r="AW122" s="237">
        <f t="shared" si="165"/>
        <v>0</v>
      </c>
      <c r="AX122" s="263">
        <v>12</v>
      </c>
      <c r="AY122" s="263">
        <v>4.5</v>
      </c>
      <c r="AZ122" s="228">
        <f t="shared" si="166"/>
        <v>8.25</v>
      </c>
      <c r="BA122" s="229">
        <f t="shared" si="167"/>
        <v>0</v>
      </c>
      <c r="BB122" s="236">
        <f t="shared" si="168"/>
        <v>8.25</v>
      </c>
      <c r="BC122" s="237">
        <f t="shared" si="169"/>
        <v>0</v>
      </c>
      <c r="BD122" s="239">
        <f t="shared" si="170"/>
        <v>10.035714285714286</v>
      </c>
      <c r="BE122" s="240">
        <f t="shared" si="171"/>
        <v>30</v>
      </c>
      <c r="BF122" s="263"/>
      <c r="BG122" s="263"/>
      <c r="BH122" s="264">
        <f t="shared" si="172"/>
        <v>0</v>
      </c>
      <c r="BI122" s="265">
        <f t="shared" si="173"/>
        <v>0</v>
      </c>
      <c r="BJ122" s="263"/>
      <c r="BK122" s="263"/>
      <c r="BL122" s="264">
        <f t="shared" si="174"/>
        <v>0</v>
      </c>
      <c r="BM122" s="265">
        <f t="shared" si="175"/>
        <v>0</v>
      </c>
      <c r="BN122" s="263"/>
      <c r="BO122" s="263"/>
      <c r="BP122" s="264">
        <f t="shared" si="176"/>
        <v>0</v>
      </c>
      <c r="BQ122" s="265">
        <f t="shared" si="177"/>
        <v>0</v>
      </c>
      <c r="BR122" s="266">
        <f t="shared" si="178"/>
        <v>0</v>
      </c>
      <c r="BS122" s="267">
        <f t="shared" si="179"/>
        <v>0</v>
      </c>
      <c r="BT122" s="263"/>
      <c r="BU122" s="263"/>
      <c r="BV122" s="264">
        <f t="shared" si="180"/>
        <v>0</v>
      </c>
      <c r="BW122" s="265">
        <f t="shared" si="181"/>
        <v>0</v>
      </c>
      <c r="BX122" s="263"/>
      <c r="BY122" s="263"/>
      <c r="BZ122" s="264">
        <f t="shared" si="182"/>
        <v>0</v>
      </c>
      <c r="CA122" s="265">
        <f t="shared" si="183"/>
        <v>0</v>
      </c>
      <c r="CB122" s="268">
        <f t="shared" si="184"/>
        <v>0</v>
      </c>
      <c r="CC122" s="267">
        <f t="shared" si="185"/>
        <v>0</v>
      </c>
      <c r="CD122" s="263"/>
      <c r="CE122" s="263"/>
      <c r="CF122" s="264">
        <f t="shared" si="186"/>
        <v>0</v>
      </c>
      <c r="CG122" s="265">
        <f t="shared" si="187"/>
        <v>0</v>
      </c>
      <c r="CH122" s="268">
        <f t="shared" si="188"/>
        <v>0</v>
      </c>
      <c r="CI122" s="267">
        <f t="shared" si="189"/>
        <v>0</v>
      </c>
      <c r="CJ122" s="263"/>
      <c r="CK122" s="269">
        <f t="shared" si="190"/>
        <v>0</v>
      </c>
      <c r="CL122" s="270">
        <f t="shared" si="191"/>
        <v>0</v>
      </c>
      <c r="CM122" s="268">
        <f t="shared" si="192"/>
        <v>0</v>
      </c>
      <c r="CN122" s="267">
        <f t="shared" si="193"/>
        <v>0</v>
      </c>
      <c r="CO122" s="65">
        <f t="shared" si="194"/>
        <v>0</v>
      </c>
      <c r="CP122" s="66">
        <f t="shared" si="195"/>
        <v>0</v>
      </c>
      <c r="CQ122" s="31">
        <f t="shared" si="135"/>
        <v>10.035714285714286</v>
      </c>
      <c r="CR122" s="32">
        <f t="shared" si="136"/>
        <v>30</v>
      </c>
      <c r="CS122" s="33">
        <f t="shared" si="137"/>
        <v>0</v>
      </c>
      <c r="CT122" s="34">
        <f t="shared" si="138"/>
        <v>0</v>
      </c>
      <c r="CU122" s="67">
        <f t="shared" si="139"/>
        <v>5.0178571428571432</v>
      </c>
      <c r="CV122" s="35">
        <f t="shared" si="140"/>
        <v>30</v>
      </c>
      <c r="CW122" s="59">
        <f t="shared" si="141"/>
        <v>62</v>
      </c>
      <c r="CX122" s="43" t="str">
        <f t="shared" si="196"/>
        <v>مؤجل(ة)</v>
      </c>
      <c r="CY122" s="44"/>
      <c r="CZ122" s="50"/>
      <c r="DA122" s="46"/>
    </row>
    <row r="123" spans="2:105" ht="27.75" customHeight="1" thickBot="1">
      <c r="B123" s="1">
        <f t="shared" si="197"/>
        <v>29</v>
      </c>
      <c r="C123" s="332" t="s">
        <v>669</v>
      </c>
      <c r="D123" s="249" t="s">
        <v>670</v>
      </c>
      <c r="E123" s="47"/>
      <c r="F123" s="135"/>
      <c r="G123" s="136"/>
      <c r="H123" s="131"/>
      <c r="I123" s="132"/>
      <c r="J123" s="133"/>
      <c r="K123" s="134"/>
      <c r="L123" s="53">
        <f t="shared" si="142"/>
        <v>0</v>
      </c>
      <c r="M123" s="58">
        <f t="shared" si="143"/>
        <v>0</v>
      </c>
      <c r="N123" s="262">
        <v>15</v>
      </c>
      <c r="O123" s="263">
        <v>5.5</v>
      </c>
      <c r="P123" s="228">
        <f t="shared" si="144"/>
        <v>10.25</v>
      </c>
      <c r="Q123" s="229">
        <f t="shared" si="145"/>
        <v>5</v>
      </c>
      <c r="R123" s="262">
        <v>11.5</v>
      </c>
      <c r="S123" s="263">
        <v>5.75</v>
      </c>
      <c r="T123" s="228">
        <f t="shared" si="146"/>
        <v>8.625</v>
      </c>
      <c r="U123" s="229">
        <f t="shared" si="147"/>
        <v>0</v>
      </c>
      <c r="V123" s="262">
        <v>4</v>
      </c>
      <c r="W123" s="263">
        <v>2</v>
      </c>
      <c r="X123" s="228">
        <f t="shared" si="148"/>
        <v>3</v>
      </c>
      <c r="Y123" s="229">
        <f t="shared" si="149"/>
        <v>0</v>
      </c>
      <c r="Z123" s="232">
        <f t="shared" si="150"/>
        <v>7.291666666666667</v>
      </c>
      <c r="AA123" s="233">
        <f t="shared" si="151"/>
        <v>5</v>
      </c>
      <c r="AB123" s="263">
        <v>11</v>
      </c>
      <c r="AC123" s="234">
        <f t="shared" si="152"/>
        <v>11</v>
      </c>
      <c r="AD123" s="235">
        <f t="shared" si="153"/>
        <v>1</v>
      </c>
      <c r="AE123" s="262">
        <v>3.5</v>
      </c>
      <c r="AF123" s="263">
        <v>3.5</v>
      </c>
      <c r="AG123" s="228">
        <f t="shared" si="154"/>
        <v>3.5</v>
      </c>
      <c r="AH123" s="229">
        <f t="shared" si="155"/>
        <v>0</v>
      </c>
      <c r="AI123" s="262">
        <v>12</v>
      </c>
      <c r="AJ123" s="263">
        <v>4</v>
      </c>
      <c r="AK123" s="228">
        <f t="shared" si="156"/>
        <v>8</v>
      </c>
      <c r="AL123" s="229">
        <f t="shared" si="157"/>
        <v>0</v>
      </c>
      <c r="AM123" s="236">
        <f t="shared" si="158"/>
        <v>6.8</v>
      </c>
      <c r="AN123" s="237">
        <f t="shared" si="159"/>
        <v>1</v>
      </c>
      <c r="AO123" s="262">
        <v>11.5</v>
      </c>
      <c r="AP123" s="263">
        <v>1</v>
      </c>
      <c r="AQ123" s="228">
        <f t="shared" si="160"/>
        <v>6.25</v>
      </c>
      <c r="AR123" s="229">
        <f t="shared" si="161"/>
        <v>0</v>
      </c>
      <c r="AS123" s="263"/>
      <c r="AT123" s="234">
        <f t="shared" si="162"/>
        <v>0</v>
      </c>
      <c r="AU123" s="238">
        <f t="shared" si="163"/>
        <v>0</v>
      </c>
      <c r="AV123" s="236">
        <f t="shared" si="164"/>
        <v>3.125</v>
      </c>
      <c r="AW123" s="237">
        <f t="shared" si="165"/>
        <v>0</v>
      </c>
      <c r="AX123" s="263">
        <v>13</v>
      </c>
      <c r="AY123" s="263">
        <v>4.5</v>
      </c>
      <c r="AZ123" s="228">
        <f t="shared" si="166"/>
        <v>8.75</v>
      </c>
      <c r="BA123" s="229">
        <f t="shared" si="167"/>
        <v>0</v>
      </c>
      <c r="BB123" s="236">
        <f t="shared" si="168"/>
        <v>8.75</v>
      </c>
      <c r="BC123" s="237">
        <f t="shared" si="169"/>
        <v>0</v>
      </c>
      <c r="BD123" s="239">
        <f t="shared" si="170"/>
        <v>6.625</v>
      </c>
      <c r="BE123" s="240">
        <f t="shared" si="171"/>
        <v>6</v>
      </c>
      <c r="BF123" s="263"/>
      <c r="BG123" s="263"/>
      <c r="BH123" s="264">
        <f t="shared" si="172"/>
        <v>0</v>
      </c>
      <c r="BI123" s="265">
        <f t="shared" si="173"/>
        <v>0</v>
      </c>
      <c r="BJ123" s="263"/>
      <c r="BK123" s="263"/>
      <c r="BL123" s="264">
        <f t="shared" si="174"/>
        <v>0</v>
      </c>
      <c r="BM123" s="265">
        <f t="shared" si="175"/>
        <v>0</v>
      </c>
      <c r="BN123" s="263"/>
      <c r="BO123" s="263"/>
      <c r="BP123" s="264">
        <f t="shared" si="176"/>
        <v>0</v>
      </c>
      <c r="BQ123" s="265">
        <f t="shared" si="177"/>
        <v>0</v>
      </c>
      <c r="BR123" s="266">
        <f t="shared" si="178"/>
        <v>0</v>
      </c>
      <c r="BS123" s="267">
        <f t="shared" si="179"/>
        <v>0</v>
      </c>
      <c r="BT123" s="263"/>
      <c r="BU123" s="263"/>
      <c r="BV123" s="264">
        <f t="shared" si="180"/>
        <v>0</v>
      </c>
      <c r="BW123" s="265">
        <f t="shared" si="181"/>
        <v>0</v>
      </c>
      <c r="BX123" s="263"/>
      <c r="BY123" s="263"/>
      <c r="BZ123" s="264">
        <f t="shared" si="182"/>
        <v>0</v>
      </c>
      <c r="CA123" s="265">
        <f t="shared" si="183"/>
        <v>0</v>
      </c>
      <c r="CB123" s="268">
        <f t="shared" si="184"/>
        <v>0</v>
      </c>
      <c r="CC123" s="267">
        <f t="shared" si="185"/>
        <v>0</v>
      </c>
      <c r="CD123" s="263"/>
      <c r="CE123" s="263"/>
      <c r="CF123" s="264">
        <f t="shared" si="186"/>
        <v>0</v>
      </c>
      <c r="CG123" s="265">
        <f t="shared" si="187"/>
        <v>0</v>
      </c>
      <c r="CH123" s="268">
        <f t="shared" si="188"/>
        <v>0</v>
      </c>
      <c r="CI123" s="267">
        <f t="shared" si="189"/>
        <v>0</v>
      </c>
      <c r="CJ123" s="263"/>
      <c r="CK123" s="269">
        <f t="shared" si="190"/>
        <v>0</v>
      </c>
      <c r="CL123" s="270">
        <f t="shared" si="191"/>
        <v>0</v>
      </c>
      <c r="CM123" s="268">
        <f t="shared" si="192"/>
        <v>0</v>
      </c>
      <c r="CN123" s="267">
        <f t="shared" si="193"/>
        <v>0</v>
      </c>
      <c r="CO123" s="65">
        <f t="shared" si="194"/>
        <v>0</v>
      </c>
      <c r="CP123" s="66">
        <f t="shared" si="195"/>
        <v>0</v>
      </c>
      <c r="CQ123" s="31">
        <f t="shared" si="135"/>
        <v>6.625</v>
      </c>
      <c r="CR123" s="32">
        <f t="shared" si="136"/>
        <v>6</v>
      </c>
      <c r="CS123" s="33">
        <f t="shared" si="137"/>
        <v>0</v>
      </c>
      <c r="CT123" s="34">
        <f t="shared" si="138"/>
        <v>0</v>
      </c>
      <c r="CU123" s="67">
        <f t="shared" si="139"/>
        <v>3.3125</v>
      </c>
      <c r="CV123" s="35">
        <f t="shared" si="140"/>
        <v>6</v>
      </c>
      <c r="CW123" s="59">
        <f t="shared" si="141"/>
        <v>6</v>
      </c>
      <c r="CX123" s="43" t="str">
        <f t="shared" si="196"/>
        <v>مؤجل(ة)</v>
      </c>
      <c r="CY123" s="44"/>
      <c r="CZ123" s="50"/>
      <c r="DA123" s="46"/>
    </row>
    <row r="124" spans="2:105" ht="27.75" customHeight="1" thickBot="1">
      <c r="B124" s="1">
        <f t="shared" si="197"/>
        <v>30</v>
      </c>
      <c r="C124" s="332" t="s">
        <v>671</v>
      </c>
      <c r="D124" s="249" t="s">
        <v>672</v>
      </c>
      <c r="E124" s="47" t="s">
        <v>771</v>
      </c>
      <c r="F124" s="135">
        <v>35581</v>
      </c>
      <c r="G124" s="136" t="s">
        <v>746</v>
      </c>
      <c r="H124" s="131">
        <v>9.14</v>
      </c>
      <c r="I124" s="132">
        <v>20</v>
      </c>
      <c r="J124" s="133">
        <v>8</v>
      </c>
      <c r="K124" s="134">
        <v>10</v>
      </c>
      <c r="L124" s="53">
        <f t="shared" si="142"/>
        <v>8.57</v>
      </c>
      <c r="M124" s="58">
        <f t="shared" si="143"/>
        <v>30</v>
      </c>
      <c r="N124" s="262">
        <v>5.5</v>
      </c>
      <c r="O124" s="263">
        <v>3</v>
      </c>
      <c r="P124" s="228">
        <f t="shared" si="144"/>
        <v>4.25</v>
      </c>
      <c r="Q124" s="229">
        <f t="shared" si="145"/>
        <v>0</v>
      </c>
      <c r="R124" s="262">
        <v>12</v>
      </c>
      <c r="S124" s="263">
        <v>0</v>
      </c>
      <c r="T124" s="228">
        <f t="shared" si="146"/>
        <v>6</v>
      </c>
      <c r="U124" s="229">
        <f t="shared" si="147"/>
        <v>0</v>
      </c>
      <c r="V124" s="262">
        <v>4</v>
      </c>
      <c r="W124" s="263">
        <v>7.5</v>
      </c>
      <c r="X124" s="228">
        <f t="shared" si="148"/>
        <v>5.75</v>
      </c>
      <c r="Y124" s="229">
        <f t="shared" si="149"/>
        <v>0</v>
      </c>
      <c r="Z124" s="232">
        <f t="shared" si="150"/>
        <v>5.333333333333333</v>
      </c>
      <c r="AA124" s="233">
        <f t="shared" si="151"/>
        <v>0</v>
      </c>
      <c r="AB124" s="263">
        <v>2.5</v>
      </c>
      <c r="AC124" s="234">
        <f t="shared" si="152"/>
        <v>2.5</v>
      </c>
      <c r="AD124" s="235">
        <f t="shared" si="153"/>
        <v>0</v>
      </c>
      <c r="AE124" s="262">
        <v>0</v>
      </c>
      <c r="AF124" s="263">
        <v>0</v>
      </c>
      <c r="AG124" s="228">
        <f t="shared" si="154"/>
        <v>0</v>
      </c>
      <c r="AH124" s="229">
        <f t="shared" si="155"/>
        <v>0</v>
      </c>
      <c r="AI124" s="262">
        <v>7</v>
      </c>
      <c r="AJ124" s="263">
        <v>0</v>
      </c>
      <c r="AK124" s="228">
        <f t="shared" si="156"/>
        <v>3.5</v>
      </c>
      <c r="AL124" s="229">
        <f t="shared" si="157"/>
        <v>0</v>
      </c>
      <c r="AM124" s="236">
        <f t="shared" si="158"/>
        <v>1.9</v>
      </c>
      <c r="AN124" s="237">
        <f t="shared" si="159"/>
        <v>0</v>
      </c>
      <c r="AO124" s="262">
        <v>11.5</v>
      </c>
      <c r="AP124" s="263">
        <v>0</v>
      </c>
      <c r="AQ124" s="228">
        <f t="shared" si="160"/>
        <v>5.75</v>
      </c>
      <c r="AR124" s="229">
        <f t="shared" si="161"/>
        <v>0</v>
      </c>
      <c r="AS124" s="263">
        <v>0</v>
      </c>
      <c r="AT124" s="234">
        <f t="shared" si="162"/>
        <v>0</v>
      </c>
      <c r="AU124" s="238">
        <f t="shared" si="163"/>
        <v>0</v>
      </c>
      <c r="AV124" s="236">
        <f t="shared" si="164"/>
        <v>2.875</v>
      </c>
      <c r="AW124" s="237">
        <f t="shared" si="165"/>
        <v>0</v>
      </c>
      <c r="AX124" s="263">
        <v>14</v>
      </c>
      <c r="AY124" s="263">
        <v>11.5</v>
      </c>
      <c r="AZ124" s="228">
        <f t="shared" si="166"/>
        <v>12.75</v>
      </c>
      <c r="BA124" s="229">
        <f t="shared" si="167"/>
        <v>1</v>
      </c>
      <c r="BB124" s="236">
        <f t="shared" si="168"/>
        <v>12.75</v>
      </c>
      <c r="BC124" s="237">
        <f t="shared" si="169"/>
        <v>1</v>
      </c>
      <c r="BD124" s="239">
        <f t="shared" si="170"/>
        <v>4.2857142857142856</v>
      </c>
      <c r="BE124" s="240">
        <f t="shared" si="171"/>
        <v>1</v>
      </c>
      <c r="BF124" s="263"/>
      <c r="BG124" s="263"/>
      <c r="BH124" s="264">
        <f t="shared" si="172"/>
        <v>0</v>
      </c>
      <c r="BI124" s="265">
        <f t="shared" si="173"/>
        <v>0</v>
      </c>
      <c r="BJ124" s="263"/>
      <c r="BK124" s="263"/>
      <c r="BL124" s="264">
        <f t="shared" si="174"/>
        <v>0</v>
      </c>
      <c r="BM124" s="265">
        <f t="shared" si="175"/>
        <v>0</v>
      </c>
      <c r="BN124" s="263"/>
      <c r="BO124" s="263"/>
      <c r="BP124" s="264">
        <f t="shared" si="176"/>
        <v>0</v>
      </c>
      <c r="BQ124" s="265">
        <f t="shared" si="177"/>
        <v>0</v>
      </c>
      <c r="BR124" s="266">
        <f t="shared" si="178"/>
        <v>0</v>
      </c>
      <c r="BS124" s="267">
        <f t="shared" si="179"/>
        <v>0</v>
      </c>
      <c r="BT124" s="263"/>
      <c r="BU124" s="263"/>
      <c r="BV124" s="264">
        <f t="shared" si="180"/>
        <v>0</v>
      </c>
      <c r="BW124" s="265">
        <f t="shared" si="181"/>
        <v>0</v>
      </c>
      <c r="BX124" s="263"/>
      <c r="BY124" s="263"/>
      <c r="BZ124" s="264">
        <f t="shared" si="182"/>
        <v>0</v>
      </c>
      <c r="CA124" s="265">
        <f t="shared" si="183"/>
        <v>0</v>
      </c>
      <c r="CB124" s="268">
        <f t="shared" si="184"/>
        <v>0</v>
      </c>
      <c r="CC124" s="267">
        <f t="shared" si="185"/>
        <v>0</v>
      </c>
      <c r="CD124" s="263"/>
      <c r="CE124" s="263"/>
      <c r="CF124" s="264">
        <f t="shared" si="186"/>
        <v>0</v>
      </c>
      <c r="CG124" s="265">
        <f t="shared" si="187"/>
        <v>0</v>
      </c>
      <c r="CH124" s="268">
        <f t="shared" si="188"/>
        <v>0</v>
      </c>
      <c r="CI124" s="267">
        <f t="shared" si="189"/>
        <v>0</v>
      </c>
      <c r="CJ124" s="263"/>
      <c r="CK124" s="269">
        <f t="shared" si="190"/>
        <v>0</v>
      </c>
      <c r="CL124" s="270">
        <f t="shared" si="191"/>
        <v>0</v>
      </c>
      <c r="CM124" s="268">
        <f t="shared" si="192"/>
        <v>0</v>
      </c>
      <c r="CN124" s="267">
        <f t="shared" si="193"/>
        <v>0</v>
      </c>
      <c r="CO124" s="65">
        <f t="shared" si="194"/>
        <v>0</v>
      </c>
      <c r="CP124" s="66">
        <f t="shared" si="195"/>
        <v>0</v>
      </c>
      <c r="CQ124" s="31">
        <f t="shared" si="135"/>
        <v>4.2857142857142856</v>
      </c>
      <c r="CR124" s="32">
        <f t="shared" si="136"/>
        <v>1</v>
      </c>
      <c r="CS124" s="33">
        <f t="shared" si="137"/>
        <v>0</v>
      </c>
      <c r="CT124" s="34">
        <f t="shared" si="138"/>
        <v>0</v>
      </c>
      <c r="CU124" s="67">
        <f t="shared" si="139"/>
        <v>2.1428571428571428</v>
      </c>
      <c r="CV124" s="35">
        <f t="shared" si="140"/>
        <v>1</v>
      </c>
      <c r="CW124" s="59">
        <f t="shared" si="141"/>
        <v>31</v>
      </c>
      <c r="CX124" s="43" t="str">
        <f t="shared" si="196"/>
        <v>مؤجل(ة)</v>
      </c>
      <c r="CY124" s="44"/>
      <c r="CZ124" s="50"/>
      <c r="DA124" s="46"/>
    </row>
    <row r="125" spans="2:105" ht="27.75" customHeight="1" thickBot="1">
      <c r="B125" s="1">
        <f t="shared" si="197"/>
        <v>31</v>
      </c>
      <c r="C125" s="332" t="s">
        <v>165</v>
      </c>
      <c r="D125" s="249" t="s">
        <v>166</v>
      </c>
      <c r="E125" s="47" t="s">
        <v>770</v>
      </c>
      <c r="F125" s="135">
        <v>34390</v>
      </c>
      <c r="G125" s="136" t="s">
        <v>393</v>
      </c>
      <c r="H125" s="131">
        <v>7.66</v>
      </c>
      <c r="I125" s="132">
        <v>17</v>
      </c>
      <c r="J125" s="133">
        <v>6.48</v>
      </c>
      <c r="K125" s="134">
        <v>15</v>
      </c>
      <c r="L125" s="53">
        <f t="shared" si="142"/>
        <v>7.07</v>
      </c>
      <c r="M125" s="58">
        <f t="shared" si="143"/>
        <v>32</v>
      </c>
      <c r="N125" s="262">
        <v>11</v>
      </c>
      <c r="O125" s="263">
        <v>11</v>
      </c>
      <c r="P125" s="228">
        <f t="shared" si="144"/>
        <v>11</v>
      </c>
      <c r="Q125" s="229">
        <f t="shared" si="145"/>
        <v>5</v>
      </c>
      <c r="R125" s="262">
        <v>12</v>
      </c>
      <c r="S125" s="263">
        <v>6.5</v>
      </c>
      <c r="T125" s="228">
        <f t="shared" si="146"/>
        <v>9.25</v>
      </c>
      <c r="U125" s="229">
        <f t="shared" si="147"/>
        <v>0</v>
      </c>
      <c r="V125" s="262">
        <v>6</v>
      </c>
      <c r="W125" s="263">
        <v>9.75</v>
      </c>
      <c r="X125" s="228">
        <f t="shared" si="148"/>
        <v>7.875</v>
      </c>
      <c r="Y125" s="229">
        <f t="shared" si="149"/>
        <v>0</v>
      </c>
      <c r="Z125" s="232">
        <f t="shared" si="150"/>
        <v>9.375</v>
      </c>
      <c r="AA125" s="233">
        <f t="shared" si="151"/>
        <v>5</v>
      </c>
      <c r="AB125" s="263">
        <v>10</v>
      </c>
      <c r="AC125" s="234">
        <f t="shared" si="152"/>
        <v>10</v>
      </c>
      <c r="AD125" s="235">
        <f t="shared" si="153"/>
        <v>1</v>
      </c>
      <c r="AE125" s="262">
        <v>7.5</v>
      </c>
      <c r="AF125" s="263">
        <v>7.5</v>
      </c>
      <c r="AG125" s="228">
        <f t="shared" si="154"/>
        <v>7.5</v>
      </c>
      <c r="AH125" s="229">
        <f t="shared" si="155"/>
        <v>0</v>
      </c>
      <c r="AI125" s="262">
        <v>9</v>
      </c>
      <c r="AJ125" s="263">
        <v>1.5</v>
      </c>
      <c r="AK125" s="228">
        <f t="shared" si="156"/>
        <v>5.25</v>
      </c>
      <c r="AL125" s="229">
        <f t="shared" si="157"/>
        <v>0</v>
      </c>
      <c r="AM125" s="236">
        <f t="shared" si="158"/>
        <v>7.1</v>
      </c>
      <c r="AN125" s="237">
        <f t="shared" si="159"/>
        <v>1</v>
      </c>
      <c r="AO125" s="262">
        <v>10</v>
      </c>
      <c r="AP125" s="263">
        <v>10</v>
      </c>
      <c r="AQ125" s="228">
        <f t="shared" si="160"/>
        <v>10</v>
      </c>
      <c r="AR125" s="229">
        <f t="shared" si="161"/>
        <v>4</v>
      </c>
      <c r="AS125" s="263">
        <v>10</v>
      </c>
      <c r="AT125" s="234">
        <f t="shared" si="162"/>
        <v>10</v>
      </c>
      <c r="AU125" s="238">
        <f t="shared" si="163"/>
        <v>1</v>
      </c>
      <c r="AV125" s="236">
        <f t="shared" si="164"/>
        <v>10</v>
      </c>
      <c r="AW125" s="237">
        <f t="shared" si="165"/>
        <v>5</v>
      </c>
      <c r="AX125" s="263">
        <v>13.5</v>
      </c>
      <c r="AY125" s="263">
        <v>17.5</v>
      </c>
      <c r="AZ125" s="228">
        <f t="shared" si="166"/>
        <v>15.5</v>
      </c>
      <c r="BA125" s="229">
        <f t="shared" si="167"/>
        <v>1</v>
      </c>
      <c r="BB125" s="236">
        <f t="shared" si="168"/>
        <v>15.5</v>
      </c>
      <c r="BC125" s="237">
        <f t="shared" si="169"/>
        <v>1</v>
      </c>
      <c r="BD125" s="239">
        <f t="shared" si="170"/>
        <v>9.0892857142857135</v>
      </c>
      <c r="BE125" s="240">
        <f t="shared" si="171"/>
        <v>12</v>
      </c>
      <c r="BF125" s="263"/>
      <c r="BG125" s="263"/>
      <c r="BH125" s="264">
        <f t="shared" si="172"/>
        <v>0</v>
      </c>
      <c r="BI125" s="265">
        <f t="shared" si="173"/>
        <v>0</v>
      </c>
      <c r="BJ125" s="263"/>
      <c r="BK125" s="263"/>
      <c r="BL125" s="264">
        <f t="shared" si="174"/>
        <v>0</v>
      </c>
      <c r="BM125" s="265">
        <f t="shared" si="175"/>
        <v>0</v>
      </c>
      <c r="BN125" s="263"/>
      <c r="BO125" s="263"/>
      <c r="BP125" s="264">
        <f t="shared" si="176"/>
        <v>0</v>
      </c>
      <c r="BQ125" s="265">
        <f t="shared" si="177"/>
        <v>0</v>
      </c>
      <c r="BR125" s="266">
        <f t="shared" si="178"/>
        <v>0</v>
      </c>
      <c r="BS125" s="267">
        <f t="shared" si="179"/>
        <v>0</v>
      </c>
      <c r="BT125" s="263"/>
      <c r="BU125" s="263"/>
      <c r="BV125" s="264">
        <f t="shared" si="180"/>
        <v>0</v>
      </c>
      <c r="BW125" s="265">
        <f t="shared" si="181"/>
        <v>0</v>
      </c>
      <c r="BX125" s="263"/>
      <c r="BY125" s="263"/>
      <c r="BZ125" s="264">
        <f t="shared" si="182"/>
        <v>0</v>
      </c>
      <c r="CA125" s="265">
        <f t="shared" si="183"/>
        <v>0</v>
      </c>
      <c r="CB125" s="268">
        <f t="shared" si="184"/>
        <v>0</v>
      </c>
      <c r="CC125" s="267">
        <f t="shared" si="185"/>
        <v>0</v>
      </c>
      <c r="CD125" s="263"/>
      <c r="CE125" s="263"/>
      <c r="CF125" s="264">
        <f t="shared" si="186"/>
        <v>0</v>
      </c>
      <c r="CG125" s="265">
        <f t="shared" si="187"/>
        <v>0</v>
      </c>
      <c r="CH125" s="268">
        <f t="shared" si="188"/>
        <v>0</v>
      </c>
      <c r="CI125" s="267">
        <f t="shared" si="189"/>
        <v>0</v>
      </c>
      <c r="CJ125" s="263"/>
      <c r="CK125" s="269">
        <f t="shared" si="190"/>
        <v>0</v>
      </c>
      <c r="CL125" s="270">
        <f t="shared" si="191"/>
        <v>0</v>
      </c>
      <c r="CM125" s="268">
        <f t="shared" si="192"/>
        <v>0</v>
      </c>
      <c r="CN125" s="267">
        <f t="shared" si="193"/>
        <v>0</v>
      </c>
      <c r="CO125" s="65">
        <f t="shared" si="194"/>
        <v>0</v>
      </c>
      <c r="CP125" s="66">
        <f t="shared" si="195"/>
        <v>0</v>
      </c>
      <c r="CQ125" s="31">
        <f t="shared" si="135"/>
        <v>9.0892857142857135</v>
      </c>
      <c r="CR125" s="32">
        <f t="shared" si="136"/>
        <v>12</v>
      </c>
      <c r="CS125" s="33">
        <f t="shared" si="137"/>
        <v>0</v>
      </c>
      <c r="CT125" s="34">
        <f t="shared" si="138"/>
        <v>0</v>
      </c>
      <c r="CU125" s="67">
        <f t="shared" si="139"/>
        <v>4.5446428571428568</v>
      </c>
      <c r="CV125" s="35">
        <f t="shared" si="140"/>
        <v>12</v>
      </c>
      <c r="CW125" s="59">
        <f t="shared" si="141"/>
        <v>44</v>
      </c>
      <c r="CX125" s="43" t="str">
        <f t="shared" si="196"/>
        <v>مؤجل(ة)</v>
      </c>
      <c r="CZ125" s="51"/>
      <c r="DA125" s="46"/>
    </row>
    <row r="126" spans="2:105" ht="27.75" customHeight="1" thickBot="1">
      <c r="B126" s="1">
        <f t="shared" si="197"/>
        <v>32</v>
      </c>
      <c r="C126" s="334" t="s">
        <v>673</v>
      </c>
      <c r="D126" s="249" t="s">
        <v>674</v>
      </c>
      <c r="E126" s="47"/>
      <c r="F126" s="135"/>
      <c r="G126" s="136"/>
      <c r="H126" s="131"/>
      <c r="I126" s="132"/>
      <c r="J126" s="133"/>
      <c r="K126" s="134"/>
      <c r="L126" s="53">
        <f t="shared" si="142"/>
        <v>0</v>
      </c>
      <c r="M126" s="58">
        <f t="shared" si="143"/>
        <v>0</v>
      </c>
      <c r="N126" s="262">
        <v>14</v>
      </c>
      <c r="O126" s="263">
        <v>5</v>
      </c>
      <c r="P126" s="228">
        <f t="shared" si="144"/>
        <v>9.5</v>
      </c>
      <c r="Q126" s="229">
        <f t="shared" si="145"/>
        <v>0</v>
      </c>
      <c r="R126" s="262">
        <v>11.5</v>
      </c>
      <c r="S126" s="263">
        <v>8.25</v>
      </c>
      <c r="T126" s="228">
        <f t="shared" si="146"/>
        <v>9.875</v>
      </c>
      <c r="U126" s="229">
        <f t="shared" si="147"/>
        <v>0</v>
      </c>
      <c r="V126" s="262">
        <v>10</v>
      </c>
      <c r="W126" s="263">
        <v>4</v>
      </c>
      <c r="X126" s="228">
        <f t="shared" si="148"/>
        <v>7</v>
      </c>
      <c r="Y126" s="229">
        <f t="shared" si="149"/>
        <v>0</v>
      </c>
      <c r="Z126" s="232">
        <f t="shared" si="150"/>
        <v>8.7916666666666661</v>
      </c>
      <c r="AA126" s="233">
        <f t="shared" si="151"/>
        <v>0</v>
      </c>
      <c r="AB126" s="263">
        <v>10</v>
      </c>
      <c r="AC126" s="234">
        <f t="shared" si="152"/>
        <v>10</v>
      </c>
      <c r="AD126" s="235">
        <f t="shared" si="153"/>
        <v>1</v>
      </c>
      <c r="AE126" s="262">
        <v>0.5</v>
      </c>
      <c r="AF126" s="263">
        <v>0.5</v>
      </c>
      <c r="AG126" s="228">
        <f t="shared" si="154"/>
        <v>0.5</v>
      </c>
      <c r="AH126" s="229">
        <f t="shared" si="155"/>
        <v>0</v>
      </c>
      <c r="AI126" s="262">
        <v>9</v>
      </c>
      <c r="AJ126" s="263">
        <v>4</v>
      </c>
      <c r="AK126" s="228">
        <f t="shared" si="156"/>
        <v>6.5</v>
      </c>
      <c r="AL126" s="229">
        <f t="shared" si="157"/>
        <v>0</v>
      </c>
      <c r="AM126" s="236">
        <f t="shared" si="158"/>
        <v>4.8</v>
      </c>
      <c r="AN126" s="237">
        <f t="shared" si="159"/>
        <v>1</v>
      </c>
      <c r="AO126" s="262">
        <v>11.5</v>
      </c>
      <c r="AP126" s="263">
        <v>4</v>
      </c>
      <c r="AQ126" s="228">
        <f t="shared" si="160"/>
        <v>7.75</v>
      </c>
      <c r="AR126" s="229">
        <f t="shared" si="161"/>
        <v>0</v>
      </c>
      <c r="AS126" s="263">
        <v>6.5</v>
      </c>
      <c r="AT126" s="234">
        <f t="shared" si="162"/>
        <v>6.5</v>
      </c>
      <c r="AU126" s="238">
        <f t="shared" si="163"/>
        <v>0</v>
      </c>
      <c r="AV126" s="236">
        <f t="shared" si="164"/>
        <v>7.125</v>
      </c>
      <c r="AW126" s="237">
        <f t="shared" si="165"/>
        <v>0</v>
      </c>
      <c r="AX126" s="263">
        <v>14.5</v>
      </c>
      <c r="AY126" s="263">
        <v>10.5</v>
      </c>
      <c r="AZ126" s="228">
        <f t="shared" si="166"/>
        <v>12.5</v>
      </c>
      <c r="BA126" s="229">
        <f t="shared" si="167"/>
        <v>1</v>
      </c>
      <c r="BB126" s="236">
        <f t="shared" si="168"/>
        <v>12.5</v>
      </c>
      <c r="BC126" s="237">
        <f t="shared" si="169"/>
        <v>1</v>
      </c>
      <c r="BD126" s="239">
        <f t="shared" si="170"/>
        <v>7.3928571428571432</v>
      </c>
      <c r="BE126" s="240">
        <f t="shared" si="171"/>
        <v>2</v>
      </c>
      <c r="BF126" s="263"/>
      <c r="BG126" s="263"/>
      <c r="BH126" s="264">
        <f t="shared" si="172"/>
        <v>0</v>
      </c>
      <c r="BI126" s="265">
        <f t="shared" si="173"/>
        <v>0</v>
      </c>
      <c r="BJ126" s="263"/>
      <c r="BK126" s="263"/>
      <c r="BL126" s="264">
        <f t="shared" si="174"/>
        <v>0</v>
      </c>
      <c r="BM126" s="265">
        <f t="shared" si="175"/>
        <v>0</v>
      </c>
      <c r="BN126" s="263"/>
      <c r="BO126" s="263"/>
      <c r="BP126" s="264">
        <f t="shared" si="176"/>
        <v>0</v>
      </c>
      <c r="BQ126" s="265">
        <f t="shared" si="177"/>
        <v>0</v>
      </c>
      <c r="BR126" s="266">
        <f t="shared" si="178"/>
        <v>0</v>
      </c>
      <c r="BS126" s="267">
        <f t="shared" si="179"/>
        <v>0</v>
      </c>
      <c r="BT126" s="263"/>
      <c r="BU126" s="263"/>
      <c r="BV126" s="264">
        <f t="shared" si="180"/>
        <v>0</v>
      </c>
      <c r="BW126" s="265">
        <f t="shared" si="181"/>
        <v>0</v>
      </c>
      <c r="BX126" s="263"/>
      <c r="BY126" s="263"/>
      <c r="BZ126" s="264">
        <f t="shared" si="182"/>
        <v>0</v>
      </c>
      <c r="CA126" s="265">
        <f t="shared" si="183"/>
        <v>0</v>
      </c>
      <c r="CB126" s="268">
        <f t="shared" si="184"/>
        <v>0</v>
      </c>
      <c r="CC126" s="267">
        <f t="shared" si="185"/>
        <v>0</v>
      </c>
      <c r="CD126" s="263"/>
      <c r="CE126" s="263"/>
      <c r="CF126" s="264">
        <f t="shared" si="186"/>
        <v>0</v>
      </c>
      <c r="CG126" s="265">
        <f t="shared" si="187"/>
        <v>0</v>
      </c>
      <c r="CH126" s="268">
        <f t="shared" si="188"/>
        <v>0</v>
      </c>
      <c r="CI126" s="267">
        <f t="shared" si="189"/>
        <v>0</v>
      </c>
      <c r="CJ126" s="263"/>
      <c r="CK126" s="269">
        <f t="shared" si="190"/>
        <v>0</v>
      </c>
      <c r="CL126" s="270">
        <f t="shared" si="191"/>
        <v>0</v>
      </c>
      <c r="CM126" s="268">
        <f t="shared" si="192"/>
        <v>0</v>
      </c>
      <c r="CN126" s="267">
        <f t="shared" si="193"/>
        <v>0</v>
      </c>
      <c r="CO126" s="65">
        <f t="shared" si="194"/>
        <v>0</v>
      </c>
      <c r="CP126" s="66">
        <f t="shared" si="195"/>
        <v>0</v>
      </c>
      <c r="CQ126" s="31">
        <f t="shared" si="135"/>
        <v>7.3928571428571432</v>
      </c>
      <c r="CR126" s="32">
        <f t="shared" si="136"/>
        <v>2</v>
      </c>
      <c r="CS126" s="33">
        <f t="shared" si="137"/>
        <v>0</v>
      </c>
      <c r="CT126" s="34">
        <f t="shared" si="138"/>
        <v>0</v>
      </c>
      <c r="CU126" s="67">
        <f t="shared" si="139"/>
        <v>3.6964285714285716</v>
      </c>
      <c r="CV126" s="35">
        <f t="shared" si="140"/>
        <v>2</v>
      </c>
      <c r="CW126" s="59">
        <f t="shared" si="141"/>
        <v>2</v>
      </c>
      <c r="CX126" s="43" t="str">
        <f t="shared" si="196"/>
        <v>مؤجل(ة)</v>
      </c>
      <c r="CZ126" s="51"/>
      <c r="DA126" s="46"/>
    </row>
    <row r="127" spans="2:105" ht="27.75" customHeight="1" thickBot="1">
      <c r="B127" s="1">
        <f t="shared" si="197"/>
        <v>33</v>
      </c>
      <c r="C127" s="332" t="s">
        <v>675</v>
      </c>
      <c r="D127" s="249" t="s">
        <v>119</v>
      </c>
      <c r="E127" s="47" t="s">
        <v>469</v>
      </c>
      <c r="F127" s="135">
        <v>34436</v>
      </c>
      <c r="G127" s="136" t="s">
        <v>746</v>
      </c>
      <c r="H127" s="131">
        <v>8.24</v>
      </c>
      <c r="I127" s="132">
        <v>15</v>
      </c>
      <c r="J127" s="133"/>
      <c r="K127" s="134">
        <v>15</v>
      </c>
      <c r="L127" s="53">
        <f t="shared" si="142"/>
        <v>4.12</v>
      </c>
      <c r="M127" s="58">
        <f t="shared" si="143"/>
        <v>30</v>
      </c>
      <c r="N127" s="262">
        <v>7</v>
      </c>
      <c r="O127" s="263">
        <v>8</v>
      </c>
      <c r="P127" s="228">
        <f>(N127+O127)/2</f>
        <v>7.5</v>
      </c>
      <c r="Q127" s="229">
        <f t="shared" si="145"/>
        <v>0</v>
      </c>
      <c r="R127" s="262">
        <v>10.25</v>
      </c>
      <c r="S127" s="263">
        <v>10.25</v>
      </c>
      <c r="T127" s="228">
        <f t="shared" si="146"/>
        <v>10.25</v>
      </c>
      <c r="U127" s="229">
        <f t="shared" si="147"/>
        <v>6</v>
      </c>
      <c r="V127" s="262">
        <v>11</v>
      </c>
      <c r="W127" s="263">
        <v>6</v>
      </c>
      <c r="X127" s="228">
        <f t="shared" si="148"/>
        <v>8.5</v>
      </c>
      <c r="Y127" s="229">
        <f t="shared" si="149"/>
        <v>0</v>
      </c>
      <c r="Z127" s="232">
        <f t="shared" si="150"/>
        <v>8.75</v>
      </c>
      <c r="AA127" s="233">
        <f t="shared" si="151"/>
        <v>6</v>
      </c>
      <c r="AB127" s="263">
        <v>10.5</v>
      </c>
      <c r="AC127" s="234">
        <f t="shared" si="152"/>
        <v>10.5</v>
      </c>
      <c r="AD127" s="235">
        <f t="shared" si="153"/>
        <v>1</v>
      </c>
      <c r="AE127" s="262">
        <v>7</v>
      </c>
      <c r="AF127" s="263">
        <v>7</v>
      </c>
      <c r="AG127" s="228">
        <f t="shared" si="154"/>
        <v>7</v>
      </c>
      <c r="AH127" s="229">
        <f t="shared" si="155"/>
        <v>0</v>
      </c>
      <c r="AI127" s="262">
        <v>10.88</v>
      </c>
      <c r="AJ127" s="263">
        <v>10.88</v>
      </c>
      <c r="AK127" s="228">
        <f t="shared" si="156"/>
        <v>10.88</v>
      </c>
      <c r="AL127" s="229">
        <f t="shared" si="157"/>
        <v>3</v>
      </c>
      <c r="AM127" s="236">
        <f t="shared" si="158"/>
        <v>9.2520000000000007</v>
      </c>
      <c r="AN127" s="237">
        <f t="shared" si="159"/>
        <v>4</v>
      </c>
      <c r="AO127" s="262">
        <v>11.5</v>
      </c>
      <c r="AP127" s="263">
        <v>4</v>
      </c>
      <c r="AQ127" s="228">
        <f t="shared" si="160"/>
        <v>7.75</v>
      </c>
      <c r="AR127" s="229">
        <f t="shared" si="161"/>
        <v>0</v>
      </c>
      <c r="AS127" s="263">
        <v>5.5</v>
      </c>
      <c r="AT127" s="234">
        <f t="shared" si="162"/>
        <v>5.5</v>
      </c>
      <c r="AU127" s="238">
        <f t="shared" si="163"/>
        <v>0</v>
      </c>
      <c r="AV127" s="236">
        <f>(AT127+AQ127)/2</f>
        <v>6.625</v>
      </c>
      <c r="AW127" s="237">
        <f t="shared" si="165"/>
        <v>0</v>
      </c>
      <c r="AX127" s="263">
        <v>11.13</v>
      </c>
      <c r="AY127" s="263">
        <v>11.13</v>
      </c>
      <c r="AZ127" s="228">
        <f t="shared" si="166"/>
        <v>11.13</v>
      </c>
      <c r="BA127" s="229">
        <f t="shared" si="167"/>
        <v>1</v>
      </c>
      <c r="BB127" s="236">
        <f t="shared" si="168"/>
        <v>11.13</v>
      </c>
      <c r="BC127" s="237">
        <f t="shared" si="169"/>
        <v>1</v>
      </c>
      <c r="BD127" s="239">
        <f t="shared" si="170"/>
        <v>8.7957142857142863</v>
      </c>
      <c r="BE127" s="240">
        <f t="shared" si="171"/>
        <v>11</v>
      </c>
      <c r="BF127" s="263"/>
      <c r="BG127" s="263"/>
      <c r="BH127" s="264">
        <f t="shared" si="172"/>
        <v>0</v>
      </c>
      <c r="BI127" s="265">
        <f t="shared" si="173"/>
        <v>0</v>
      </c>
      <c r="BJ127" s="263"/>
      <c r="BK127" s="263"/>
      <c r="BL127" s="264">
        <f t="shared" si="174"/>
        <v>0</v>
      </c>
      <c r="BM127" s="265">
        <f t="shared" si="175"/>
        <v>0</v>
      </c>
      <c r="BN127" s="263"/>
      <c r="BO127" s="263"/>
      <c r="BP127" s="264">
        <f t="shared" si="176"/>
        <v>0</v>
      </c>
      <c r="BQ127" s="265">
        <f t="shared" si="177"/>
        <v>0</v>
      </c>
      <c r="BR127" s="266">
        <f t="shared" si="178"/>
        <v>0</v>
      </c>
      <c r="BS127" s="267">
        <f t="shared" si="179"/>
        <v>0</v>
      </c>
      <c r="BT127" s="263"/>
      <c r="BU127" s="263"/>
      <c r="BV127" s="264">
        <f t="shared" si="180"/>
        <v>0</v>
      </c>
      <c r="BW127" s="265">
        <f t="shared" si="181"/>
        <v>0</v>
      </c>
      <c r="BX127" s="263"/>
      <c r="BY127" s="263"/>
      <c r="BZ127" s="264">
        <f t="shared" si="182"/>
        <v>0</v>
      </c>
      <c r="CA127" s="265">
        <f t="shared" si="183"/>
        <v>0</v>
      </c>
      <c r="CB127" s="268">
        <f t="shared" si="184"/>
        <v>0</v>
      </c>
      <c r="CC127" s="267">
        <f t="shared" si="185"/>
        <v>0</v>
      </c>
      <c r="CD127" s="263"/>
      <c r="CE127" s="263"/>
      <c r="CF127" s="264">
        <f t="shared" si="186"/>
        <v>0</v>
      </c>
      <c r="CG127" s="265">
        <f t="shared" si="187"/>
        <v>0</v>
      </c>
      <c r="CH127" s="268">
        <f t="shared" si="188"/>
        <v>0</v>
      </c>
      <c r="CI127" s="267">
        <f t="shared" si="189"/>
        <v>0</v>
      </c>
      <c r="CJ127" s="263"/>
      <c r="CK127" s="269">
        <f t="shared" si="190"/>
        <v>0</v>
      </c>
      <c r="CL127" s="270">
        <f t="shared" si="191"/>
        <v>0</v>
      </c>
      <c r="CM127" s="268">
        <f t="shared" si="192"/>
        <v>0</v>
      </c>
      <c r="CN127" s="267">
        <f t="shared" si="193"/>
        <v>0</v>
      </c>
      <c r="CO127" s="65">
        <f t="shared" si="194"/>
        <v>0</v>
      </c>
      <c r="CP127" s="66">
        <f t="shared" si="195"/>
        <v>0</v>
      </c>
      <c r="CQ127" s="31">
        <f t="shared" si="135"/>
        <v>8.7957142857142863</v>
      </c>
      <c r="CR127" s="32">
        <f t="shared" si="136"/>
        <v>11</v>
      </c>
      <c r="CS127" s="33">
        <f t="shared" si="137"/>
        <v>0</v>
      </c>
      <c r="CT127" s="34">
        <f t="shared" si="138"/>
        <v>0</v>
      </c>
      <c r="CU127" s="67">
        <f t="shared" si="139"/>
        <v>4.3978571428571431</v>
      </c>
      <c r="CV127" s="35">
        <f t="shared" si="140"/>
        <v>11</v>
      </c>
      <c r="CW127" s="59">
        <f t="shared" si="141"/>
        <v>41</v>
      </c>
      <c r="CX127" s="43" t="str">
        <f t="shared" si="196"/>
        <v>مؤجل(ة)</v>
      </c>
      <c r="CZ127" s="51"/>
      <c r="DA127" s="46"/>
    </row>
    <row r="128" spans="2:105" ht="27.75" customHeight="1" thickBot="1">
      <c r="B128" s="1"/>
      <c r="C128" s="332" t="s">
        <v>803</v>
      </c>
      <c r="D128" s="249" t="s">
        <v>804</v>
      </c>
      <c r="E128" s="47"/>
      <c r="F128" s="135"/>
      <c r="G128" s="136"/>
      <c r="H128" s="131"/>
      <c r="I128" s="132"/>
      <c r="J128" s="133"/>
      <c r="K128" s="134"/>
      <c r="L128" s="53"/>
      <c r="M128" s="58"/>
      <c r="N128" s="262">
        <v>8</v>
      </c>
      <c r="O128" s="263"/>
      <c r="P128" s="228">
        <f t="shared" si="144"/>
        <v>4</v>
      </c>
      <c r="Q128" s="229"/>
      <c r="R128" s="262">
        <v>12</v>
      </c>
      <c r="S128" s="263"/>
      <c r="T128" s="228">
        <f t="shared" si="146"/>
        <v>6</v>
      </c>
      <c r="U128" s="229"/>
      <c r="V128" s="262">
        <v>5.5</v>
      </c>
      <c r="W128" s="263">
        <v>3</v>
      </c>
      <c r="X128" s="228">
        <f t="shared" si="148"/>
        <v>4.25</v>
      </c>
      <c r="Y128" s="229">
        <f t="shared" si="149"/>
        <v>0</v>
      </c>
      <c r="Z128" s="232">
        <f t="shared" si="150"/>
        <v>4.75</v>
      </c>
      <c r="AA128" s="233"/>
      <c r="AB128" s="263"/>
      <c r="AC128" s="234"/>
      <c r="AD128" s="235"/>
      <c r="AE128" s="262"/>
      <c r="AF128" s="263"/>
      <c r="AG128" s="228"/>
      <c r="AH128" s="229"/>
      <c r="AI128" s="262">
        <v>9</v>
      </c>
      <c r="AJ128" s="263">
        <v>0</v>
      </c>
      <c r="AK128" s="228">
        <f t="shared" si="156"/>
        <v>4.5</v>
      </c>
      <c r="AL128" s="229">
        <f t="shared" si="157"/>
        <v>0</v>
      </c>
      <c r="AM128" s="236">
        <f t="shared" si="158"/>
        <v>1.8</v>
      </c>
      <c r="AN128" s="237"/>
      <c r="AO128" s="262">
        <v>11.5</v>
      </c>
      <c r="AP128" s="263">
        <v>1</v>
      </c>
      <c r="AQ128" s="228">
        <f t="shared" si="160"/>
        <v>6.25</v>
      </c>
      <c r="AR128" s="229"/>
      <c r="AS128" s="263"/>
      <c r="AT128" s="234"/>
      <c r="AU128" s="238"/>
      <c r="AV128" s="236">
        <f t="shared" si="164"/>
        <v>3.125</v>
      </c>
      <c r="AW128" s="237"/>
      <c r="AX128" s="263">
        <v>11</v>
      </c>
      <c r="AY128" s="263"/>
      <c r="AZ128" s="228"/>
      <c r="BA128" s="229"/>
      <c r="BB128" s="236">
        <f t="shared" si="168"/>
        <v>0</v>
      </c>
      <c r="BC128" s="237"/>
      <c r="BD128" s="239">
        <f t="shared" si="170"/>
        <v>3.125</v>
      </c>
      <c r="BE128" s="240"/>
      <c r="BF128" s="263"/>
      <c r="BG128" s="263"/>
      <c r="BH128" s="264"/>
      <c r="BI128" s="265"/>
      <c r="BJ128" s="263"/>
      <c r="BK128" s="263"/>
      <c r="BL128" s="264"/>
      <c r="BM128" s="265"/>
      <c r="BN128" s="263"/>
      <c r="BO128" s="263"/>
      <c r="BP128" s="264"/>
      <c r="BQ128" s="265"/>
      <c r="BR128" s="266"/>
      <c r="BS128" s="267"/>
      <c r="BT128" s="263"/>
      <c r="BU128" s="263"/>
      <c r="BV128" s="264"/>
      <c r="BW128" s="265"/>
      <c r="BX128" s="263"/>
      <c r="BY128" s="263"/>
      <c r="BZ128" s="264"/>
      <c r="CA128" s="265"/>
      <c r="CB128" s="268"/>
      <c r="CC128" s="267"/>
      <c r="CD128" s="263"/>
      <c r="CE128" s="263"/>
      <c r="CF128" s="264"/>
      <c r="CG128" s="265"/>
      <c r="CH128" s="268"/>
      <c r="CI128" s="267"/>
      <c r="CJ128" s="263"/>
      <c r="CK128" s="269"/>
      <c r="CL128" s="270"/>
      <c r="CM128" s="268"/>
      <c r="CN128" s="267"/>
      <c r="CO128" s="65"/>
      <c r="CP128" s="66"/>
      <c r="CQ128" s="31"/>
      <c r="CR128" s="32"/>
      <c r="CS128" s="33"/>
      <c r="CT128" s="34"/>
      <c r="CU128" s="67"/>
      <c r="CV128" s="35"/>
      <c r="CW128" s="59"/>
      <c r="CX128" s="43"/>
      <c r="CZ128" s="51"/>
      <c r="DA128" s="46"/>
    </row>
    <row r="129" spans="2:105" ht="27.75" customHeight="1" thickBot="1">
      <c r="B129" s="1">
        <f>B127+1</f>
        <v>34</v>
      </c>
      <c r="C129" s="332" t="s">
        <v>676</v>
      </c>
      <c r="D129" s="249" t="s">
        <v>677</v>
      </c>
      <c r="E129" s="47" t="s">
        <v>410</v>
      </c>
      <c r="F129" s="135">
        <v>32956</v>
      </c>
      <c r="G129" s="136" t="s">
        <v>746</v>
      </c>
      <c r="H129" s="131">
        <v>9.61</v>
      </c>
      <c r="I129" s="132">
        <v>25</v>
      </c>
      <c r="J129" s="133">
        <v>6.63</v>
      </c>
      <c r="K129" s="134">
        <v>15</v>
      </c>
      <c r="L129" s="53">
        <f t="shared" si="142"/>
        <v>8.1199999999999992</v>
      </c>
      <c r="M129" s="58">
        <f t="shared" si="143"/>
        <v>40</v>
      </c>
      <c r="N129" s="262">
        <v>13</v>
      </c>
      <c r="O129" s="263">
        <v>13</v>
      </c>
      <c r="P129" s="228">
        <f t="shared" si="144"/>
        <v>13</v>
      </c>
      <c r="Q129" s="229">
        <f t="shared" si="145"/>
        <v>5</v>
      </c>
      <c r="R129" s="262">
        <v>11</v>
      </c>
      <c r="S129" s="263">
        <v>5.75</v>
      </c>
      <c r="T129" s="228">
        <f t="shared" si="146"/>
        <v>8.375</v>
      </c>
      <c r="U129" s="229">
        <f t="shared" si="147"/>
        <v>0</v>
      </c>
      <c r="V129" s="262">
        <v>4</v>
      </c>
      <c r="W129" s="263">
        <v>2</v>
      </c>
      <c r="X129" s="228">
        <f t="shared" si="148"/>
        <v>3</v>
      </c>
      <c r="Y129" s="229">
        <f t="shared" si="149"/>
        <v>0</v>
      </c>
      <c r="Z129" s="232">
        <f t="shared" si="150"/>
        <v>8.125</v>
      </c>
      <c r="AA129" s="233">
        <f t="shared" si="151"/>
        <v>5</v>
      </c>
      <c r="AB129" s="263">
        <v>8.5</v>
      </c>
      <c r="AC129" s="234">
        <f t="shared" si="152"/>
        <v>8.5</v>
      </c>
      <c r="AD129" s="235">
        <f t="shared" si="153"/>
        <v>0</v>
      </c>
      <c r="AE129" s="262">
        <v>3</v>
      </c>
      <c r="AF129" s="263">
        <v>3</v>
      </c>
      <c r="AG129" s="228">
        <f t="shared" si="154"/>
        <v>3</v>
      </c>
      <c r="AH129" s="229">
        <f t="shared" si="155"/>
        <v>0</v>
      </c>
      <c r="AI129" s="262">
        <v>7</v>
      </c>
      <c r="AJ129" s="263">
        <v>0.5</v>
      </c>
      <c r="AK129" s="228">
        <f t="shared" si="156"/>
        <v>3.75</v>
      </c>
      <c r="AL129" s="229">
        <f t="shared" si="157"/>
        <v>0</v>
      </c>
      <c r="AM129" s="236">
        <f t="shared" si="158"/>
        <v>4.4000000000000004</v>
      </c>
      <c r="AN129" s="237">
        <f t="shared" si="159"/>
        <v>0</v>
      </c>
      <c r="AO129" s="262">
        <v>11.5</v>
      </c>
      <c r="AP129" s="263">
        <v>3</v>
      </c>
      <c r="AQ129" s="228">
        <f t="shared" si="160"/>
        <v>7.25</v>
      </c>
      <c r="AR129" s="229">
        <f t="shared" si="161"/>
        <v>0</v>
      </c>
      <c r="AS129" s="263">
        <v>12</v>
      </c>
      <c r="AT129" s="234">
        <f t="shared" si="162"/>
        <v>12</v>
      </c>
      <c r="AU129" s="238">
        <f t="shared" si="163"/>
        <v>1</v>
      </c>
      <c r="AV129" s="236">
        <f t="shared" si="164"/>
        <v>9.625</v>
      </c>
      <c r="AW129" s="237">
        <f t="shared" si="165"/>
        <v>1</v>
      </c>
      <c r="AX129" s="263">
        <v>10.5</v>
      </c>
      <c r="AY129" s="263">
        <v>10.5</v>
      </c>
      <c r="AZ129" s="228">
        <f t="shared" si="166"/>
        <v>10.5</v>
      </c>
      <c r="BA129" s="229">
        <f t="shared" si="167"/>
        <v>1</v>
      </c>
      <c r="BB129" s="236">
        <f>AZ129</f>
        <v>10.5</v>
      </c>
      <c r="BC129" s="237">
        <f t="shared" si="169"/>
        <v>1</v>
      </c>
      <c r="BD129" s="239">
        <f t="shared" si="170"/>
        <v>7.1785714285714288</v>
      </c>
      <c r="BE129" s="240">
        <f t="shared" si="171"/>
        <v>7</v>
      </c>
      <c r="BF129" s="263"/>
      <c r="BG129" s="263"/>
      <c r="BH129" s="264">
        <f t="shared" si="172"/>
        <v>0</v>
      </c>
      <c r="BI129" s="265">
        <f t="shared" si="173"/>
        <v>0</v>
      </c>
      <c r="BJ129" s="263"/>
      <c r="BK129" s="263"/>
      <c r="BL129" s="264">
        <f t="shared" si="174"/>
        <v>0</v>
      </c>
      <c r="BM129" s="265">
        <f t="shared" si="175"/>
        <v>0</v>
      </c>
      <c r="BN129" s="263"/>
      <c r="BO129" s="263"/>
      <c r="BP129" s="264">
        <f t="shared" si="176"/>
        <v>0</v>
      </c>
      <c r="BQ129" s="265">
        <f t="shared" si="177"/>
        <v>0</v>
      </c>
      <c r="BR129" s="266">
        <f t="shared" si="178"/>
        <v>0</v>
      </c>
      <c r="BS129" s="267">
        <f t="shared" si="179"/>
        <v>0</v>
      </c>
      <c r="BT129" s="263"/>
      <c r="BU129" s="263"/>
      <c r="BV129" s="264">
        <f t="shared" si="180"/>
        <v>0</v>
      </c>
      <c r="BW129" s="265">
        <f t="shared" si="181"/>
        <v>0</v>
      </c>
      <c r="BX129" s="263"/>
      <c r="BY129" s="263"/>
      <c r="BZ129" s="264">
        <f t="shared" si="182"/>
        <v>0</v>
      </c>
      <c r="CA129" s="265">
        <f t="shared" si="183"/>
        <v>0</v>
      </c>
      <c r="CB129" s="268">
        <f t="shared" si="184"/>
        <v>0</v>
      </c>
      <c r="CC129" s="267">
        <f t="shared" si="185"/>
        <v>0</v>
      </c>
      <c r="CD129" s="263"/>
      <c r="CE129" s="263"/>
      <c r="CF129" s="264">
        <f t="shared" si="186"/>
        <v>0</v>
      </c>
      <c r="CG129" s="265">
        <f t="shared" si="187"/>
        <v>0</v>
      </c>
      <c r="CH129" s="268">
        <f t="shared" si="188"/>
        <v>0</v>
      </c>
      <c r="CI129" s="267">
        <f t="shared" si="189"/>
        <v>0</v>
      </c>
      <c r="CJ129" s="263"/>
      <c r="CK129" s="269">
        <f t="shared" si="190"/>
        <v>0</v>
      </c>
      <c r="CL129" s="270">
        <f t="shared" si="191"/>
        <v>0</v>
      </c>
      <c r="CM129" s="268">
        <f t="shared" si="192"/>
        <v>0</v>
      </c>
      <c r="CN129" s="267">
        <f t="shared" si="193"/>
        <v>0</v>
      </c>
      <c r="CO129" s="65">
        <f t="shared" si="194"/>
        <v>0</v>
      </c>
      <c r="CP129" s="66">
        <f t="shared" si="195"/>
        <v>0</v>
      </c>
      <c r="CQ129" s="31">
        <f t="shared" si="135"/>
        <v>7.1785714285714288</v>
      </c>
      <c r="CR129" s="32">
        <f t="shared" si="136"/>
        <v>7</v>
      </c>
      <c r="CS129" s="33">
        <f t="shared" si="137"/>
        <v>0</v>
      </c>
      <c r="CT129" s="34">
        <f t="shared" si="138"/>
        <v>0</v>
      </c>
      <c r="CU129" s="67">
        <f t="shared" si="139"/>
        <v>3.5892857142857144</v>
      </c>
      <c r="CV129" s="35">
        <f t="shared" si="140"/>
        <v>7</v>
      </c>
      <c r="CW129" s="59">
        <f t="shared" si="141"/>
        <v>47</v>
      </c>
      <c r="CX129" s="43" t="str">
        <f t="shared" si="196"/>
        <v>مؤجل(ة)</v>
      </c>
      <c r="CZ129" s="51"/>
      <c r="DA129" s="46"/>
    </row>
    <row r="130" spans="2:105" ht="27.75" customHeight="1" thickBot="1">
      <c r="B130" s="1">
        <f t="shared" si="197"/>
        <v>35</v>
      </c>
      <c r="C130" s="332" t="s">
        <v>233</v>
      </c>
      <c r="D130" s="249" t="s">
        <v>678</v>
      </c>
      <c r="E130" s="47" t="s">
        <v>382</v>
      </c>
      <c r="F130" s="135">
        <v>33956</v>
      </c>
      <c r="G130" s="136" t="s">
        <v>746</v>
      </c>
      <c r="H130" s="131"/>
      <c r="I130" s="132"/>
      <c r="J130" s="133"/>
      <c r="K130" s="134"/>
      <c r="L130" s="53">
        <f t="shared" si="142"/>
        <v>0</v>
      </c>
      <c r="M130" s="58">
        <f t="shared" si="143"/>
        <v>0</v>
      </c>
      <c r="N130" s="262">
        <v>10</v>
      </c>
      <c r="O130" s="263">
        <v>10</v>
      </c>
      <c r="P130" s="228">
        <f t="shared" si="144"/>
        <v>10</v>
      </c>
      <c r="Q130" s="229">
        <f t="shared" si="145"/>
        <v>5</v>
      </c>
      <c r="R130" s="262">
        <v>11</v>
      </c>
      <c r="S130" s="263">
        <v>11</v>
      </c>
      <c r="T130" s="228">
        <f t="shared" si="146"/>
        <v>11</v>
      </c>
      <c r="U130" s="229">
        <f t="shared" si="147"/>
        <v>6</v>
      </c>
      <c r="V130" s="262">
        <v>10</v>
      </c>
      <c r="W130" s="263">
        <v>10</v>
      </c>
      <c r="X130" s="228">
        <f t="shared" si="148"/>
        <v>10</v>
      </c>
      <c r="Y130" s="229">
        <f t="shared" si="149"/>
        <v>6</v>
      </c>
      <c r="Z130" s="232">
        <f t="shared" si="150"/>
        <v>10.333333333333334</v>
      </c>
      <c r="AA130" s="233">
        <f t="shared" si="151"/>
        <v>17</v>
      </c>
      <c r="AB130" s="263">
        <v>15</v>
      </c>
      <c r="AC130" s="234">
        <f t="shared" si="152"/>
        <v>15</v>
      </c>
      <c r="AD130" s="235">
        <f t="shared" si="153"/>
        <v>1</v>
      </c>
      <c r="AE130" s="262">
        <v>0</v>
      </c>
      <c r="AF130" s="263">
        <v>0</v>
      </c>
      <c r="AG130" s="228">
        <f t="shared" si="154"/>
        <v>0</v>
      </c>
      <c r="AH130" s="229">
        <f t="shared" si="155"/>
        <v>0</v>
      </c>
      <c r="AI130" s="262">
        <v>10</v>
      </c>
      <c r="AJ130" s="263">
        <v>1</v>
      </c>
      <c r="AK130" s="228">
        <f t="shared" si="156"/>
        <v>5.5</v>
      </c>
      <c r="AL130" s="229">
        <f t="shared" si="157"/>
        <v>0</v>
      </c>
      <c r="AM130" s="236">
        <f t="shared" si="158"/>
        <v>5.2</v>
      </c>
      <c r="AN130" s="237">
        <f t="shared" si="159"/>
        <v>1</v>
      </c>
      <c r="AO130" s="262"/>
      <c r="AP130" s="263"/>
      <c r="AQ130" s="228">
        <f t="shared" si="160"/>
        <v>0</v>
      </c>
      <c r="AR130" s="229">
        <f t="shared" si="161"/>
        <v>0</v>
      </c>
      <c r="AS130" s="263">
        <v>1</v>
      </c>
      <c r="AT130" s="234">
        <f t="shared" si="162"/>
        <v>1</v>
      </c>
      <c r="AU130" s="238">
        <f t="shared" si="163"/>
        <v>0</v>
      </c>
      <c r="AV130" s="236">
        <f t="shared" si="164"/>
        <v>0.5</v>
      </c>
      <c r="AW130" s="237">
        <f t="shared" si="165"/>
        <v>0</v>
      </c>
      <c r="AX130" s="263">
        <v>10.38</v>
      </c>
      <c r="AY130" s="263">
        <v>10.38</v>
      </c>
      <c r="AZ130" s="228">
        <f t="shared" si="166"/>
        <v>10.38</v>
      </c>
      <c r="BA130" s="229">
        <f t="shared" si="167"/>
        <v>1</v>
      </c>
      <c r="BB130" s="236">
        <f t="shared" si="168"/>
        <v>10.38</v>
      </c>
      <c r="BC130" s="237">
        <f t="shared" si="169"/>
        <v>1</v>
      </c>
      <c r="BD130" s="239">
        <f t="shared" si="170"/>
        <v>7.0985714285714279</v>
      </c>
      <c r="BE130" s="240">
        <f t="shared" si="171"/>
        <v>19</v>
      </c>
      <c r="BF130" s="263"/>
      <c r="BG130" s="263"/>
      <c r="BH130" s="264">
        <f t="shared" si="172"/>
        <v>0</v>
      </c>
      <c r="BI130" s="265">
        <f t="shared" si="173"/>
        <v>0</v>
      </c>
      <c r="BJ130" s="263"/>
      <c r="BK130" s="263"/>
      <c r="BL130" s="264">
        <f t="shared" si="174"/>
        <v>0</v>
      </c>
      <c r="BM130" s="265">
        <f t="shared" si="175"/>
        <v>0</v>
      </c>
      <c r="BN130" s="263"/>
      <c r="BO130" s="263"/>
      <c r="BP130" s="264">
        <f t="shared" si="176"/>
        <v>0</v>
      </c>
      <c r="BQ130" s="265">
        <f t="shared" si="177"/>
        <v>0</v>
      </c>
      <c r="BR130" s="266">
        <f t="shared" si="178"/>
        <v>0</v>
      </c>
      <c r="BS130" s="267">
        <f t="shared" si="179"/>
        <v>0</v>
      </c>
      <c r="BT130" s="263"/>
      <c r="BU130" s="263"/>
      <c r="BV130" s="264">
        <f t="shared" si="180"/>
        <v>0</v>
      </c>
      <c r="BW130" s="265">
        <f t="shared" si="181"/>
        <v>0</v>
      </c>
      <c r="BX130" s="263"/>
      <c r="BY130" s="263"/>
      <c r="BZ130" s="264">
        <f t="shared" si="182"/>
        <v>0</v>
      </c>
      <c r="CA130" s="265">
        <f t="shared" si="183"/>
        <v>0</v>
      </c>
      <c r="CB130" s="268">
        <f t="shared" si="184"/>
        <v>0</v>
      </c>
      <c r="CC130" s="267">
        <f t="shared" si="185"/>
        <v>0</v>
      </c>
      <c r="CD130" s="263"/>
      <c r="CE130" s="263"/>
      <c r="CF130" s="264">
        <f t="shared" si="186"/>
        <v>0</v>
      </c>
      <c r="CG130" s="265">
        <f t="shared" si="187"/>
        <v>0</v>
      </c>
      <c r="CH130" s="268">
        <f t="shared" si="188"/>
        <v>0</v>
      </c>
      <c r="CI130" s="267">
        <f t="shared" si="189"/>
        <v>0</v>
      </c>
      <c r="CJ130" s="263"/>
      <c r="CK130" s="269">
        <f t="shared" si="190"/>
        <v>0</v>
      </c>
      <c r="CL130" s="270">
        <f t="shared" si="191"/>
        <v>0</v>
      </c>
      <c r="CM130" s="268">
        <f t="shared" si="192"/>
        <v>0</v>
      </c>
      <c r="CN130" s="267">
        <f t="shared" si="193"/>
        <v>0</v>
      </c>
      <c r="CO130" s="65">
        <f t="shared" si="194"/>
        <v>0</v>
      </c>
      <c r="CP130" s="66">
        <f t="shared" si="195"/>
        <v>0</v>
      </c>
      <c r="CQ130" s="31">
        <f t="shared" si="135"/>
        <v>7.0985714285714279</v>
      </c>
      <c r="CR130" s="32">
        <f t="shared" si="136"/>
        <v>19</v>
      </c>
      <c r="CS130" s="33">
        <f t="shared" si="137"/>
        <v>0</v>
      </c>
      <c r="CT130" s="34">
        <f t="shared" si="138"/>
        <v>0</v>
      </c>
      <c r="CU130" s="67">
        <f t="shared" si="139"/>
        <v>3.5492857142857139</v>
      </c>
      <c r="CV130" s="35">
        <f t="shared" si="140"/>
        <v>19</v>
      </c>
      <c r="CW130" s="59">
        <f t="shared" si="141"/>
        <v>19</v>
      </c>
      <c r="CX130" s="43" t="str">
        <f t="shared" si="196"/>
        <v>مؤجل(ة)</v>
      </c>
      <c r="CZ130" s="51"/>
      <c r="DA130" s="46"/>
    </row>
    <row r="131" spans="2:105" ht="27.75" customHeight="1" thickBot="1">
      <c r="B131" s="1">
        <f t="shared" si="197"/>
        <v>36</v>
      </c>
      <c r="C131" s="332" t="s">
        <v>802</v>
      </c>
      <c r="D131" s="249" t="s">
        <v>602</v>
      </c>
      <c r="E131" s="137" t="s">
        <v>477</v>
      </c>
      <c r="F131" s="135">
        <v>34562</v>
      </c>
      <c r="G131" s="136" t="s">
        <v>746</v>
      </c>
      <c r="H131" s="131"/>
      <c r="I131" s="132"/>
      <c r="J131" s="133"/>
      <c r="K131" s="134"/>
      <c r="L131" s="53">
        <f t="shared" si="142"/>
        <v>0</v>
      </c>
      <c r="M131" s="58">
        <f t="shared" si="143"/>
        <v>0</v>
      </c>
      <c r="N131" s="262">
        <v>10.5</v>
      </c>
      <c r="O131" s="263">
        <v>10.5</v>
      </c>
      <c r="P131" s="228">
        <f t="shared" si="144"/>
        <v>10.5</v>
      </c>
      <c r="Q131" s="229">
        <f t="shared" si="145"/>
        <v>5</v>
      </c>
      <c r="R131" s="262">
        <v>12</v>
      </c>
      <c r="S131" s="263">
        <v>12</v>
      </c>
      <c r="T131" s="228">
        <f t="shared" si="146"/>
        <v>12</v>
      </c>
      <c r="U131" s="229">
        <f t="shared" si="147"/>
        <v>6</v>
      </c>
      <c r="V131" s="262">
        <v>10.5</v>
      </c>
      <c r="W131" s="263">
        <v>10.5</v>
      </c>
      <c r="X131" s="228">
        <f t="shared" si="148"/>
        <v>10.5</v>
      </c>
      <c r="Y131" s="229">
        <f t="shared" si="149"/>
        <v>6</v>
      </c>
      <c r="Z131" s="232">
        <f t="shared" si="150"/>
        <v>11</v>
      </c>
      <c r="AA131" s="233">
        <f t="shared" si="151"/>
        <v>17</v>
      </c>
      <c r="AB131" s="263">
        <v>10</v>
      </c>
      <c r="AC131" s="234">
        <f t="shared" si="152"/>
        <v>10</v>
      </c>
      <c r="AD131" s="235">
        <f t="shared" si="153"/>
        <v>1</v>
      </c>
      <c r="AE131" s="262"/>
      <c r="AF131" s="263"/>
      <c r="AG131" s="228">
        <f t="shared" si="154"/>
        <v>0</v>
      </c>
      <c r="AH131" s="229">
        <f t="shared" si="155"/>
        <v>0</v>
      </c>
      <c r="AI131" s="262"/>
      <c r="AJ131" s="263"/>
      <c r="AK131" s="228">
        <f t="shared" si="156"/>
        <v>0</v>
      </c>
      <c r="AL131" s="229">
        <f t="shared" si="157"/>
        <v>0</v>
      </c>
      <c r="AM131" s="236">
        <f t="shared" si="158"/>
        <v>2</v>
      </c>
      <c r="AN131" s="237">
        <f t="shared" si="159"/>
        <v>1</v>
      </c>
      <c r="AO131" s="262">
        <v>15.75</v>
      </c>
      <c r="AP131" s="263">
        <v>15.75</v>
      </c>
      <c r="AQ131" s="228">
        <f t="shared" si="160"/>
        <v>15.75</v>
      </c>
      <c r="AR131" s="229">
        <f t="shared" si="161"/>
        <v>4</v>
      </c>
      <c r="AS131" s="263">
        <v>8</v>
      </c>
      <c r="AT131" s="234">
        <f t="shared" si="162"/>
        <v>8</v>
      </c>
      <c r="AU131" s="238">
        <f t="shared" si="163"/>
        <v>0</v>
      </c>
      <c r="AV131" s="236">
        <f t="shared" si="164"/>
        <v>11.875</v>
      </c>
      <c r="AW131" s="237">
        <f t="shared" si="165"/>
        <v>5</v>
      </c>
      <c r="AX131" s="263">
        <v>10.5</v>
      </c>
      <c r="AY131" s="263">
        <v>10.5</v>
      </c>
      <c r="AZ131" s="228">
        <f t="shared" si="166"/>
        <v>10.5</v>
      </c>
      <c r="BA131" s="229">
        <f t="shared" si="167"/>
        <v>1</v>
      </c>
      <c r="BB131" s="236">
        <f t="shared" si="168"/>
        <v>10.5</v>
      </c>
      <c r="BC131" s="237">
        <f t="shared" si="169"/>
        <v>1</v>
      </c>
      <c r="BD131" s="239">
        <f t="shared" si="170"/>
        <v>7.875</v>
      </c>
      <c r="BE131" s="240">
        <f t="shared" si="171"/>
        <v>24</v>
      </c>
      <c r="BF131" s="263"/>
      <c r="BG131" s="263"/>
      <c r="BH131" s="264">
        <f t="shared" si="172"/>
        <v>0</v>
      </c>
      <c r="BI131" s="265">
        <f t="shared" si="173"/>
        <v>0</v>
      </c>
      <c r="BJ131" s="263"/>
      <c r="BK131" s="263"/>
      <c r="BL131" s="264">
        <f t="shared" si="174"/>
        <v>0</v>
      </c>
      <c r="BM131" s="265">
        <f t="shared" si="175"/>
        <v>0</v>
      </c>
      <c r="BN131" s="263"/>
      <c r="BO131" s="263"/>
      <c r="BP131" s="264">
        <f t="shared" si="176"/>
        <v>0</v>
      </c>
      <c r="BQ131" s="265">
        <f t="shared" si="177"/>
        <v>0</v>
      </c>
      <c r="BR131" s="266">
        <f t="shared" si="178"/>
        <v>0</v>
      </c>
      <c r="BS131" s="267">
        <f t="shared" si="179"/>
        <v>0</v>
      </c>
      <c r="BT131" s="263"/>
      <c r="BU131" s="263"/>
      <c r="BV131" s="264">
        <f t="shared" si="180"/>
        <v>0</v>
      </c>
      <c r="BW131" s="265">
        <f t="shared" si="181"/>
        <v>0</v>
      </c>
      <c r="BX131" s="263"/>
      <c r="BY131" s="263"/>
      <c r="BZ131" s="264">
        <f t="shared" si="182"/>
        <v>0</v>
      </c>
      <c r="CA131" s="265">
        <f t="shared" si="183"/>
        <v>0</v>
      </c>
      <c r="CB131" s="268">
        <f t="shared" si="184"/>
        <v>0</v>
      </c>
      <c r="CC131" s="267">
        <f t="shared" si="185"/>
        <v>0</v>
      </c>
      <c r="CD131" s="263"/>
      <c r="CE131" s="263"/>
      <c r="CF131" s="264">
        <f t="shared" si="186"/>
        <v>0</v>
      </c>
      <c r="CG131" s="265">
        <f t="shared" si="187"/>
        <v>0</v>
      </c>
      <c r="CH131" s="268">
        <f t="shared" si="188"/>
        <v>0</v>
      </c>
      <c r="CI131" s="267">
        <f t="shared" si="189"/>
        <v>0</v>
      </c>
      <c r="CJ131" s="263"/>
      <c r="CK131" s="269">
        <f t="shared" si="190"/>
        <v>0</v>
      </c>
      <c r="CL131" s="270">
        <f t="shared" si="191"/>
        <v>0</v>
      </c>
      <c r="CM131" s="268">
        <f t="shared" si="192"/>
        <v>0</v>
      </c>
      <c r="CN131" s="267">
        <f t="shared" si="193"/>
        <v>0</v>
      </c>
      <c r="CO131" s="65">
        <f t="shared" si="194"/>
        <v>0</v>
      </c>
      <c r="CP131" s="66">
        <f t="shared" si="195"/>
        <v>0</v>
      </c>
      <c r="CQ131" s="31">
        <f t="shared" si="135"/>
        <v>7.875</v>
      </c>
      <c r="CR131" s="32">
        <f t="shared" si="136"/>
        <v>24</v>
      </c>
      <c r="CS131" s="33">
        <f t="shared" si="137"/>
        <v>0</v>
      </c>
      <c r="CT131" s="34">
        <f t="shared" si="138"/>
        <v>0</v>
      </c>
      <c r="CU131" s="67">
        <f t="shared" si="139"/>
        <v>3.9375</v>
      </c>
      <c r="CV131" s="35">
        <f t="shared" si="140"/>
        <v>24</v>
      </c>
      <c r="CW131" s="59">
        <f t="shared" si="141"/>
        <v>24</v>
      </c>
      <c r="CX131" s="43" t="str">
        <f t="shared" si="196"/>
        <v>مؤجل(ة)</v>
      </c>
      <c r="CY131" s="44"/>
      <c r="CZ131" s="50"/>
      <c r="DA131" s="46"/>
    </row>
    <row r="132" spans="2:105" ht="27.75" customHeight="1">
      <c r="B132" s="420" t="s">
        <v>47</v>
      </c>
      <c r="C132" s="388"/>
      <c r="D132" s="388"/>
      <c r="E132" s="421"/>
      <c r="F132" s="200"/>
      <c r="G132" s="200"/>
      <c r="H132" s="200"/>
      <c r="I132" s="200"/>
      <c r="J132" s="200"/>
      <c r="K132" s="200"/>
      <c r="L132" s="200"/>
      <c r="M132" s="200"/>
      <c r="N132" s="350" t="s">
        <v>45</v>
      </c>
      <c r="O132" s="351"/>
      <c r="P132" s="351"/>
      <c r="Q132" s="352"/>
      <c r="R132" s="350" t="s">
        <v>45</v>
      </c>
      <c r="S132" s="351"/>
      <c r="T132" s="351"/>
      <c r="U132" s="352"/>
      <c r="V132" s="350" t="s">
        <v>45</v>
      </c>
      <c r="W132" s="351"/>
      <c r="X132" s="351"/>
      <c r="Y132" s="352"/>
      <c r="Z132" s="200"/>
      <c r="AA132" s="200"/>
      <c r="AB132" s="347" t="s">
        <v>45</v>
      </c>
      <c r="AC132" s="348"/>
      <c r="AD132" s="349"/>
      <c r="AE132" s="350" t="s">
        <v>45</v>
      </c>
      <c r="AF132" s="351"/>
      <c r="AG132" s="351"/>
      <c r="AH132" s="352"/>
      <c r="AI132" s="350" t="s">
        <v>45</v>
      </c>
      <c r="AJ132" s="351"/>
      <c r="AK132" s="351"/>
      <c r="AL132" s="352"/>
      <c r="AM132" s="200"/>
      <c r="AN132" s="200"/>
      <c r="AO132" s="350" t="s">
        <v>45</v>
      </c>
      <c r="AP132" s="351"/>
      <c r="AQ132" s="351"/>
      <c r="AR132" s="352"/>
      <c r="AS132" s="347" t="s">
        <v>45</v>
      </c>
      <c r="AT132" s="348"/>
      <c r="AU132" s="349"/>
      <c r="AV132" s="200"/>
      <c r="AW132" s="200"/>
      <c r="AX132" s="350" t="s">
        <v>45</v>
      </c>
      <c r="AY132" s="351"/>
      <c r="AZ132" s="351"/>
      <c r="BA132" s="352"/>
      <c r="BB132" s="387" t="s">
        <v>46</v>
      </c>
      <c r="BC132" s="388"/>
      <c r="BD132" s="388"/>
      <c r="BE132" s="388"/>
      <c r="BF132" s="350" t="s">
        <v>45</v>
      </c>
      <c r="BG132" s="351"/>
      <c r="BH132" s="351"/>
      <c r="BI132" s="352"/>
      <c r="BJ132" s="350" t="s">
        <v>45</v>
      </c>
      <c r="BK132" s="351"/>
      <c r="BL132" s="351"/>
      <c r="BM132" s="352"/>
      <c r="BN132" s="350" t="s">
        <v>45</v>
      </c>
      <c r="BO132" s="351"/>
      <c r="BP132" s="351"/>
      <c r="BQ132" s="352"/>
      <c r="BR132" s="201"/>
      <c r="BS132" s="202"/>
      <c r="BT132" s="350" t="s">
        <v>45</v>
      </c>
      <c r="BU132" s="351"/>
      <c r="BV132" s="351"/>
      <c r="BW132" s="352"/>
      <c r="BX132" s="350" t="s">
        <v>45</v>
      </c>
      <c r="BY132" s="351"/>
      <c r="BZ132" s="351"/>
      <c r="CA132" s="352"/>
      <c r="CB132" s="203"/>
      <c r="CC132" s="202"/>
      <c r="CD132" s="350" t="s">
        <v>45</v>
      </c>
      <c r="CE132" s="351"/>
      <c r="CF132" s="351"/>
      <c r="CG132" s="352"/>
      <c r="CH132" s="219"/>
      <c r="CI132" s="220"/>
      <c r="CJ132" s="433" t="s">
        <v>45</v>
      </c>
      <c r="CK132" s="434"/>
      <c r="CL132" s="435"/>
      <c r="CM132" s="436" t="s">
        <v>46</v>
      </c>
      <c r="CN132" s="437"/>
      <c r="CO132" s="437"/>
      <c r="CP132" s="438"/>
      <c r="CQ132" s="200"/>
      <c r="CR132" s="200"/>
      <c r="CS132" s="200"/>
      <c r="CT132" s="200"/>
      <c r="CU132" s="200"/>
      <c r="CV132" s="200"/>
      <c r="CW132" s="200"/>
      <c r="CX132" s="204" t="s">
        <v>46</v>
      </c>
    </row>
    <row r="133" spans="2:105" ht="27.75" customHeight="1" thickBot="1">
      <c r="B133" s="205"/>
      <c r="C133" s="206"/>
      <c r="D133" s="206"/>
      <c r="E133" s="207"/>
      <c r="F133" s="206"/>
      <c r="G133" s="206"/>
      <c r="H133" s="206"/>
      <c r="I133" s="206"/>
      <c r="J133" s="206"/>
      <c r="K133" s="206"/>
      <c r="L133" s="206"/>
      <c r="M133" s="206"/>
      <c r="N133" s="344"/>
      <c r="O133" s="345"/>
      <c r="P133" s="345"/>
      <c r="Q133" s="346"/>
      <c r="R133" s="344"/>
      <c r="S133" s="345"/>
      <c r="T133" s="345"/>
      <c r="U133" s="346"/>
      <c r="V133" s="344"/>
      <c r="W133" s="345"/>
      <c r="X133" s="345"/>
      <c r="Y133" s="346"/>
      <c r="Z133" s="206"/>
      <c r="AA133" s="206"/>
      <c r="AB133" s="353"/>
      <c r="AC133" s="354"/>
      <c r="AD133" s="355"/>
      <c r="AE133" s="344"/>
      <c r="AF133" s="345"/>
      <c r="AG133" s="345"/>
      <c r="AH133" s="346"/>
      <c r="AI133" s="344"/>
      <c r="AJ133" s="345"/>
      <c r="AK133" s="345"/>
      <c r="AL133" s="346"/>
      <c r="AM133" s="206"/>
      <c r="AN133" s="206"/>
      <c r="AO133" s="344"/>
      <c r="AP133" s="345"/>
      <c r="AQ133" s="345"/>
      <c r="AR133" s="346"/>
      <c r="AS133" s="353"/>
      <c r="AT133" s="354"/>
      <c r="AU133" s="355"/>
      <c r="AV133" s="206"/>
      <c r="AW133" s="206"/>
      <c r="AX133" s="344"/>
      <c r="AY133" s="345"/>
      <c r="AZ133" s="345"/>
      <c r="BA133" s="346"/>
      <c r="BB133" s="208"/>
      <c r="BC133" s="209"/>
      <c r="BD133" s="209"/>
      <c r="BE133" s="210"/>
      <c r="BF133" s="344"/>
      <c r="BG133" s="345"/>
      <c r="BH133" s="345"/>
      <c r="BI133" s="346"/>
      <c r="BJ133" s="344"/>
      <c r="BK133" s="345"/>
      <c r="BL133" s="345"/>
      <c r="BM133" s="346"/>
      <c r="BN133" s="344"/>
      <c r="BO133" s="345"/>
      <c r="BP133" s="345"/>
      <c r="BQ133" s="346"/>
      <c r="BR133" s="205"/>
      <c r="BS133" s="206"/>
      <c r="BT133" s="344"/>
      <c r="BU133" s="345"/>
      <c r="BV133" s="345"/>
      <c r="BW133" s="346"/>
      <c r="BX133" s="344"/>
      <c r="BY133" s="345"/>
      <c r="BZ133" s="345"/>
      <c r="CA133" s="346"/>
      <c r="CB133" s="206"/>
      <c r="CC133" s="206"/>
      <c r="CD133" s="344"/>
      <c r="CE133" s="345"/>
      <c r="CF133" s="345"/>
      <c r="CG133" s="346"/>
      <c r="CH133" s="217"/>
      <c r="CI133" s="218"/>
      <c r="CJ133" s="442"/>
      <c r="CK133" s="443"/>
      <c r="CL133" s="444"/>
      <c r="CM133" s="212"/>
      <c r="CN133" s="213"/>
      <c r="CO133" s="213"/>
      <c r="CP133" s="214"/>
      <c r="CQ133" s="206"/>
      <c r="CR133" s="206"/>
      <c r="CS133" s="206"/>
      <c r="CT133" s="206"/>
      <c r="CU133" s="206"/>
      <c r="CV133" s="206"/>
      <c r="CW133" s="206"/>
      <c r="CX133" s="211"/>
    </row>
    <row r="134" spans="2:105" ht="27.75" customHeight="1" thickBot="1">
      <c r="B134" s="417" t="s">
        <v>518</v>
      </c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9"/>
      <c r="N134" s="422" t="s">
        <v>805</v>
      </c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  <c r="AS134" s="423"/>
      <c r="AT134" s="423"/>
      <c r="AU134" s="423"/>
      <c r="AV134" s="423"/>
      <c r="AW134" s="423"/>
      <c r="AX134" s="423"/>
      <c r="AY134" s="423"/>
      <c r="AZ134" s="423"/>
      <c r="BA134" s="423"/>
      <c r="BB134" s="423"/>
      <c r="BC134" s="423"/>
      <c r="BD134" s="423"/>
      <c r="BE134" s="424"/>
      <c r="BF134" s="425" t="s">
        <v>109</v>
      </c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7"/>
      <c r="CQ134" s="428" t="s">
        <v>109</v>
      </c>
      <c r="CR134" s="429"/>
      <c r="CS134" s="429"/>
      <c r="CT134" s="429"/>
      <c r="CU134" s="429"/>
      <c r="CV134" s="429"/>
      <c r="CW134" s="429"/>
      <c r="CX134" s="430"/>
    </row>
    <row r="135" spans="2:105" ht="27.75" customHeight="1" thickBot="1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415" t="s">
        <v>511</v>
      </c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5"/>
      <c r="AJ135" s="415"/>
      <c r="AK135" s="415"/>
      <c r="AL135" s="415"/>
      <c r="AM135" s="415"/>
      <c r="AN135" s="415"/>
      <c r="AO135" s="415"/>
      <c r="AP135" s="415"/>
      <c r="AQ135" s="415"/>
      <c r="AR135" s="415"/>
      <c r="AS135" s="415"/>
      <c r="AT135" s="415"/>
      <c r="AU135" s="415"/>
      <c r="AV135" s="415"/>
      <c r="AW135" s="415"/>
      <c r="AX135" s="415"/>
      <c r="AY135" s="415"/>
      <c r="AZ135" s="415"/>
      <c r="BA135" s="415"/>
      <c r="BB135" s="415"/>
      <c r="BC135" s="415"/>
      <c r="BD135" s="415"/>
      <c r="BE135" s="416"/>
      <c r="BF135" s="408" t="s">
        <v>95</v>
      </c>
      <c r="BG135" s="409"/>
      <c r="BH135" s="409"/>
      <c r="BI135" s="409"/>
      <c r="BJ135" s="409"/>
      <c r="BK135" s="409"/>
      <c r="BL135" s="409"/>
      <c r="BM135" s="409"/>
      <c r="BN135" s="409"/>
      <c r="BO135" s="409"/>
      <c r="BP135" s="409"/>
      <c r="BQ135" s="409"/>
      <c r="BR135" s="409"/>
      <c r="BS135" s="409"/>
      <c r="BT135" s="409"/>
      <c r="BU135" s="409"/>
      <c r="BV135" s="409"/>
      <c r="BW135" s="409"/>
      <c r="BX135" s="409"/>
      <c r="BY135" s="409"/>
      <c r="BZ135" s="409"/>
      <c r="CA135" s="409"/>
      <c r="CB135" s="409"/>
      <c r="CC135" s="409"/>
      <c r="CD135" s="409"/>
      <c r="CE135" s="409"/>
      <c r="CF135" s="409"/>
      <c r="CG135" s="409"/>
      <c r="CH135" s="409"/>
      <c r="CI135" s="409"/>
      <c r="CJ135" s="409"/>
      <c r="CK135" s="409"/>
      <c r="CL135" s="409"/>
      <c r="CM135" s="409"/>
      <c r="CN135" s="409"/>
      <c r="CO135" s="409"/>
      <c r="CP135" s="410"/>
      <c r="CQ135" s="412" t="s">
        <v>96</v>
      </c>
      <c r="CR135" s="413"/>
      <c r="CS135" s="413"/>
      <c r="CT135" s="413"/>
      <c r="CU135" s="413"/>
      <c r="CV135" s="413"/>
      <c r="CW135" s="413"/>
      <c r="CX135" s="414"/>
      <c r="DA135" s="46"/>
    </row>
    <row r="136" spans="2:105" ht="27.75" customHeight="1" thickBot="1">
      <c r="B136" s="142"/>
      <c r="C136" s="143"/>
      <c r="D136" s="143"/>
      <c r="E136" s="143"/>
      <c r="F136" s="143"/>
      <c r="G136" s="143"/>
      <c r="H136" s="356" t="s">
        <v>59</v>
      </c>
      <c r="I136" s="357"/>
      <c r="J136" s="357"/>
      <c r="K136" s="357"/>
      <c r="L136" s="357"/>
      <c r="M136" s="358"/>
      <c r="N136" s="367" t="s">
        <v>53</v>
      </c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9"/>
      <c r="AB136" s="144"/>
      <c r="AC136" s="365" t="s">
        <v>52</v>
      </c>
      <c r="AD136" s="365"/>
      <c r="AE136" s="365"/>
      <c r="AF136" s="365"/>
      <c r="AG136" s="365"/>
      <c r="AH136" s="365"/>
      <c r="AI136" s="365"/>
      <c r="AJ136" s="365"/>
      <c r="AK136" s="365"/>
      <c r="AL136" s="365"/>
      <c r="AM136" s="365"/>
      <c r="AN136" s="366"/>
      <c r="AO136" s="367" t="s">
        <v>50</v>
      </c>
      <c r="AP136" s="368"/>
      <c r="AQ136" s="368"/>
      <c r="AR136" s="368"/>
      <c r="AS136" s="368"/>
      <c r="AT136" s="368"/>
      <c r="AU136" s="368"/>
      <c r="AV136" s="368"/>
      <c r="AW136" s="369"/>
      <c r="AX136" s="365" t="s">
        <v>51</v>
      </c>
      <c r="AY136" s="365"/>
      <c r="AZ136" s="365"/>
      <c r="BA136" s="365"/>
      <c r="BB136" s="365"/>
      <c r="BC136" s="366"/>
      <c r="BD136" s="383" t="s">
        <v>65</v>
      </c>
      <c r="BE136" s="384"/>
      <c r="BF136" s="389" t="s">
        <v>66</v>
      </c>
      <c r="BG136" s="390"/>
      <c r="BH136" s="390"/>
      <c r="BI136" s="390"/>
      <c r="BJ136" s="390"/>
      <c r="BK136" s="390"/>
      <c r="BL136" s="390"/>
      <c r="BM136" s="390"/>
      <c r="BN136" s="390"/>
      <c r="BO136" s="390"/>
      <c r="BP136" s="390"/>
      <c r="BQ136" s="390"/>
      <c r="BR136" s="390"/>
      <c r="BS136" s="391"/>
      <c r="BT136" s="439" t="s">
        <v>70</v>
      </c>
      <c r="BU136" s="440"/>
      <c r="BV136" s="440"/>
      <c r="BW136" s="440"/>
      <c r="BX136" s="440"/>
      <c r="BY136" s="440"/>
      <c r="BZ136" s="440"/>
      <c r="CA136" s="440"/>
      <c r="CB136" s="440"/>
      <c r="CC136" s="441"/>
      <c r="CD136" s="411" t="s">
        <v>71</v>
      </c>
      <c r="CE136" s="365"/>
      <c r="CF136" s="365"/>
      <c r="CG136" s="365"/>
      <c r="CH136" s="365"/>
      <c r="CI136" s="366"/>
      <c r="CJ136" s="389" t="s">
        <v>72</v>
      </c>
      <c r="CK136" s="390"/>
      <c r="CL136" s="390"/>
      <c r="CM136" s="390"/>
      <c r="CN136" s="391"/>
      <c r="CO136" s="398" t="s">
        <v>75</v>
      </c>
      <c r="CP136" s="399"/>
      <c r="CQ136" s="145"/>
      <c r="CR136" s="146"/>
      <c r="CS136" s="146"/>
      <c r="CT136" s="146"/>
      <c r="CU136" s="147"/>
      <c r="CV136" s="148"/>
      <c r="CW136" s="149"/>
      <c r="CX136" s="150"/>
      <c r="DA136" s="46"/>
    </row>
    <row r="137" spans="2:105" ht="27.75" customHeight="1" thickBot="1">
      <c r="B137" s="151"/>
      <c r="C137" s="152"/>
      <c r="D137" s="152"/>
      <c r="E137" s="152"/>
      <c r="F137" s="152"/>
      <c r="G137" s="153"/>
      <c r="H137" s="370" t="s">
        <v>4</v>
      </c>
      <c r="I137" s="371"/>
      <c r="J137" s="370" t="s">
        <v>5</v>
      </c>
      <c r="K137" s="371"/>
      <c r="L137" s="154" t="s">
        <v>79</v>
      </c>
      <c r="M137" s="155" t="s">
        <v>80</v>
      </c>
      <c r="N137" s="359" t="s">
        <v>54</v>
      </c>
      <c r="O137" s="360"/>
      <c r="P137" s="360"/>
      <c r="Q137" s="361"/>
      <c r="R137" s="362" t="s">
        <v>55</v>
      </c>
      <c r="S137" s="363"/>
      <c r="T137" s="363"/>
      <c r="U137" s="364"/>
      <c r="V137" s="359" t="s">
        <v>56</v>
      </c>
      <c r="W137" s="360"/>
      <c r="X137" s="360"/>
      <c r="Y137" s="361"/>
      <c r="Z137" s="377" t="s">
        <v>9</v>
      </c>
      <c r="AA137" s="378"/>
      <c r="AB137" s="362" t="s">
        <v>60</v>
      </c>
      <c r="AC137" s="363"/>
      <c r="AD137" s="364"/>
      <c r="AE137" s="359" t="s">
        <v>99</v>
      </c>
      <c r="AF137" s="360"/>
      <c r="AG137" s="360"/>
      <c r="AH137" s="361"/>
      <c r="AI137" s="362" t="s">
        <v>61</v>
      </c>
      <c r="AJ137" s="363"/>
      <c r="AK137" s="363"/>
      <c r="AL137" s="364"/>
      <c r="AM137" s="377" t="s">
        <v>9</v>
      </c>
      <c r="AN137" s="378"/>
      <c r="AO137" s="362" t="s">
        <v>63</v>
      </c>
      <c r="AP137" s="363"/>
      <c r="AQ137" s="363"/>
      <c r="AR137" s="364"/>
      <c r="AS137" s="359" t="s">
        <v>62</v>
      </c>
      <c r="AT137" s="360"/>
      <c r="AU137" s="361"/>
      <c r="AV137" s="372" t="s">
        <v>9</v>
      </c>
      <c r="AW137" s="373"/>
      <c r="AX137" s="359" t="s">
        <v>64</v>
      </c>
      <c r="AY137" s="360"/>
      <c r="AZ137" s="360"/>
      <c r="BA137" s="361"/>
      <c r="BB137" s="379" t="s">
        <v>9</v>
      </c>
      <c r="BC137" s="380"/>
      <c r="BD137" s="385"/>
      <c r="BE137" s="386"/>
      <c r="BF137" s="392" t="s">
        <v>67</v>
      </c>
      <c r="BG137" s="393"/>
      <c r="BH137" s="393"/>
      <c r="BI137" s="393"/>
      <c r="BJ137" s="382" t="s">
        <v>68</v>
      </c>
      <c r="BK137" s="382"/>
      <c r="BL137" s="382"/>
      <c r="BM137" s="382"/>
      <c r="BN137" s="393" t="s">
        <v>103</v>
      </c>
      <c r="BO137" s="393"/>
      <c r="BP137" s="393"/>
      <c r="BQ137" s="393"/>
      <c r="BR137" s="381" t="s">
        <v>9</v>
      </c>
      <c r="BS137" s="382"/>
      <c r="BT137" s="393" t="s">
        <v>104</v>
      </c>
      <c r="BU137" s="393"/>
      <c r="BV137" s="393"/>
      <c r="BW137" s="393"/>
      <c r="BX137" s="359" t="s">
        <v>69</v>
      </c>
      <c r="BY137" s="360"/>
      <c r="BZ137" s="360"/>
      <c r="CA137" s="361"/>
      <c r="CB137" s="402" t="s">
        <v>9</v>
      </c>
      <c r="CC137" s="403"/>
      <c r="CD137" s="362" t="s">
        <v>74</v>
      </c>
      <c r="CE137" s="363"/>
      <c r="CF137" s="363"/>
      <c r="CG137" s="363"/>
      <c r="CH137" s="396" t="s">
        <v>9</v>
      </c>
      <c r="CI137" s="397"/>
      <c r="CJ137" s="359" t="s">
        <v>73</v>
      </c>
      <c r="CK137" s="360"/>
      <c r="CL137" s="361"/>
      <c r="CM137" s="396" t="s">
        <v>9</v>
      </c>
      <c r="CN137" s="397"/>
      <c r="CO137" s="400"/>
      <c r="CP137" s="401"/>
      <c r="CQ137" s="431" t="s">
        <v>76</v>
      </c>
      <c r="CR137" s="432"/>
      <c r="CS137" s="431" t="s">
        <v>77</v>
      </c>
      <c r="CT137" s="432"/>
      <c r="CU137" s="394" t="s">
        <v>6</v>
      </c>
      <c r="CV137" s="404" t="s">
        <v>7</v>
      </c>
      <c r="CW137" s="406" t="s">
        <v>78</v>
      </c>
      <c r="CX137" s="156"/>
      <c r="DA137" s="46"/>
    </row>
    <row r="138" spans="2:105" ht="27.75" customHeight="1" thickTop="1" thickBot="1">
      <c r="B138" s="157" t="s">
        <v>0</v>
      </c>
      <c r="C138" s="158" t="s">
        <v>81</v>
      </c>
      <c r="D138" s="158" t="s">
        <v>82</v>
      </c>
      <c r="E138" s="159" t="s">
        <v>1</v>
      </c>
      <c r="F138" s="160" t="s">
        <v>2</v>
      </c>
      <c r="G138" s="161" t="s">
        <v>3</v>
      </c>
      <c r="H138" s="162" t="s">
        <v>10</v>
      </c>
      <c r="I138" s="163" t="s">
        <v>11</v>
      </c>
      <c r="J138" s="164" t="s">
        <v>10</v>
      </c>
      <c r="K138" s="163" t="s">
        <v>11</v>
      </c>
      <c r="L138" s="165" t="s">
        <v>49</v>
      </c>
      <c r="M138" s="166" t="s">
        <v>49</v>
      </c>
      <c r="N138" s="167" t="s">
        <v>57</v>
      </c>
      <c r="O138" s="168" t="s">
        <v>58</v>
      </c>
      <c r="P138" s="168" t="s">
        <v>10</v>
      </c>
      <c r="Q138" s="169" t="s">
        <v>11</v>
      </c>
      <c r="R138" s="167" t="s">
        <v>57</v>
      </c>
      <c r="S138" s="168" t="s">
        <v>58</v>
      </c>
      <c r="T138" s="168" t="s">
        <v>10</v>
      </c>
      <c r="U138" s="169" t="s">
        <v>11</v>
      </c>
      <c r="V138" s="167" t="s">
        <v>57</v>
      </c>
      <c r="W138" s="168" t="s">
        <v>58</v>
      </c>
      <c r="X138" s="168" t="s">
        <v>10</v>
      </c>
      <c r="Y138" s="169" t="s">
        <v>11</v>
      </c>
      <c r="Z138" s="170" t="s">
        <v>10</v>
      </c>
      <c r="AA138" s="171" t="s">
        <v>11</v>
      </c>
      <c r="AB138" s="168" t="s">
        <v>58</v>
      </c>
      <c r="AC138" s="172" t="s">
        <v>10</v>
      </c>
      <c r="AD138" s="169" t="s">
        <v>11</v>
      </c>
      <c r="AE138" s="167" t="s">
        <v>57</v>
      </c>
      <c r="AF138" s="168" t="s">
        <v>58</v>
      </c>
      <c r="AG138" s="173" t="s">
        <v>10</v>
      </c>
      <c r="AH138" s="174" t="s">
        <v>11</v>
      </c>
      <c r="AI138" s="167" t="s">
        <v>57</v>
      </c>
      <c r="AJ138" s="168" t="s">
        <v>58</v>
      </c>
      <c r="AK138" s="175" t="s">
        <v>10</v>
      </c>
      <c r="AL138" s="176" t="s">
        <v>11</v>
      </c>
      <c r="AM138" s="177" t="s">
        <v>10</v>
      </c>
      <c r="AN138" s="178" t="s">
        <v>11</v>
      </c>
      <c r="AO138" s="167" t="s">
        <v>57</v>
      </c>
      <c r="AP138" s="168" t="s">
        <v>58</v>
      </c>
      <c r="AQ138" s="179" t="s">
        <v>10</v>
      </c>
      <c r="AR138" s="174" t="s">
        <v>11</v>
      </c>
      <c r="AS138" s="172" t="s">
        <v>58</v>
      </c>
      <c r="AT138" s="175" t="s">
        <v>10</v>
      </c>
      <c r="AU138" s="176" t="s">
        <v>11</v>
      </c>
      <c r="AV138" s="180" t="s">
        <v>10</v>
      </c>
      <c r="AW138" s="181" t="s">
        <v>11</v>
      </c>
      <c r="AX138" s="167" t="s">
        <v>57</v>
      </c>
      <c r="AY138" s="168" t="s">
        <v>58</v>
      </c>
      <c r="AZ138" s="175" t="s">
        <v>10</v>
      </c>
      <c r="BA138" s="176" t="s">
        <v>11</v>
      </c>
      <c r="BB138" s="180" t="s">
        <v>10</v>
      </c>
      <c r="BC138" s="182" t="s">
        <v>11</v>
      </c>
      <c r="BD138" s="183" t="s">
        <v>10</v>
      </c>
      <c r="BE138" s="184" t="s">
        <v>11</v>
      </c>
      <c r="BF138" s="185" t="s">
        <v>57</v>
      </c>
      <c r="BG138" s="168" t="s">
        <v>58</v>
      </c>
      <c r="BH138" s="168" t="s">
        <v>10</v>
      </c>
      <c r="BI138" s="169" t="s">
        <v>11</v>
      </c>
      <c r="BJ138" s="167" t="s">
        <v>57</v>
      </c>
      <c r="BK138" s="168" t="s">
        <v>58</v>
      </c>
      <c r="BL138" s="168" t="s">
        <v>10</v>
      </c>
      <c r="BM138" s="169" t="s">
        <v>11</v>
      </c>
      <c r="BN138" s="167" t="s">
        <v>57</v>
      </c>
      <c r="BO138" s="168" t="s">
        <v>58</v>
      </c>
      <c r="BP138" s="168" t="s">
        <v>10</v>
      </c>
      <c r="BQ138" s="169" t="s">
        <v>11</v>
      </c>
      <c r="BR138" s="186" t="s">
        <v>10</v>
      </c>
      <c r="BS138" s="171" t="s">
        <v>11</v>
      </c>
      <c r="BT138" s="167" t="s">
        <v>57</v>
      </c>
      <c r="BU138" s="168" t="s">
        <v>58</v>
      </c>
      <c r="BV138" s="168" t="s">
        <v>10</v>
      </c>
      <c r="BW138" s="169" t="s">
        <v>11</v>
      </c>
      <c r="BX138" s="167" t="s">
        <v>57</v>
      </c>
      <c r="BY138" s="168" t="s">
        <v>58</v>
      </c>
      <c r="BZ138" s="173" t="s">
        <v>10</v>
      </c>
      <c r="CA138" s="176" t="s">
        <v>11</v>
      </c>
      <c r="CB138" s="187" t="s">
        <v>10</v>
      </c>
      <c r="CC138" s="188" t="s">
        <v>11</v>
      </c>
      <c r="CD138" s="167" t="s">
        <v>57</v>
      </c>
      <c r="CE138" s="168" t="s">
        <v>58</v>
      </c>
      <c r="CF138" s="179" t="s">
        <v>10</v>
      </c>
      <c r="CG138" s="176" t="s">
        <v>11</v>
      </c>
      <c r="CH138" s="189" t="s">
        <v>10</v>
      </c>
      <c r="CI138" s="190" t="s">
        <v>11</v>
      </c>
      <c r="CJ138" s="191" t="s">
        <v>58</v>
      </c>
      <c r="CK138" s="179" t="s">
        <v>10</v>
      </c>
      <c r="CL138" s="176" t="s">
        <v>11</v>
      </c>
      <c r="CM138" s="177" t="s">
        <v>10</v>
      </c>
      <c r="CN138" s="178" t="s">
        <v>11</v>
      </c>
      <c r="CO138" s="192" t="s">
        <v>10</v>
      </c>
      <c r="CP138" s="193" t="s">
        <v>11</v>
      </c>
      <c r="CQ138" s="194" t="s">
        <v>10</v>
      </c>
      <c r="CR138" s="195" t="s">
        <v>11</v>
      </c>
      <c r="CS138" s="196" t="s">
        <v>10</v>
      </c>
      <c r="CT138" s="195" t="s">
        <v>11</v>
      </c>
      <c r="CU138" s="395"/>
      <c r="CV138" s="405"/>
      <c r="CW138" s="407"/>
      <c r="CX138" s="197" t="s">
        <v>8</v>
      </c>
      <c r="DA138" s="46"/>
    </row>
    <row r="139" spans="2:105" ht="27.75" customHeight="1" thickBot="1">
      <c r="B139" s="1">
        <v>1</v>
      </c>
      <c r="C139" s="324" t="s">
        <v>679</v>
      </c>
      <c r="D139" s="249" t="s">
        <v>680</v>
      </c>
      <c r="E139" s="48" t="s">
        <v>778</v>
      </c>
      <c r="F139" s="275">
        <v>34708</v>
      </c>
      <c r="G139" s="52" t="s">
        <v>746</v>
      </c>
      <c r="H139" s="131">
        <v>9.4600000000000009</v>
      </c>
      <c r="I139" s="132">
        <v>19</v>
      </c>
      <c r="J139" s="133">
        <v>7</v>
      </c>
      <c r="K139" s="134">
        <v>11</v>
      </c>
      <c r="L139" s="53">
        <f>(H139+J139)/2</f>
        <v>8.23</v>
      </c>
      <c r="M139" s="58">
        <f>IF(L139&gt;=10,60,I139+K139)</f>
        <v>30</v>
      </c>
      <c r="N139" s="262">
        <v>11.5</v>
      </c>
      <c r="O139" s="263">
        <v>11.5</v>
      </c>
      <c r="P139" s="228">
        <v>11.5</v>
      </c>
      <c r="Q139" s="229">
        <v>11.5</v>
      </c>
      <c r="R139" s="262">
        <v>12.25</v>
      </c>
      <c r="S139" s="263">
        <v>12.25</v>
      </c>
      <c r="T139" s="228">
        <f>(R139+S139)/2</f>
        <v>12.25</v>
      </c>
      <c r="U139" s="229">
        <f>IF(T139&gt;=10,6,0)</f>
        <v>6</v>
      </c>
      <c r="V139" s="262">
        <v>10</v>
      </c>
      <c r="W139" s="263">
        <v>10</v>
      </c>
      <c r="X139" s="228">
        <f>(V139+W139)/2</f>
        <v>10</v>
      </c>
      <c r="Y139" s="229">
        <f>IF(X139&gt;=10,6,0)</f>
        <v>6</v>
      </c>
      <c r="Z139" s="232">
        <f>((P139*2)+(T139*2)+(X139*2))/6</f>
        <v>11.25</v>
      </c>
      <c r="AA139" s="233">
        <f>IF(Z139&gt;=10,17,Q139+U139+Y139)</f>
        <v>17</v>
      </c>
      <c r="AB139" s="263">
        <v>10</v>
      </c>
      <c r="AC139" s="234">
        <f>AB139</f>
        <v>10</v>
      </c>
      <c r="AD139" s="235">
        <f>IF(AC139&gt;=10,1,0)</f>
        <v>1</v>
      </c>
      <c r="AE139" s="262"/>
      <c r="AF139" s="263"/>
      <c r="AG139" s="228">
        <f>(AE139+AF139)/2</f>
        <v>0</v>
      </c>
      <c r="AH139" s="229">
        <f>IF(AG139&gt;=10,3,0)</f>
        <v>0</v>
      </c>
      <c r="AI139" s="262">
        <v>6</v>
      </c>
      <c r="AJ139" s="263">
        <v>1</v>
      </c>
      <c r="AK139" s="228">
        <f>(AI139+AJ139)/2</f>
        <v>3.5</v>
      </c>
      <c r="AL139" s="229">
        <f>IF(AK139&gt;=10,3,0)</f>
        <v>0</v>
      </c>
      <c r="AM139" s="236">
        <f>(AC139+(AG139*2)+(AK139*2))/5</f>
        <v>3.4</v>
      </c>
      <c r="AN139" s="237">
        <f>IF(AM139&gt;=10,7,AL139+AH139+AD139)</f>
        <v>1</v>
      </c>
      <c r="AO139" s="262">
        <v>10.5</v>
      </c>
      <c r="AP139" s="263">
        <v>1</v>
      </c>
      <c r="AQ139" s="228">
        <f>(AO139+AP139)/2</f>
        <v>5.75</v>
      </c>
      <c r="AR139" s="229">
        <f>IF(AQ139&gt;=10,4,0)</f>
        <v>0</v>
      </c>
      <c r="AS139" s="263">
        <v>0</v>
      </c>
      <c r="AT139" s="234">
        <f>AS139</f>
        <v>0</v>
      </c>
      <c r="AU139" s="238">
        <f>IF(AT139&gt;=10,1,0)</f>
        <v>0</v>
      </c>
      <c r="AV139" s="236">
        <f>(AT139+AQ139)/2</f>
        <v>2.875</v>
      </c>
      <c r="AW139" s="237">
        <f>IF(AV139&gt;=10,5,AU139+AR139)</f>
        <v>0</v>
      </c>
      <c r="AX139" s="263">
        <v>11.5</v>
      </c>
      <c r="AY139" s="263">
        <v>11.5</v>
      </c>
      <c r="AZ139" s="228">
        <f>(AX139+AY139)/2</f>
        <v>11.5</v>
      </c>
      <c r="BA139" s="229">
        <f>IF(AZ139&gt;=10,1,0)</f>
        <v>1</v>
      </c>
      <c r="BB139" s="236">
        <f>AZ139</f>
        <v>11.5</v>
      </c>
      <c r="BC139" s="237">
        <f>BA139</f>
        <v>1</v>
      </c>
      <c r="BD139" s="239">
        <f>((P139*2)+(T139*2)+(X139*2)+AC139+(AG139*2)+(AK139*2)+AQ139+AT139+AZ139)/14</f>
        <v>7.2678571428571432</v>
      </c>
      <c r="BE139" s="240">
        <f>IF(BD139&gt;=10,30,BC139+AW139+AN139+AA139)</f>
        <v>19</v>
      </c>
      <c r="BF139" s="263"/>
      <c r="BG139" s="263"/>
      <c r="BH139" s="264">
        <f>(BF139+BG139)/2</f>
        <v>0</v>
      </c>
      <c r="BI139" s="265">
        <f>IF(BH139&gt;=10,6,0)</f>
        <v>0</v>
      </c>
      <c r="BJ139" s="263"/>
      <c r="BK139" s="263"/>
      <c r="BL139" s="264">
        <f>(BJ139+BK139)/2</f>
        <v>0</v>
      </c>
      <c r="BM139" s="265">
        <f>IF(BL139&gt;=10,6,0)</f>
        <v>0</v>
      </c>
      <c r="BN139" s="263"/>
      <c r="BO139" s="263"/>
      <c r="BP139" s="264">
        <f>(BN139+BO139)/2</f>
        <v>0</v>
      </c>
      <c r="BQ139" s="265">
        <f>IF(BP139&gt;=10,4,0)</f>
        <v>0</v>
      </c>
      <c r="BR139" s="266">
        <f>(BP139+(BL139*2)+(BH139*2))/5</f>
        <v>0</v>
      </c>
      <c r="BS139" s="267">
        <f>IF(BR139&gt;=10,16,BQ139+BM139+BI139)</f>
        <v>0</v>
      </c>
      <c r="BT139" s="263"/>
      <c r="BU139" s="263"/>
      <c r="BV139" s="264">
        <f>(BT139+BU139)/2</f>
        <v>0</v>
      </c>
      <c r="BW139" s="265">
        <f>IF(BV139&gt;=10,5,0)</f>
        <v>0</v>
      </c>
      <c r="BX139" s="263"/>
      <c r="BY139" s="263"/>
      <c r="BZ139" s="264">
        <f>(BX139+BY139)/2</f>
        <v>0</v>
      </c>
      <c r="CA139" s="265">
        <f>IF(BZ139&gt;=10,5,0)</f>
        <v>0</v>
      </c>
      <c r="CB139" s="268">
        <f>((BZ139*2)+(BV139*2))/4</f>
        <v>0</v>
      </c>
      <c r="CC139" s="267">
        <f>IF(CB139&gt;=10,10,CA139+BW139)</f>
        <v>0</v>
      </c>
      <c r="CD139" s="263"/>
      <c r="CE139" s="263"/>
      <c r="CF139" s="264">
        <f>(CD139+CE139)/2</f>
        <v>0</v>
      </c>
      <c r="CG139" s="265">
        <f>IF(CF139&gt;=10,3,0)</f>
        <v>0</v>
      </c>
      <c r="CH139" s="268">
        <f>CF139</f>
        <v>0</v>
      </c>
      <c r="CI139" s="267">
        <f>CG139</f>
        <v>0</v>
      </c>
      <c r="CJ139" s="263"/>
      <c r="CK139" s="269">
        <f>CJ139</f>
        <v>0</v>
      </c>
      <c r="CL139" s="270">
        <f>IF(CK139&gt;=10,1,0)</f>
        <v>0</v>
      </c>
      <c r="CM139" s="268">
        <f>CK139</f>
        <v>0</v>
      </c>
      <c r="CN139" s="267">
        <f>CL139</f>
        <v>0</v>
      </c>
      <c r="CO139" s="65">
        <f>((CF139*2)+(BV139*2)+(BZ139*2)+CK139+BP139+(BL139*2)+(BH139*2))/12</f>
        <v>0</v>
      </c>
      <c r="CP139" s="66">
        <f>IF(CO139&gt;=10,30,CI139+CN139+CC139+BS139)</f>
        <v>0</v>
      </c>
      <c r="CQ139" s="31">
        <f t="shared" ref="CQ139:CQ176" si="198">BD139</f>
        <v>7.2678571428571432</v>
      </c>
      <c r="CR139" s="32">
        <f t="shared" ref="CR139:CR176" si="199">IF(CU139&gt;=10,30,BE139)</f>
        <v>19</v>
      </c>
      <c r="CS139" s="33">
        <f t="shared" ref="CS139:CS176" si="200">CO139</f>
        <v>0</v>
      </c>
      <c r="CT139" s="34">
        <f t="shared" ref="CT139:CT176" si="201">IF(CU139&gt;=10,30,CP139)</f>
        <v>0</v>
      </c>
      <c r="CU139" s="67">
        <f t="shared" ref="CU139:CU176" si="202">(CS139+CQ139)/2</f>
        <v>3.6339285714285716</v>
      </c>
      <c r="CV139" s="35">
        <f t="shared" ref="CV139:CV176" si="203">IF(CU139&gt;=10,60,CT139+CR139)</f>
        <v>19</v>
      </c>
      <c r="CW139" s="59">
        <f t="shared" ref="CW139:CW176" si="204">(M139+CV139)</f>
        <v>49</v>
      </c>
      <c r="CX139" s="43" t="str">
        <f>IF(CW139=120,"ناجح(ة) دورة1","مؤجل(ة)")</f>
        <v>مؤجل(ة)</v>
      </c>
      <c r="CY139" s="44"/>
      <c r="CZ139" s="50"/>
      <c r="DA139" s="46"/>
    </row>
    <row r="140" spans="2:105" ht="27.75" customHeight="1" thickBot="1">
      <c r="B140" s="1">
        <f>B139+1</f>
        <v>2</v>
      </c>
      <c r="C140" s="324" t="s">
        <v>681</v>
      </c>
      <c r="D140" s="249" t="s">
        <v>682</v>
      </c>
      <c r="E140" s="47" t="s">
        <v>779</v>
      </c>
      <c r="F140" s="135">
        <v>34877</v>
      </c>
      <c r="G140" s="136" t="s">
        <v>780</v>
      </c>
      <c r="H140" s="131"/>
      <c r="I140" s="132"/>
      <c r="J140" s="133"/>
      <c r="K140" s="134"/>
      <c r="L140" s="53">
        <f t="shared" ref="L140:L176" si="205">(H140+J140)/2</f>
        <v>0</v>
      </c>
      <c r="M140" s="58">
        <f t="shared" ref="M140:M176" si="206">IF(L140&gt;=10,60,I140+K140)</f>
        <v>0</v>
      </c>
      <c r="N140" s="262">
        <v>10.5</v>
      </c>
      <c r="O140" s="263">
        <v>10.5</v>
      </c>
      <c r="P140" s="228">
        <f t="shared" ref="P140:P176" si="207">(N140+O140)/2</f>
        <v>10.5</v>
      </c>
      <c r="Q140" s="229">
        <f t="shared" ref="Q140:Q176" si="208">IF(P140&gt;=10,5,0)</f>
        <v>5</v>
      </c>
      <c r="R140" s="262">
        <v>10.25</v>
      </c>
      <c r="S140" s="263">
        <v>10.25</v>
      </c>
      <c r="T140" s="228">
        <f t="shared" ref="T140:T176" si="209">(R140+S140)/2</f>
        <v>10.25</v>
      </c>
      <c r="U140" s="229">
        <f t="shared" ref="U140:U176" si="210">IF(T140&gt;=10,6,0)</f>
        <v>6</v>
      </c>
      <c r="V140" s="262">
        <v>10</v>
      </c>
      <c r="W140" s="263">
        <v>10</v>
      </c>
      <c r="X140" s="228">
        <f t="shared" ref="X140:X176" si="211">(V140+W140)/2</f>
        <v>10</v>
      </c>
      <c r="Y140" s="229">
        <f t="shared" ref="Y140:Y176" si="212">IF(X140&gt;=10,6,0)</f>
        <v>6</v>
      </c>
      <c r="Z140" s="232">
        <f t="shared" ref="Z140:Z176" si="213">((P140*2)+(T140*2)+(X140*2))/6</f>
        <v>10.25</v>
      </c>
      <c r="AA140" s="233">
        <f t="shared" ref="AA140:AA176" si="214">IF(Z140&gt;=10,17,Q140+U140+Y140)</f>
        <v>17</v>
      </c>
      <c r="AB140" s="263">
        <v>10.5</v>
      </c>
      <c r="AC140" s="234">
        <f t="shared" ref="AC140:AC176" si="215">AB140</f>
        <v>10.5</v>
      </c>
      <c r="AD140" s="235">
        <f t="shared" ref="AD140:AD176" si="216">IF(AC140&gt;=10,1,0)</f>
        <v>1</v>
      </c>
      <c r="AE140" s="262">
        <v>4.5</v>
      </c>
      <c r="AF140" s="263">
        <v>4.5</v>
      </c>
      <c r="AG140" s="228">
        <f t="shared" ref="AG140:AG176" si="217">(AE140+AF140)/2</f>
        <v>4.5</v>
      </c>
      <c r="AH140" s="229">
        <f t="shared" ref="AH140:AH176" si="218">IF(AG140&gt;=10,3,0)</f>
        <v>0</v>
      </c>
      <c r="AI140" s="262">
        <v>9</v>
      </c>
      <c r="AJ140" s="263">
        <v>3.5</v>
      </c>
      <c r="AK140" s="228">
        <f t="shared" ref="AK140:AK176" si="219">(AI140+AJ140)/2</f>
        <v>6.25</v>
      </c>
      <c r="AL140" s="229">
        <f t="shared" ref="AL140:AL176" si="220">IF(AK140&gt;=10,3,0)</f>
        <v>0</v>
      </c>
      <c r="AM140" s="236">
        <f t="shared" ref="AM140:AM176" si="221">(AC140+(AG140*2)+(AK140*2))/5</f>
        <v>6.4</v>
      </c>
      <c r="AN140" s="237">
        <f t="shared" ref="AN140:AN176" si="222">IF(AM140&gt;=10,7,AL140+AH140+AD140)</f>
        <v>1</v>
      </c>
      <c r="AO140" s="262">
        <v>10.5</v>
      </c>
      <c r="AP140" s="263">
        <v>3</v>
      </c>
      <c r="AQ140" s="228">
        <f t="shared" ref="AQ140:AQ176" si="223">(AO140+AP140)/2</f>
        <v>6.75</v>
      </c>
      <c r="AR140" s="229">
        <f t="shared" ref="AR140:AR176" si="224">IF(AQ140&gt;=10,4,0)</f>
        <v>0</v>
      </c>
      <c r="AS140" s="263">
        <v>7</v>
      </c>
      <c r="AT140" s="234">
        <f t="shared" ref="AT140:AT176" si="225">AS140</f>
        <v>7</v>
      </c>
      <c r="AU140" s="238">
        <f t="shared" ref="AU140:AU176" si="226">IF(AT140&gt;=10,1,0)</f>
        <v>0</v>
      </c>
      <c r="AV140" s="236">
        <f t="shared" ref="AV140:AV176" si="227">(AT140+AQ140)/2</f>
        <v>6.875</v>
      </c>
      <c r="AW140" s="237">
        <f t="shared" ref="AW140:AW176" si="228">IF(AV140&gt;=10,5,AU140+AR140)</f>
        <v>0</v>
      </c>
      <c r="AX140" s="263">
        <v>12.88</v>
      </c>
      <c r="AY140" s="263">
        <v>12.88</v>
      </c>
      <c r="AZ140" s="228">
        <f t="shared" ref="AZ140:AZ176" si="229">(AX140+AY140)/2</f>
        <v>12.88</v>
      </c>
      <c r="BA140" s="229">
        <f t="shared" ref="BA140:BA176" si="230">IF(AZ140&gt;=10,1,0)</f>
        <v>1</v>
      </c>
      <c r="BB140" s="236">
        <f t="shared" ref="BB140:BB176" si="231">AZ140</f>
        <v>12.88</v>
      </c>
      <c r="BC140" s="237">
        <f t="shared" ref="BC140:BC176" si="232">BA140</f>
        <v>1</v>
      </c>
      <c r="BD140" s="239">
        <f t="shared" ref="BD140:BD176" si="233">((P140*2)+(T140*2)+(X140*2)+AC140+(AG140*2)+(AK140*2)+AQ140+AT140+AZ140)/14</f>
        <v>8.5807142857142846</v>
      </c>
      <c r="BE140" s="240">
        <f t="shared" ref="BE140:BE176" si="234">IF(BD140&gt;=10,30,BC140+AW140+AN140+AA140)</f>
        <v>19</v>
      </c>
      <c r="BF140" s="263"/>
      <c r="BG140" s="263"/>
      <c r="BH140" s="264">
        <f t="shared" ref="BH140:BH176" si="235">(BF140+BG140)/2</f>
        <v>0</v>
      </c>
      <c r="BI140" s="265">
        <f t="shared" ref="BI140:BI176" si="236">IF(BH140&gt;=10,6,0)</f>
        <v>0</v>
      </c>
      <c r="BJ140" s="263"/>
      <c r="BK140" s="263"/>
      <c r="BL140" s="264">
        <f t="shared" ref="BL140:BL176" si="237">(BJ140+BK140)/2</f>
        <v>0</v>
      </c>
      <c r="BM140" s="265">
        <f t="shared" ref="BM140:BM176" si="238">IF(BL140&gt;=10,6,0)</f>
        <v>0</v>
      </c>
      <c r="BN140" s="263"/>
      <c r="BO140" s="263"/>
      <c r="BP140" s="264">
        <f t="shared" ref="BP140:BP176" si="239">(BN140+BO140)/2</f>
        <v>0</v>
      </c>
      <c r="BQ140" s="265">
        <f t="shared" ref="BQ140:BQ176" si="240">IF(BP140&gt;=10,4,0)</f>
        <v>0</v>
      </c>
      <c r="BR140" s="266">
        <f t="shared" ref="BR140:BR176" si="241">(BP140+(BL140*2)+(BH140*2))/5</f>
        <v>0</v>
      </c>
      <c r="BS140" s="267">
        <f t="shared" ref="BS140:BS176" si="242">IF(BR140&gt;=10,16,BQ140+BM140+BI140)</f>
        <v>0</v>
      </c>
      <c r="BT140" s="263"/>
      <c r="BU140" s="263"/>
      <c r="BV140" s="264">
        <f t="shared" ref="BV140:BV176" si="243">(BT140+BU140)/2</f>
        <v>0</v>
      </c>
      <c r="BW140" s="265">
        <f t="shared" ref="BW140:BW176" si="244">IF(BV140&gt;=10,5,0)</f>
        <v>0</v>
      </c>
      <c r="BX140" s="263"/>
      <c r="BY140" s="263"/>
      <c r="BZ140" s="264">
        <f t="shared" ref="BZ140:BZ176" si="245">(BX140+BY140)/2</f>
        <v>0</v>
      </c>
      <c r="CA140" s="265">
        <f t="shared" ref="CA140:CA176" si="246">IF(BZ140&gt;=10,5,0)</f>
        <v>0</v>
      </c>
      <c r="CB140" s="268">
        <f t="shared" ref="CB140:CB176" si="247">((BZ140*2)+(BV140*2))/4</f>
        <v>0</v>
      </c>
      <c r="CC140" s="267">
        <f t="shared" ref="CC140:CC176" si="248">IF(CB140&gt;=10,10,CA140+BW140)</f>
        <v>0</v>
      </c>
      <c r="CD140" s="263"/>
      <c r="CE140" s="263"/>
      <c r="CF140" s="264">
        <f t="shared" ref="CF140:CF176" si="249">(CD140+CE140)/2</f>
        <v>0</v>
      </c>
      <c r="CG140" s="265">
        <f t="shared" ref="CG140:CG176" si="250">IF(CF140&gt;=10,3,0)</f>
        <v>0</v>
      </c>
      <c r="CH140" s="268">
        <f t="shared" ref="CH140:CH176" si="251">CF140</f>
        <v>0</v>
      </c>
      <c r="CI140" s="267">
        <f t="shared" ref="CI140:CI176" si="252">CG140</f>
        <v>0</v>
      </c>
      <c r="CJ140" s="263"/>
      <c r="CK140" s="269">
        <f t="shared" ref="CK140:CK176" si="253">CJ140</f>
        <v>0</v>
      </c>
      <c r="CL140" s="270">
        <f t="shared" ref="CL140:CL176" si="254">IF(CK140&gt;=10,1,0)</f>
        <v>0</v>
      </c>
      <c r="CM140" s="268">
        <f t="shared" ref="CM140:CM176" si="255">CK140</f>
        <v>0</v>
      </c>
      <c r="CN140" s="267">
        <f t="shared" ref="CN140:CN176" si="256">CL140</f>
        <v>0</v>
      </c>
      <c r="CO140" s="65">
        <f t="shared" ref="CO140:CO176" si="257">((CF140*2)+(BV140*2)+(BZ140*2)+CK140+BP140+(BL140*2)+(BH140*2))/12</f>
        <v>0</v>
      </c>
      <c r="CP140" s="66">
        <f t="shared" ref="CP140:CP176" si="258">IF(CO140&gt;=10,30,CI140+CN140+CC140+BS140)</f>
        <v>0</v>
      </c>
      <c r="CQ140" s="31">
        <f t="shared" si="198"/>
        <v>8.5807142857142846</v>
      </c>
      <c r="CR140" s="32">
        <f t="shared" si="199"/>
        <v>19</v>
      </c>
      <c r="CS140" s="33">
        <f t="shared" si="200"/>
        <v>0</v>
      </c>
      <c r="CT140" s="34">
        <f t="shared" si="201"/>
        <v>0</v>
      </c>
      <c r="CU140" s="67">
        <f t="shared" si="202"/>
        <v>4.2903571428571423</v>
      </c>
      <c r="CV140" s="35">
        <f t="shared" si="203"/>
        <v>19</v>
      </c>
      <c r="CW140" s="59">
        <f t="shared" si="204"/>
        <v>19</v>
      </c>
      <c r="CX140" s="43" t="str">
        <f t="shared" ref="CX140:CX176" si="259">IF(CW140=120,"ناجح(ة) دورة1","مؤجل(ة)")</f>
        <v>مؤجل(ة)</v>
      </c>
      <c r="CY140" s="44"/>
      <c r="CZ140" s="50"/>
      <c r="DA140" s="46"/>
    </row>
    <row r="141" spans="2:105" ht="27.75" customHeight="1" thickBot="1">
      <c r="B141" s="1">
        <f t="shared" ref="B141:B176" si="260">B140+1</f>
        <v>3</v>
      </c>
      <c r="C141" s="335" t="s">
        <v>683</v>
      </c>
      <c r="D141" s="249" t="s">
        <v>684</v>
      </c>
      <c r="E141" s="47"/>
      <c r="F141" s="276"/>
      <c r="G141" s="136"/>
      <c r="H141" s="131"/>
      <c r="I141" s="132"/>
      <c r="J141" s="133"/>
      <c r="K141" s="134"/>
      <c r="L141" s="53">
        <f t="shared" si="205"/>
        <v>0</v>
      </c>
      <c r="M141" s="58">
        <f t="shared" si="206"/>
        <v>0</v>
      </c>
      <c r="N141" s="262">
        <v>5.5</v>
      </c>
      <c r="O141" s="263">
        <v>6.25</v>
      </c>
      <c r="P141" s="228">
        <f t="shared" si="207"/>
        <v>5.875</v>
      </c>
      <c r="Q141" s="229">
        <f t="shared" si="208"/>
        <v>0</v>
      </c>
      <c r="R141" s="262">
        <v>12</v>
      </c>
      <c r="S141" s="263">
        <v>2.75</v>
      </c>
      <c r="T141" s="228">
        <f t="shared" si="209"/>
        <v>7.375</v>
      </c>
      <c r="U141" s="229">
        <f t="shared" si="210"/>
        <v>0</v>
      </c>
      <c r="V141" s="262">
        <v>6.5</v>
      </c>
      <c r="W141" s="263">
        <v>1.5</v>
      </c>
      <c r="X141" s="228">
        <f t="shared" si="211"/>
        <v>4</v>
      </c>
      <c r="Y141" s="229">
        <f t="shared" si="212"/>
        <v>0</v>
      </c>
      <c r="Z141" s="232">
        <f t="shared" si="213"/>
        <v>5.75</v>
      </c>
      <c r="AA141" s="233">
        <f t="shared" si="214"/>
        <v>0</v>
      </c>
      <c r="AB141" s="263">
        <v>14</v>
      </c>
      <c r="AC141" s="234">
        <f t="shared" si="215"/>
        <v>14</v>
      </c>
      <c r="AD141" s="235">
        <f t="shared" si="216"/>
        <v>1</v>
      </c>
      <c r="AE141" s="262">
        <v>3</v>
      </c>
      <c r="AF141" s="263">
        <v>3</v>
      </c>
      <c r="AG141" s="228">
        <f t="shared" si="217"/>
        <v>3</v>
      </c>
      <c r="AH141" s="229">
        <f t="shared" si="218"/>
        <v>0</v>
      </c>
      <c r="AI141" s="262">
        <v>9</v>
      </c>
      <c r="AJ141" s="263">
        <v>3</v>
      </c>
      <c r="AK141" s="228">
        <f t="shared" si="219"/>
        <v>6</v>
      </c>
      <c r="AL141" s="229">
        <f t="shared" si="220"/>
        <v>0</v>
      </c>
      <c r="AM141" s="236">
        <f t="shared" si="221"/>
        <v>6.4</v>
      </c>
      <c r="AN141" s="237">
        <f t="shared" si="222"/>
        <v>1</v>
      </c>
      <c r="AO141" s="262">
        <v>10.5</v>
      </c>
      <c r="AP141" s="263">
        <v>1</v>
      </c>
      <c r="AQ141" s="228">
        <f t="shared" si="223"/>
        <v>5.75</v>
      </c>
      <c r="AR141" s="229">
        <f t="shared" si="224"/>
        <v>0</v>
      </c>
      <c r="AS141" s="263">
        <v>2</v>
      </c>
      <c r="AT141" s="234">
        <f t="shared" si="225"/>
        <v>2</v>
      </c>
      <c r="AU141" s="238">
        <f t="shared" si="226"/>
        <v>0</v>
      </c>
      <c r="AV141" s="236">
        <f t="shared" si="227"/>
        <v>3.875</v>
      </c>
      <c r="AW141" s="237">
        <f t="shared" si="228"/>
        <v>0</v>
      </c>
      <c r="AX141" s="263">
        <v>13</v>
      </c>
      <c r="AY141" s="263">
        <v>7.5</v>
      </c>
      <c r="AZ141" s="228">
        <f t="shared" si="229"/>
        <v>10.25</v>
      </c>
      <c r="BA141" s="229">
        <f t="shared" si="230"/>
        <v>1</v>
      </c>
      <c r="BB141" s="236">
        <f t="shared" si="231"/>
        <v>10.25</v>
      </c>
      <c r="BC141" s="237">
        <f t="shared" si="232"/>
        <v>1</v>
      </c>
      <c r="BD141" s="239">
        <f t="shared" si="233"/>
        <v>6.0357142857142856</v>
      </c>
      <c r="BE141" s="240">
        <f t="shared" si="234"/>
        <v>2</v>
      </c>
      <c r="BF141" s="263"/>
      <c r="BG141" s="263"/>
      <c r="BH141" s="264">
        <f t="shared" si="235"/>
        <v>0</v>
      </c>
      <c r="BI141" s="265">
        <f t="shared" si="236"/>
        <v>0</v>
      </c>
      <c r="BJ141" s="263"/>
      <c r="BK141" s="263"/>
      <c r="BL141" s="264">
        <f t="shared" si="237"/>
        <v>0</v>
      </c>
      <c r="BM141" s="265">
        <f t="shared" si="238"/>
        <v>0</v>
      </c>
      <c r="BN141" s="263"/>
      <c r="BO141" s="263"/>
      <c r="BP141" s="264">
        <f t="shared" si="239"/>
        <v>0</v>
      </c>
      <c r="BQ141" s="265">
        <f t="shared" si="240"/>
        <v>0</v>
      </c>
      <c r="BR141" s="266">
        <f t="shared" si="241"/>
        <v>0</v>
      </c>
      <c r="BS141" s="267">
        <f t="shared" si="242"/>
        <v>0</v>
      </c>
      <c r="BT141" s="263"/>
      <c r="BU141" s="263"/>
      <c r="BV141" s="264">
        <f t="shared" si="243"/>
        <v>0</v>
      </c>
      <c r="BW141" s="265">
        <f t="shared" si="244"/>
        <v>0</v>
      </c>
      <c r="BX141" s="263"/>
      <c r="BY141" s="263"/>
      <c r="BZ141" s="264">
        <f t="shared" si="245"/>
        <v>0</v>
      </c>
      <c r="CA141" s="265">
        <f t="shared" si="246"/>
        <v>0</v>
      </c>
      <c r="CB141" s="268">
        <f t="shared" si="247"/>
        <v>0</v>
      </c>
      <c r="CC141" s="267">
        <f t="shared" si="248"/>
        <v>0</v>
      </c>
      <c r="CD141" s="263"/>
      <c r="CE141" s="263"/>
      <c r="CF141" s="264">
        <f t="shared" si="249"/>
        <v>0</v>
      </c>
      <c r="CG141" s="265">
        <f t="shared" si="250"/>
        <v>0</v>
      </c>
      <c r="CH141" s="268">
        <f t="shared" si="251"/>
        <v>0</v>
      </c>
      <c r="CI141" s="267">
        <f t="shared" si="252"/>
        <v>0</v>
      </c>
      <c r="CJ141" s="263"/>
      <c r="CK141" s="269">
        <f t="shared" si="253"/>
        <v>0</v>
      </c>
      <c r="CL141" s="270">
        <f t="shared" si="254"/>
        <v>0</v>
      </c>
      <c r="CM141" s="268">
        <f t="shared" si="255"/>
        <v>0</v>
      </c>
      <c r="CN141" s="267">
        <f t="shared" si="256"/>
        <v>0</v>
      </c>
      <c r="CO141" s="65">
        <f t="shared" si="257"/>
        <v>0</v>
      </c>
      <c r="CP141" s="66">
        <f t="shared" si="258"/>
        <v>0</v>
      </c>
      <c r="CQ141" s="31">
        <f t="shared" si="198"/>
        <v>6.0357142857142856</v>
      </c>
      <c r="CR141" s="32">
        <f t="shared" si="199"/>
        <v>2</v>
      </c>
      <c r="CS141" s="33">
        <f t="shared" si="200"/>
        <v>0</v>
      </c>
      <c r="CT141" s="34">
        <f t="shared" si="201"/>
        <v>0</v>
      </c>
      <c r="CU141" s="67">
        <f t="shared" si="202"/>
        <v>3.0178571428571428</v>
      </c>
      <c r="CV141" s="35">
        <f t="shared" si="203"/>
        <v>2</v>
      </c>
      <c r="CW141" s="59">
        <f t="shared" si="204"/>
        <v>2</v>
      </c>
      <c r="CX141" s="43" t="str">
        <f t="shared" si="259"/>
        <v>مؤجل(ة)</v>
      </c>
      <c r="CZ141" s="51"/>
      <c r="DA141" s="46"/>
    </row>
    <row r="142" spans="2:105" ht="27.75" customHeight="1" thickBot="1">
      <c r="B142" s="1">
        <f t="shared" si="260"/>
        <v>4</v>
      </c>
      <c r="C142" s="324" t="s">
        <v>685</v>
      </c>
      <c r="D142" s="249" t="s">
        <v>686</v>
      </c>
      <c r="E142" s="47"/>
      <c r="F142" s="135"/>
      <c r="G142" s="136"/>
      <c r="H142" s="131"/>
      <c r="I142" s="132"/>
      <c r="J142" s="133"/>
      <c r="K142" s="134"/>
      <c r="L142" s="53">
        <f t="shared" si="205"/>
        <v>0</v>
      </c>
      <c r="M142" s="58">
        <f t="shared" si="206"/>
        <v>0</v>
      </c>
      <c r="N142" s="262">
        <v>10.5</v>
      </c>
      <c r="O142" s="263">
        <v>3</v>
      </c>
      <c r="P142" s="228">
        <f t="shared" si="207"/>
        <v>6.75</v>
      </c>
      <c r="Q142" s="229">
        <f t="shared" si="208"/>
        <v>0</v>
      </c>
      <c r="R142" s="262">
        <v>13</v>
      </c>
      <c r="S142" s="263">
        <v>8</v>
      </c>
      <c r="T142" s="228">
        <f t="shared" si="209"/>
        <v>10.5</v>
      </c>
      <c r="U142" s="229">
        <f t="shared" si="210"/>
        <v>6</v>
      </c>
      <c r="V142" s="262">
        <v>9</v>
      </c>
      <c r="W142" s="263">
        <v>3.25</v>
      </c>
      <c r="X142" s="228">
        <f t="shared" si="211"/>
        <v>6.125</v>
      </c>
      <c r="Y142" s="229">
        <f t="shared" si="212"/>
        <v>0</v>
      </c>
      <c r="Z142" s="232">
        <f t="shared" si="213"/>
        <v>7.791666666666667</v>
      </c>
      <c r="AA142" s="233">
        <f t="shared" si="214"/>
        <v>6</v>
      </c>
      <c r="AB142" s="263">
        <v>18</v>
      </c>
      <c r="AC142" s="234">
        <f t="shared" si="215"/>
        <v>18</v>
      </c>
      <c r="AD142" s="235">
        <f t="shared" si="216"/>
        <v>1</v>
      </c>
      <c r="AE142" s="262">
        <v>5</v>
      </c>
      <c r="AF142" s="263">
        <v>5</v>
      </c>
      <c r="AG142" s="228">
        <f t="shared" si="217"/>
        <v>5</v>
      </c>
      <c r="AH142" s="229">
        <f t="shared" si="218"/>
        <v>0</v>
      </c>
      <c r="AI142" s="262">
        <v>9</v>
      </c>
      <c r="AJ142" s="263">
        <v>0</v>
      </c>
      <c r="AK142" s="228">
        <f t="shared" si="219"/>
        <v>4.5</v>
      </c>
      <c r="AL142" s="229">
        <f t="shared" si="220"/>
        <v>0</v>
      </c>
      <c r="AM142" s="236">
        <f t="shared" si="221"/>
        <v>7.4</v>
      </c>
      <c r="AN142" s="237">
        <f t="shared" si="222"/>
        <v>1</v>
      </c>
      <c r="AO142" s="262">
        <v>10.5</v>
      </c>
      <c r="AP142" s="263">
        <v>1</v>
      </c>
      <c r="AQ142" s="228">
        <f t="shared" si="223"/>
        <v>5.75</v>
      </c>
      <c r="AR142" s="229">
        <f t="shared" si="224"/>
        <v>0</v>
      </c>
      <c r="AS142" s="263">
        <v>8.5</v>
      </c>
      <c r="AT142" s="234">
        <f t="shared" si="225"/>
        <v>8.5</v>
      </c>
      <c r="AU142" s="238">
        <f t="shared" si="226"/>
        <v>0</v>
      </c>
      <c r="AV142" s="236">
        <f t="shared" si="227"/>
        <v>7.125</v>
      </c>
      <c r="AW142" s="237">
        <f t="shared" si="228"/>
        <v>0</v>
      </c>
      <c r="AX142" s="263">
        <v>14.5</v>
      </c>
      <c r="AY142" s="263">
        <v>9.5</v>
      </c>
      <c r="AZ142" s="228">
        <f t="shared" si="229"/>
        <v>12</v>
      </c>
      <c r="BA142" s="229">
        <f t="shared" si="230"/>
        <v>1</v>
      </c>
      <c r="BB142" s="236">
        <f t="shared" si="231"/>
        <v>12</v>
      </c>
      <c r="BC142" s="237">
        <f t="shared" si="232"/>
        <v>1</v>
      </c>
      <c r="BD142" s="239">
        <f t="shared" si="233"/>
        <v>7.8571428571428568</v>
      </c>
      <c r="BE142" s="240">
        <f t="shared" si="234"/>
        <v>8</v>
      </c>
      <c r="BF142" s="263"/>
      <c r="BG142" s="263"/>
      <c r="BH142" s="264">
        <f t="shared" si="235"/>
        <v>0</v>
      </c>
      <c r="BI142" s="265">
        <f t="shared" si="236"/>
        <v>0</v>
      </c>
      <c r="BJ142" s="263"/>
      <c r="BK142" s="263"/>
      <c r="BL142" s="264">
        <f t="shared" si="237"/>
        <v>0</v>
      </c>
      <c r="BM142" s="265">
        <f t="shared" si="238"/>
        <v>0</v>
      </c>
      <c r="BN142" s="263"/>
      <c r="BO142" s="263"/>
      <c r="BP142" s="264">
        <f t="shared" si="239"/>
        <v>0</v>
      </c>
      <c r="BQ142" s="265">
        <f t="shared" si="240"/>
        <v>0</v>
      </c>
      <c r="BR142" s="266">
        <f t="shared" si="241"/>
        <v>0</v>
      </c>
      <c r="BS142" s="267">
        <f t="shared" si="242"/>
        <v>0</v>
      </c>
      <c r="BT142" s="263"/>
      <c r="BU142" s="263"/>
      <c r="BV142" s="264">
        <f t="shared" si="243"/>
        <v>0</v>
      </c>
      <c r="BW142" s="265">
        <f t="shared" si="244"/>
        <v>0</v>
      </c>
      <c r="BX142" s="263"/>
      <c r="BY142" s="263"/>
      <c r="BZ142" s="264">
        <f t="shared" si="245"/>
        <v>0</v>
      </c>
      <c r="CA142" s="265">
        <f t="shared" si="246"/>
        <v>0</v>
      </c>
      <c r="CB142" s="268">
        <f t="shared" si="247"/>
        <v>0</v>
      </c>
      <c r="CC142" s="267">
        <f t="shared" si="248"/>
        <v>0</v>
      </c>
      <c r="CD142" s="263"/>
      <c r="CE142" s="263"/>
      <c r="CF142" s="264">
        <f t="shared" si="249"/>
        <v>0</v>
      </c>
      <c r="CG142" s="265">
        <f t="shared" si="250"/>
        <v>0</v>
      </c>
      <c r="CH142" s="268">
        <f t="shared" si="251"/>
        <v>0</v>
      </c>
      <c r="CI142" s="267">
        <f t="shared" si="252"/>
        <v>0</v>
      </c>
      <c r="CJ142" s="263"/>
      <c r="CK142" s="269">
        <f t="shared" si="253"/>
        <v>0</v>
      </c>
      <c r="CL142" s="270">
        <f t="shared" si="254"/>
        <v>0</v>
      </c>
      <c r="CM142" s="268">
        <f t="shared" si="255"/>
        <v>0</v>
      </c>
      <c r="CN142" s="267">
        <f t="shared" si="256"/>
        <v>0</v>
      </c>
      <c r="CO142" s="65">
        <f t="shared" si="257"/>
        <v>0</v>
      </c>
      <c r="CP142" s="66">
        <f t="shared" si="258"/>
        <v>0</v>
      </c>
      <c r="CQ142" s="31">
        <f t="shared" si="198"/>
        <v>7.8571428571428568</v>
      </c>
      <c r="CR142" s="32">
        <f t="shared" si="199"/>
        <v>8</v>
      </c>
      <c r="CS142" s="33">
        <f t="shared" si="200"/>
        <v>0</v>
      </c>
      <c r="CT142" s="34">
        <f t="shared" si="201"/>
        <v>0</v>
      </c>
      <c r="CU142" s="67">
        <f t="shared" si="202"/>
        <v>3.9285714285714284</v>
      </c>
      <c r="CV142" s="35">
        <f t="shared" si="203"/>
        <v>8</v>
      </c>
      <c r="CW142" s="59">
        <f t="shared" si="204"/>
        <v>8</v>
      </c>
      <c r="CX142" s="43" t="str">
        <f t="shared" si="259"/>
        <v>مؤجل(ة)</v>
      </c>
      <c r="CY142" s="44"/>
      <c r="CZ142" s="50"/>
      <c r="DA142" s="46"/>
    </row>
    <row r="143" spans="2:105" ht="27.75" customHeight="1" thickBot="1">
      <c r="B143" s="1">
        <f t="shared" si="260"/>
        <v>5</v>
      </c>
      <c r="C143" s="324" t="s">
        <v>687</v>
      </c>
      <c r="D143" s="249" t="s">
        <v>688</v>
      </c>
      <c r="E143" s="47"/>
      <c r="F143" s="135"/>
      <c r="G143" s="136"/>
      <c r="H143" s="131"/>
      <c r="I143" s="132"/>
      <c r="J143" s="133"/>
      <c r="K143" s="134"/>
      <c r="L143" s="53">
        <f t="shared" si="205"/>
        <v>0</v>
      </c>
      <c r="M143" s="58">
        <f t="shared" si="206"/>
        <v>0</v>
      </c>
      <c r="N143" s="262">
        <v>3</v>
      </c>
      <c r="O143" s="263">
        <v>3</v>
      </c>
      <c r="P143" s="228">
        <f t="shared" si="207"/>
        <v>3</v>
      </c>
      <c r="Q143" s="229">
        <f t="shared" si="208"/>
        <v>0</v>
      </c>
      <c r="R143" s="262">
        <v>12</v>
      </c>
      <c r="S143" s="263">
        <v>2</v>
      </c>
      <c r="T143" s="228">
        <f t="shared" si="209"/>
        <v>7</v>
      </c>
      <c r="U143" s="229">
        <f t="shared" si="210"/>
        <v>0</v>
      </c>
      <c r="V143" s="262">
        <v>4</v>
      </c>
      <c r="W143" s="263">
        <v>0</v>
      </c>
      <c r="X143" s="228">
        <f t="shared" si="211"/>
        <v>2</v>
      </c>
      <c r="Y143" s="229">
        <f t="shared" si="212"/>
        <v>0</v>
      </c>
      <c r="Z143" s="232">
        <f t="shared" si="213"/>
        <v>4</v>
      </c>
      <c r="AA143" s="233">
        <f t="shared" si="214"/>
        <v>0</v>
      </c>
      <c r="AB143" s="263">
        <v>8</v>
      </c>
      <c r="AC143" s="234">
        <f t="shared" si="215"/>
        <v>8</v>
      </c>
      <c r="AD143" s="235">
        <f t="shared" si="216"/>
        <v>0</v>
      </c>
      <c r="AE143" s="262">
        <v>0.5</v>
      </c>
      <c r="AF143" s="263">
        <v>0.5</v>
      </c>
      <c r="AG143" s="228">
        <f t="shared" si="217"/>
        <v>0.5</v>
      </c>
      <c r="AH143" s="229">
        <f t="shared" si="218"/>
        <v>0</v>
      </c>
      <c r="AI143" s="262">
        <v>10</v>
      </c>
      <c r="AJ143" s="263">
        <v>0</v>
      </c>
      <c r="AK143" s="228">
        <f t="shared" si="219"/>
        <v>5</v>
      </c>
      <c r="AL143" s="229">
        <f t="shared" si="220"/>
        <v>0</v>
      </c>
      <c r="AM143" s="236">
        <f t="shared" si="221"/>
        <v>3.8</v>
      </c>
      <c r="AN143" s="237">
        <f t="shared" si="222"/>
        <v>0</v>
      </c>
      <c r="AO143" s="262"/>
      <c r="AP143" s="263">
        <v>1</v>
      </c>
      <c r="AQ143" s="228">
        <f t="shared" si="223"/>
        <v>0.5</v>
      </c>
      <c r="AR143" s="229">
        <f t="shared" si="224"/>
        <v>0</v>
      </c>
      <c r="AS143" s="263">
        <v>6</v>
      </c>
      <c r="AT143" s="234">
        <f t="shared" si="225"/>
        <v>6</v>
      </c>
      <c r="AU143" s="238">
        <f t="shared" si="226"/>
        <v>0</v>
      </c>
      <c r="AV143" s="236">
        <f t="shared" si="227"/>
        <v>3.25</v>
      </c>
      <c r="AW143" s="237">
        <f t="shared" si="228"/>
        <v>0</v>
      </c>
      <c r="AX143" s="263">
        <v>14</v>
      </c>
      <c r="AY143" s="263">
        <v>5</v>
      </c>
      <c r="AZ143" s="228">
        <f t="shared" si="229"/>
        <v>9.5</v>
      </c>
      <c r="BA143" s="229">
        <f t="shared" si="230"/>
        <v>0</v>
      </c>
      <c r="BB143" s="236">
        <f t="shared" si="231"/>
        <v>9.5</v>
      </c>
      <c r="BC143" s="237">
        <f t="shared" si="232"/>
        <v>0</v>
      </c>
      <c r="BD143" s="239">
        <f t="shared" si="233"/>
        <v>4.2142857142857144</v>
      </c>
      <c r="BE143" s="240">
        <f t="shared" si="234"/>
        <v>0</v>
      </c>
      <c r="BF143" s="263"/>
      <c r="BG143" s="263"/>
      <c r="BH143" s="264">
        <f t="shared" si="235"/>
        <v>0</v>
      </c>
      <c r="BI143" s="265">
        <f t="shared" si="236"/>
        <v>0</v>
      </c>
      <c r="BJ143" s="263"/>
      <c r="BK143" s="263"/>
      <c r="BL143" s="264">
        <f t="shared" si="237"/>
        <v>0</v>
      </c>
      <c r="BM143" s="265">
        <f t="shared" si="238"/>
        <v>0</v>
      </c>
      <c r="BN143" s="263"/>
      <c r="BO143" s="263"/>
      <c r="BP143" s="264">
        <f t="shared" si="239"/>
        <v>0</v>
      </c>
      <c r="BQ143" s="265">
        <f t="shared" si="240"/>
        <v>0</v>
      </c>
      <c r="BR143" s="266">
        <f t="shared" si="241"/>
        <v>0</v>
      </c>
      <c r="BS143" s="267">
        <f t="shared" si="242"/>
        <v>0</v>
      </c>
      <c r="BT143" s="263"/>
      <c r="BU143" s="263"/>
      <c r="BV143" s="264">
        <f t="shared" si="243"/>
        <v>0</v>
      </c>
      <c r="BW143" s="265">
        <f t="shared" si="244"/>
        <v>0</v>
      </c>
      <c r="BX143" s="263"/>
      <c r="BY143" s="263"/>
      <c r="BZ143" s="264">
        <f t="shared" si="245"/>
        <v>0</v>
      </c>
      <c r="CA143" s="265">
        <f t="shared" si="246"/>
        <v>0</v>
      </c>
      <c r="CB143" s="268">
        <f t="shared" si="247"/>
        <v>0</v>
      </c>
      <c r="CC143" s="267">
        <f t="shared" si="248"/>
        <v>0</v>
      </c>
      <c r="CD143" s="263"/>
      <c r="CE143" s="263"/>
      <c r="CF143" s="264">
        <f t="shared" si="249"/>
        <v>0</v>
      </c>
      <c r="CG143" s="265">
        <f t="shared" si="250"/>
        <v>0</v>
      </c>
      <c r="CH143" s="268">
        <f t="shared" si="251"/>
        <v>0</v>
      </c>
      <c r="CI143" s="267">
        <f t="shared" si="252"/>
        <v>0</v>
      </c>
      <c r="CJ143" s="263"/>
      <c r="CK143" s="269">
        <f t="shared" si="253"/>
        <v>0</v>
      </c>
      <c r="CL143" s="270">
        <f t="shared" si="254"/>
        <v>0</v>
      </c>
      <c r="CM143" s="268">
        <f t="shared" si="255"/>
        <v>0</v>
      </c>
      <c r="CN143" s="267">
        <f t="shared" si="256"/>
        <v>0</v>
      </c>
      <c r="CO143" s="65">
        <f t="shared" si="257"/>
        <v>0</v>
      </c>
      <c r="CP143" s="66">
        <f t="shared" si="258"/>
        <v>0</v>
      </c>
      <c r="CQ143" s="31">
        <f t="shared" si="198"/>
        <v>4.2142857142857144</v>
      </c>
      <c r="CR143" s="32">
        <f t="shared" si="199"/>
        <v>0</v>
      </c>
      <c r="CS143" s="33">
        <f t="shared" si="200"/>
        <v>0</v>
      </c>
      <c r="CT143" s="34">
        <f t="shared" si="201"/>
        <v>0</v>
      </c>
      <c r="CU143" s="67">
        <f t="shared" si="202"/>
        <v>2.1071428571428572</v>
      </c>
      <c r="CV143" s="35">
        <f t="shared" si="203"/>
        <v>0</v>
      </c>
      <c r="CW143" s="59">
        <f t="shared" si="204"/>
        <v>0</v>
      </c>
      <c r="CX143" s="43" t="str">
        <f t="shared" si="259"/>
        <v>مؤجل(ة)</v>
      </c>
      <c r="CY143" s="44"/>
      <c r="CZ143" s="50"/>
      <c r="DA143" s="46"/>
    </row>
    <row r="144" spans="2:105" ht="27.75" customHeight="1" thickBot="1">
      <c r="B144" s="1">
        <f t="shared" si="260"/>
        <v>6</v>
      </c>
      <c r="C144" s="323" t="s">
        <v>689</v>
      </c>
      <c r="D144" s="249" t="s">
        <v>690</v>
      </c>
      <c r="E144" s="47" t="s">
        <v>342</v>
      </c>
      <c r="F144" s="276">
        <v>34433</v>
      </c>
      <c r="G144" s="136" t="s">
        <v>110</v>
      </c>
      <c r="H144" s="131">
        <v>8.44</v>
      </c>
      <c r="I144" s="132">
        <v>23</v>
      </c>
      <c r="J144" s="133"/>
      <c r="K144" s="134">
        <v>14</v>
      </c>
      <c r="L144" s="53">
        <f t="shared" si="205"/>
        <v>4.22</v>
      </c>
      <c r="M144" s="58">
        <f t="shared" si="206"/>
        <v>37</v>
      </c>
      <c r="N144" s="262">
        <v>10</v>
      </c>
      <c r="O144" s="263">
        <v>10</v>
      </c>
      <c r="P144" s="228">
        <f t="shared" si="207"/>
        <v>10</v>
      </c>
      <c r="Q144" s="229">
        <f t="shared" si="208"/>
        <v>5</v>
      </c>
      <c r="R144" s="262">
        <v>12</v>
      </c>
      <c r="S144" s="263">
        <v>4.5</v>
      </c>
      <c r="T144" s="228">
        <f t="shared" si="209"/>
        <v>8.25</v>
      </c>
      <c r="U144" s="229">
        <f t="shared" si="210"/>
        <v>0</v>
      </c>
      <c r="V144" s="262">
        <v>11.5</v>
      </c>
      <c r="W144" s="263">
        <v>11.5</v>
      </c>
      <c r="X144" s="228">
        <f t="shared" si="211"/>
        <v>11.5</v>
      </c>
      <c r="Y144" s="229">
        <f t="shared" si="212"/>
        <v>6</v>
      </c>
      <c r="Z144" s="232">
        <f t="shared" si="213"/>
        <v>9.9166666666666661</v>
      </c>
      <c r="AA144" s="233">
        <f t="shared" si="214"/>
        <v>11</v>
      </c>
      <c r="AB144" s="263">
        <v>10.5</v>
      </c>
      <c r="AC144" s="234">
        <f t="shared" si="215"/>
        <v>10.5</v>
      </c>
      <c r="AD144" s="235">
        <f t="shared" si="216"/>
        <v>1</v>
      </c>
      <c r="AE144" s="262">
        <v>7</v>
      </c>
      <c r="AF144" s="263">
        <v>7</v>
      </c>
      <c r="AG144" s="228">
        <f t="shared" si="217"/>
        <v>7</v>
      </c>
      <c r="AH144" s="229">
        <f t="shared" si="218"/>
        <v>0</v>
      </c>
      <c r="AI144" s="262">
        <v>13</v>
      </c>
      <c r="AJ144" s="263">
        <v>10.5</v>
      </c>
      <c r="AK144" s="228">
        <f t="shared" si="219"/>
        <v>11.75</v>
      </c>
      <c r="AL144" s="229">
        <f t="shared" si="220"/>
        <v>3</v>
      </c>
      <c r="AM144" s="236">
        <f t="shared" si="221"/>
        <v>9.6</v>
      </c>
      <c r="AN144" s="237">
        <f t="shared" si="222"/>
        <v>4</v>
      </c>
      <c r="AO144" s="262">
        <v>10.5</v>
      </c>
      <c r="AP144" s="263">
        <v>5</v>
      </c>
      <c r="AQ144" s="228">
        <f t="shared" si="223"/>
        <v>7.75</v>
      </c>
      <c r="AR144" s="229">
        <f t="shared" si="224"/>
        <v>0</v>
      </c>
      <c r="AS144" s="263">
        <v>8.5</v>
      </c>
      <c r="AT144" s="234">
        <f t="shared" si="225"/>
        <v>8.5</v>
      </c>
      <c r="AU144" s="238">
        <f t="shared" si="226"/>
        <v>0</v>
      </c>
      <c r="AV144" s="236">
        <f t="shared" si="227"/>
        <v>8.125</v>
      </c>
      <c r="AW144" s="237">
        <f t="shared" si="228"/>
        <v>0</v>
      </c>
      <c r="AX144" s="263">
        <v>13</v>
      </c>
      <c r="AY144" s="263">
        <v>6</v>
      </c>
      <c r="AZ144" s="228">
        <f t="shared" si="229"/>
        <v>9.5</v>
      </c>
      <c r="BA144" s="229">
        <f t="shared" si="230"/>
        <v>0</v>
      </c>
      <c r="BB144" s="236">
        <f t="shared" si="231"/>
        <v>9.5</v>
      </c>
      <c r="BC144" s="237">
        <f t="shared" si="232"/>
        <v>0</v>
      </c>
      <c r="BD144" s="239">
        <f t="shared" si="233"/>
        <v>9.5178571428571423</v>
      </c>
      <c r="BE144" s="240">
        <f t="shared" si="234"/>
        <v>15</v>
      </c>
      <c r="BF144" s="263"/>
      <c r="BG144" s="263"/>
      <c r="BH144" s="264">
        <f t="shared" si="235"/>
        <v>0</v>
      </c>
      <c r="BI144" s="265">
        <f t="shared" si="236"/>
        <v>0</v>
      </c>
      <c r="BJ144" s="263"/>
      <c r="BK144" s="263"/>
      <c r="BL144" s="264">
        <f t="shared" si="237"/>
        <v>0</v>
      </c>
      <c r="BM144" s="265">
        <f t="shared" si="238"/>
        <v>0</v>
      </c>
      <c r="BN144" s="263"/>
      <c r="BO144" s="263"/>
      <c r="BP144" s="264">
        <f t="shared" si="239"/>
        <v>0</v>
      </c>
      <c r="BQ144" s="265">
        <f t="shared" si="240"/>
        <v>0</v>
      </c>
      <c r="BR144" s="266">
        <f t="shared" si="241"/>
        <v>0</v>
      </c>
      <c r="BS144" s="267">
        <f t="shared" si="242"/>
        <v>0</v>
      </c>
      <c r="BT144" s="263"/>
      <c r="BU144" s="263"/>
      <c r="BV144" s="264">
        <f t="shared" si="243"/>
        <v>0</v>
      </c>
      <c r="BW144" s="265">
        <f t="shared" si="244"/>
        <v>0</v>
      </c>
      <c r="BX144" s="263"/>
      <c r="BY144" s="263"/>
      <c r="BZ144" s="264">
        <f t="shared" si="245"/>
        <v>0</v>
      </c>
      <c r="CA144" s="265">
        <f t="shared" si="246"/>
        <v>0</v>
      </c>
      <c r="CB144" s="268">
        <f t="shared" si="247"/>
        <v>0</v>
      </c>
      <c r="CC144" s="267">
        <f t="shared" si="248"/>
        <v>0</v>
      </c>
      <c r="CD144" s="263"/>
      <c r="CE144" s="263"/>
      <c r="CF144" s="264">
        <f t="shared" si="249"/>
        <v>0</v>
      </c>
      <c r="CG144" s="265">
        <f t="shared" si="250"/>
        <v>0</v>
      </c>
      <c r="CH144" s="268">
        <f t="shared" si="251"/>
        <v>0</v>
      </c>
      <c r="CI144" s="267">
        <f t="shared" si="252"/>
        <v>0</v>
      </c>
      <c r="CJ144" s="263"/>
      <c r="CK144" s="269">
        <f t="shared" si="253"/>
        <v>0</v>
      </c>
      <c r="CL144" s="270">
        <f t="shared" si="254"/>
        <v>0</v>
      </c>
      <c r="CM144" s="268">
        <f t="shared" si="255"/>
        <v>0</v>
      </c>
      <c r="CN144" s="267">
        <f t="shared" si="256"/>
        <v>0</v>
      </c>
      <c r="CO144" s="65">
        <f t="shared" si="257"/>
        <v>0</v>
      </c>
      <c r="CP144" s="66">
        <f t="shared" si="258"/>
        <v>0</v>
      </c>
      <c r="CQ144" s="31">
        <f t="shared" si="198"/>
        <v>9.5178571428571423</v>
      </c>
      <c r="CR144" s="32">
        <f t="shared" si="199"/>
        <v>15</v>
      </c>
      <c r="CS144" s="33">
        <f t="shared" si="200"/>
        <v>0</v>
      </c>
      <c r="CT144" s="34">
        <f t="shared" si="201"/>
        <v>0</v>
      </c>
      <c r="CU144" s="67">
        <f t="shared" si="202"/>
        <v>4.7589285714285712</v>
      </c>
      <c r="CV144" s="35">
        <f t="shared" si="203"/>
        <v>15</v>
      </c>
      <c r="CW144" s="59">
        <f t="shared" si="204"/>
        <v>52</v>
      </c>
      <c r="CX144" s="43" t="str">
        <f t="shared" si="259"/>
        <v>مؤجل(ة)</v>
      </c>
      <c r="CY144" s="44"/>
      <c r="CZ144" s="50"/>
      <c r="DA144" s="46"/>
    </row>
    <row r="145" spans="2:105" ht="27.75" customHeight="1" thickBot="1">
      <c r="B145" s="1">
        <f t="shared" si="260"/>
        <v>7</v>
      </c>
      <c r="C145" s="324" t="s">
        <v>691</v>
      </c>
      <c r="D145" s="249" t="s">
        <v>692</v>
      </c>
      <c r="E145" s="47"/>
      <c r="F145" s="276"/>
      <c r="G145" s="136"/>
      <c r="H145" s="131"/>
      <c r="I145" s="132"/>
      <c r="J145" s="133"/>
      <c r="K145" s="134"/>
      <c r="L145" s="53">
        <f t="shared" si="205"/>
        <v>0</v>
      </c>
      <c r="M145" s="58">
        <f t="shared" si="206"/>
        <v>0</v>
      </c>
      <c r="N145" s="262">
        <v>2</v>
      </c>
      <c r="O145" s="263">
        <v>3</v>
      </c>
      <c r="P145" s="228">
        <f t="shared" si="207"/>
        <v>2.5</v>
      </c>
      <c r="Q145" s="229">
        <f t="shared" si="208"/>
        <v>0</v>
      </c>
      <c r="R145" s="262">
        <v>13.5</v>
      </c>
      <c r="S145" s="263">
        <v>4</v>
      </c>
      <c r="T145" s="228">
        <f t="shared" si="209"/>
        <v>8.75</v>
      </c>
      <c r="U145" s="229">
        <f t="shared" si="210"/>
        <v>0</v>
      </c>
      <c r="V145" s="262">
        <v>7.5</v>
      </c>
      <c r="W145" s="263">
        <v>3.25</v>
      </c>
      <c r="X145" s="228">
        <f t="shared" si="211"/>
        <v>5.375</v>
      </c>
      <c r="Y145" s="229">
        <f t="shared" si="212"/>
        <v>0</v>
      </c>
      <c r="Z145" s="232">
        <f t="shared" si="213"/>
        <v>5.541666666666667</v>
      </c>
      <c r="AA145" s="233">
        <f t="shared" si="214"/>
        <v>0</v>
      </c>
      <c r="AB145" s="263">
        <v>12.5</v>
      </c>
      <c r="AC145" s="234">
        <f t="shared" si="215"/>
        <v>12.5</v>
      </c>
      <c r="AD145" s="235">
        <f t="shared" si="216"/>
        <v>1</v>
      </c>
      <c r="AE145" s="262">
        <v>0</v>
      </c>
      <c r="AF145" s="263">
        <v>0</v>
      </c>
      <c r="AG145" s="228">
        <f t="shared" si="217"/>
        <v>0</v>
      </c>
      <c r="AH145" s="229">
        <f t="shared" si="218"/>
        <v>0</v>
      </c>
      <c r="AI145" s="262">
        <v>11.5</v>
      </c>
      <c r="AJ145" s="263">
        <v>8.5</v>
      </c>
      <c r="AK145" s="228">
        <f t="shared" si="219"/>
        <v>10</v>
      </c>
      <c r="AL145" s="229">
        <f t="shared" si="220"/>
        <v>3</v>
      </c>
      <c r="AM145" s="236">
        <f t="shared" si="221"/>
        <v>6.5</v>
      </c>
      <c r="AN145" s="237">
        <f t="shared" si="222"/>
        <v>4</v>
      </c>
      <c r="AO145" s="262">
        <v>10.5</v>
      </c>
      <c r="AP145" s="263">
        <v>1</v>
      </c>
      <c r="AQ145" s="228">
        <f t="shared" si="223"/>
        <v>5.75</v>
      </c>
      <c r="AR145" s="229">
        <f t="shared" si="224"/>
        <v>0</v>
      </c>
      <c r="AS145" s="263">
        <v>4</v>
      </c>
      <c r="AT145" s="234">
        <f t="shared" si="225"/>
        <v>4</v>
      </c>
      <c r="AU145" s="238">
        <f t="shared" si="226"/>
        <v>0</v>
      </c>
      <c r="AV145" s="236">
        <f t="shared" si="227"/>
        <v>4.875</v>
      </c>
      <c r="AW145" s="237">
        <f t="shared" si="228"/>
        <v>0</v>
      </c>
      <c r="AX145" s="263">
        <v>13.5</v>
      </c>
      <c r="AY145" s="263">
        <v>8.5</v>
      </c>
      <c r="AZ145" s="228">
        <f t="shared" si="229"/>
        <v>11</v>
      </c>
      <c r="BA145" s="229">
        <f t="shared" si="230"/>
        <v>1</v>
      </c>
      <c r="BB145" s="236">
        <f t="shared" si="231"/>
        <v>11</v>
      </c>
      <c r="BC145" s="237">
        <f t="shared" si="232"/>
        <v>1</v>
      </c>
      <c r="BD145" s="239">
        <f t="shared" si="233"/>
        <v>6.1785714285714288</v>
      </c>
      <c r="BE145" s="240">
        <f t="shared" si="234"/>
        <v>5</v>
      </c>
      <c r="BF145" s="263"/>
      <c r="BG145" s="263"/>
      <c r="BH145" s="264">
        <f t="shared" si="235"/>
        <v>0</v>
      </c>
      <c r="BI145" s="265">
        <f t="shared" si="236"/>
        <v>0</v>
      </c>
      <c r="BJ145" s="263"/>
      <c r="BK145" s="263"/>
      <c r="BL145" s="264">
        <f t="shared" si="237"/>
        <v>0</v>
      </c>
      <c r="BM145" s="265">
        <f t="shared" si="238"/>
        <v>0</v>
      </c>
      <c r="BN145" s="263"/>
      <c r="BO145" s="263"/>
      <c r="BP145" s="264">
        <f t="shared" si="239"/>
        <v>0</v>
      </c>
      <c r="BQ145" s="265">
        <f t="shared" si="240"/>
        <v>0</v>
      </c>
      <c r="BR145" s="266">
        <f t="shared" si="241"/>
        <v>0</v>
      </c>
      <c r="BS145" s="267">
        <f t="shared" si="242"/>
        <v>0</v>
      </c>
      <c r="BT145" s="263"/>
      <c r="BU145" s="263"/>
      <c r="BV145" s="264">
        <f t="shared" si="243"/>
        <v>0</v>
      </c>
      <c r="BW145" s="265">
        <f t="shared" si="244"/>
        <v>0</v>
      </c>
      <c r="BX145" s="263"/>
      <c r="BY145" s="263"/>
      <c r="BZ145" s="264">
        <f t="shared" si="245"/>
        <v>0</v>
      </c>
      <c r="CA145" s="265">
        <f t="shared" si="246"/>
        <v>0</v>
      </c>
      <c r="CB145" s="268">
        <f t="shared" si="247"/>
        <v>0</v>
      </c>
      <c r="CC145" s="267">
        <f t="shared" si="248"/>
        <v>0</v>
      </c>
      <c r="CD145" s="263"/>
      <c r="CE145" s="263"/>
      <c r="CF145" s="264">
        <f t="shared" si="249"/>
        <v>0</v>
      </c>
      <c r="CG145" s="265">
        <f t="shared" si="250"/>
        <v>0</v>
      </c>
      <c r="CH145" s="268">
        <f t="shared" si="251"/>
        <v>0</v>
      </c>
      <c r="CI145" s="267">
        <f t="shared" si="252"/>
        <v>0</v>
      </c>
      <c r="CJ145" s="263"/>
      <c r="CK145" s="269">
        <f t="shared" si="253"/>
        <v>0</v>
      </c>
      <c r="CL145" s="270">
        <f t="shared" si="254"/>
        <v>0</v>
      </c>
      <c r="CM145" s="268">
        <f t="shared" si="255"/>
        <v>0</v>
      </c>
      <c r="CN145" s="267">
        <f t="shared" si="256"/>
        <v>0</v>
      </c>
      <c r="CO145" s="65">
        <f t="shared" si="257"/>
        <v>0</v>
      </c>
      <c r="CP145" s="66">
        <f t="shared" si="258"/>
        <v>0</v>
      </c>
      <c r="CQ145" s="31">
        <f t="shared" si="198"/>
        <v>6.1785714285714288</v>
      </c>
      <c r="CR145" s="32">
        <f t="shared" si="199"/>
        <v>5</v>
      </c>
      <c r="CS145" s="33">
        <f t="shared" si="200"/>
        <v>0</v>
      </c>
      <c r="CT145" s="34">
        <f t="shared" si="201"/>
        <v>0</v>
      </c>
      <c r="CU145" s="67">
        <f t="shared" si="202"/>
        <v>3.0892857142857144</v>
      </c>
      <c r="CV145" s="35">
        <f t="shared" si="203"/>
        <v>5</v>
      </c>
      <c r="CW145" s="59">
        <f t="shared" si="204"/>
        <v>5</v>
      </c>
      <c r="CX145" s="43" t="str">
        <f t="shared" si="259"/>
        <v>مؤجل(ة)</v>
      </c>
      <c r="CY145" s="44"/>
      <c r="CZ145" s="50"/>
      <c r="DA145" s="46"/>
    </row>
    <row r="146" spans="2:105" ht="27.75" customHeight="1" thickBot="1">
      <c r="B146" s="1">
        <f t="shared" si="260"/>
        <v>8</v>
      </c>
      <c r="C146" s="323" t="s">
        <v>693</v>
      </c>
      <c r="D146" s="249" t="s">
        <v>694</v>
      </c>
      <c r="E146" s="47"/>
      <c r="F146" s="135"/>
      <c r="G146" s="136"/>
      <c r="H146" s="131"/>
      <c r="I146" s="132"/>
      <c r="J146" s="133"/>
      <c r="K146" s="134"/>
      <c r="L146" s="53">
        <f t="shared" si="205"/>
        <v>0</v>
      </c>
      <c r="M146" s="58">
        <f t="shared" si="206"/>
        <v>0</v>
      </c>
      <c r="N146" s="262">
        <v>5.5</v>
      </c>
      <c r="O146" s="263">
        <v>4.5</v>
      </c>
      <c r="P146" s="228">
        <f t="shared" si="207"/>
        <v>5</v>
      </c>
      <c r="Q146" s="229">
        <f t="shared" si="208"/>
        <v>0</v>
      </c>
      <c r="R146" s="262">
        <v>14</v>
      </c>
      <c r="S146" s="263">
        <v>7.25</v>
      </c>
      <c r="T146" s="228">
        <f t="shared" si="209"/>
        <v>10.625</v>
      </c>
      <c r="U146" s="229">
        <f t="shared" si="210"/>
        <v>6</v>
      </c>
      <c r="V146" s="262">
        <v>8.5</v>
      </c>
      <c r="W146" s="263">
        <v>3.5</v>
      </c>
      <c r="X146" s="228">
        <f t="shared" si="211"/>
        <v>6</v>
      </c>
      <c r="Y146" s="229">
        <f t="shared" si="212"/>
        <v>0</v>
      </c>
      <c r="Z146" s="232">
        <f t="shared" si="213"/>
        <v>7.208333333333333</v>
      </c>
      <c r="AA146" s="233">
        <f t="shared" si="214"/>
        <v>6</v>
      </c>
      <c r="AB146" s="263">
        <v>14</v>
      </c>
      <c r="AC146" s="234">
        <f t="shared" si="215"/>
        <v>14</v>
      </c>
      <c r="AD146" s="235">
        <f t="shared" si="216"/>
        <v>1</v>
      </c>
      <c r="AE146" s="262">
        <v>11.5</v>
      </c>
      <c r="AF146" s="263">
        <v>11.5</v>
      </c>
      <c r="AG146" s="228">
        <f t="shared" si="217"/>
        <v>11.5</v>
      </c>
      <c r="AH146" s="229">
        <f t="shared" si="218"/>
        <v>3</v>
      </c>
      <c r="AI146" s="262">
        <v>12</v>
      </c>
      <c r="AJ146" s="263">
        <v>7.25</v>
      </c>
      <c r="AK146" s="228">
        <f t="shared" si="219"/>
        <v>9.625</v>
      </c>
      <c r="AL146" s="229">
        <f t="shared" si="220"/>
        <v>0</v>
      </c>
      <c r="AM146" s="236">
        <f t="shared" si="221"/>
        <v>11.25</v>
      </c>
      <c r="AN146" s="237">
        <f t="shared" si="222"/>
        <v>7</v>
      </c>
      <c r="AO146" s="262">
        <v>10.5</v>
      </c>
      <c r="AP146" s="263">
        <v>3</v>
      </c>
      <c r="AQ146" s="228">
        <f t="shared" si="223"/>
        <v>6.75</v>
      </c>
      <c r="AR146" s="229">
        <f t="shared" si="224"/>
        <v>0</v>
      </c>
      <c r="AS146" s="263">
        <v>12.5</v>
      </c>
      <c r="AT146" s="234">
        <f t="shared" si="225"/>
        <v>12.5</v>
      </c>
      <c r="AU146" s="238">
        <f t="shared" si="226"/>
        <v>1</v>
      </c>
      <c r="AV146" s="236">
        <f t="shared" si="227"/>
        <v>9.625</v>
      </c>
      <c r="AW146" s="237">
        <f t="shared" si="228"/>
        <v>1</v>
      </c>
      <c r="AX146" s="263">
        <v>12</v>
      </c>
      <c r="AY146" s="263">
        <v>6.5</v>
      </c>
      <c r="AZ146" s="228">
        <f t="shared" si="229"/>
        <v>9.25</v>
      </c>
      <c r="BA146" s="229">
        <f t="shared" si="230"/>
        <v>0</v>
      </c>
      <c r="BB146" s="236">
        <f t="shared" si="231"/>
        <v>9.25</v>
      </c>
      <c r="BC146" s="237">
        <f t="shared" si="232"/>
        <v>0</v>
      </c>
      <c r="BD146" s="239">
        <f t="shared" si="233"/>
        <v>9.1428571428571423</v>
      </c>
      <c r="BE146" s="240">
        <f t="shared" si="234"/>
        <v>14</v>
      </c>
      <c r="BF146" s="263"/>
      <c r="BG146" s="263"/>
      <c r="BH146" s="264">
        <f t="shared" si="235"/>
        <v>0</v>
      </c>
      <c r="BI146" s="265">
        <f t="shared" si="236"/>
        <v>0</v>
      </c>
      <c r="BJ146" s="263"/>
      <c r="BK146" s="263"/>
      <c r="BL146" s="264">
        <f t="shared" si="237"/>
        <v>0</v>
      </c>
      <c r="BM146" s="265">
        <f t="shared" si="238"/>
        <v>0</v>
      </c>
      <c r="BN146" s="263"/>
      <c r="BO146" s="263"/>
      <c r="BP146" s="264">
        <f t="shared" si="239"/>
        <v>0</v>
      </c>
      <c r="BQ146" s="265">
        <f t="shared" si="240"/>
        <v>0</v>
      </c>
      <c r="BR146" s="266">
        <f t="shared" si="241"/>
        <v>0</v>
      </c>
      <c r="BS146" s="267">
        <f t="shared" si="242"/>
        <v>0</v>
      </c>
      <c r="BT146" s="263"/>
      <c r="BU146" s="263"/>
      <c r="BV146" s="264">
        <f t="shared" si="243"/>
        <v>0</v>
      </c>
      <c r="BW146" s="265">
        <f t="shared" si="244"/>
        <v>0</v>
      </c>
      <c r="BX146" s="263"/>
      <c r="BY146" s="263"/>
      <c r="BZ146" s="264">
        <f t="shared" si="245"/>
        <v>0</v>
      </c>
      <c r="CA146" s="265">
        <f t="shared" si="246"/>
        <v>0</v>
      </c>
      <c r="CB146" s="268">
        <f t="shared" si="247"/>
        <v>0</v>
      </c>
      <c r="CC146" s="267">
        <f t="shared" si="248"/>
        <v>0</v>
      </c>
      <c r="CD146" s="263"/>
      <c r="CE146" s="263"/>
      <c r="CF146" s="264">
        <f t="shared" si="249"/>
        <v>0</v>
      </c>
      <c r="CG146" s="265">
        <f t="shared" si="250"/>
        <v>0</v>
      </c>
      <c r="CH146" s="268">
        <f t="shared" si="251"/>
        <v>0</v>
      </c>
      <c r="CI146" s="267">
        <f t="shared" si="252"/>
        <v>0</v>
      </c>
      <c r="CJ146" s="263"/>
      <c r="CK146" s="269">
        <f t="shared" si="253"/>
        <v>0</v>
      </c>
      <c r="CL146" s="270">
        <f t="shared" si="254"/>
        <v>0</v>
      </c>
      <c r="CM146" s="268">
        <f t="shared" si="255"/>
        <v>0</v>
      </c>
      <c r="CN146" s="267">
        <f t="shared" si="256"/>
        <v>0</v>
      </c>
      <c r="CO146" s="65">
        <f t="shared" si="257"/>
        <v>0</v>
      </c>
      <c r="CP146" s="66">
        <f t="shared" si="258"/>
        <v>0</v>
      </c>
      <c r="CQ146" s="31">
        <f t="shared" si="198"/>
        <v>9.1428571428571423</v>
      </c>
      <c r="CR146" s="32">
        <f t="shared" si="199"/>
        <v>14</v>
      </c>
      <c r="CS146" s="33">
        <f t="shared" si="200"/>
        <v>0</v>
      </c>
      <c r="CT146" s="34">
        <f t="shared" si="201"/>
        <v>0</v>
      </c>
      <c r="CU146" s="67">
        <f t="shared" si="202"/>
        <v>4.5714285714285712</v>
      </c>
      <c r="CV146" s="35">
        <f t="shared" si="203"/>
        <v>14</v>
      </c>
      <c r="CW146" s="59">
        <f t="shared" si="204"/>
        <v>14</v>
      </c>
      <c r="CX146" s="43" t="str">
        <f t="shared" si="259"/>
        <v>مؤجل(ة)</v>
      </c>
      <c r="CY146" s="44"/>
      <c r="CZ146" s="50"/>
      <c r="DA146" s="46"/>
    </row>
    <row r="147" spans="2:105" ht="27.75" customHeight="1" thickBot="1">
      <c r="B147" s="1">
        <f t="shared" si="260"/>
        <v>9</v>
      </c>
      <c r="C147" s="323" t="s">
        <v>695</v>
      </c>
      <c r="D147" s="249" t="s">
        <v>696</v>
      </c>
      <c r="E147" s="47"/>
      <c r="F147" s="135"/>
      <c r="G147" s="136"/>
      <c r="H147" s="131"/>
      <c r="I147" s="132"/>
      <c r="J147" s="133"/>
      <c r="K147" s="134"/>
      <c r="L147" s="53">
        <f t="shared" si="205"/>
        <v>0</v>
      </c>
      <c r="M147" s="58">
        <f t="shared" si="206"/>
        <v>0</v>
      </c>
      <c r="N147" s="262">
        <v>8</v>
      </c>
      <c r="O147" s="263">
        <v>3</v>
      </c>
      <c r="P147" s="228">
        <f t="shared" si="207"/>
        <v>5.5</v>
      </c>
      <c r="Q147" s="229">
        <f t="shared" si="208"/>
        <v>0</v>
      </c>
      <c r="R147" s="262">
        <v>12</v>
      </c>
      <c r="S147" s="263">
        <v>8</v>
      </c>
      <c r="T147" s="228">
        <f t="shared" si="209"/>
        <v>10</v>
      </c>
      <c r="U147" s="229">
        <f t="shared" si="210"/>
        <v>6</v>
      </c>
      <c r="V147" s="262">
        <v>8</v>
      </c>
      <c r="W147" s="263">
        <v>6</v>
      </c>
      <c r="X147" s="228">
        <f t="shared" si="211"/>
        <v>7</v>
      </c>
      <c r="Y147" s="229">
        <f t="shared" si="212"/>
        <v>0</v>
      </c>
      <c r="Z147" s="232">
        <f t="shared" si="213"/>
        <v>7.5</v>
      </c>
      <c r="AA147" s="233">
        <f t="shared" si="214"/>
        <v>6</v>
      </c>
      <c r="AB147" s="263">
        <v>11</v>
      </c>
      <c r="AC147" s="234">
        <f t="shared" si="215"/>
        <v>11</v>
      </c>
      <c r="AD147" s="235">
        <f t="shared" si="216"/>
        <v>1</v>
      </c>
      <c r="AE147" s="262">
        <v>6.75</v>
      </c>
      <c r="AF147" s="263">
        <v>6.75</v>
      </c>
      <c r="AG147" s="228">
        <f t="shared" si="217"/>
        <v>6.75</v>
      </c>
      <c r="AH147" s="229">
        <f t="shared" si="218"/>
        <v>0</v>
      </c>
      <c r="AI147" s="262">
        <v>12</v>
      </c>
      <c r="AJ147" s="263">
        <v>8</v>
      </c>
      <c r="AK147" s="228">
        <f t="shared" si="219"/>
        <v>10</v>
      </c>
      <c r="AL147" s="229">
        <f t="shared" si="220"/>
        <v>3</v>
      </c>
      <c r="AM147" s="236">
        <f t="shared" si="221"/>
        <v>8.9</v>
      </c>
      <c r="AN147" s="237">
        <f t="shared" si="222"/>
        <v>4</v>
      </c>
      <c r="AO147" s="262">
        <v>10.5</v>
      </c>
      <c r="AP147" s="263">
        <v>2</v>
      </c>
      <c r="AQ147" s="228">
        <f t="shared" si="223"/>
        <v>6.25</v>
      </c>
      <c r="AR147" s="229">
        <f t="shared" si="224"/>
        <v>0</v>
      </c>
      <c r="AS147" s="263">
        <v>7.5</v>
      </c>
      <c r="AT147" s="234">
        <f t="shared" si="225"/>
        <v>7.5</v>
      </c>
      <c r="AU147" s="238">
        <f t="shared" si="226"/>
        <v>0</v>
      </c>
      <c r="AV147" s="236">
        <f t="shared" si="227"/>
        <v>6.875</v>
      </c>
      <c r="AW147" s="237">
        <f t="shared" si="228"/>
        <v>0</v>
      </c>
      <c r="AX147" s="263">
        <v>16</v>
      </c>
      <c r="AY147" s="263">
        <v>5.5</v>
      </c>
      <c r="AZ147" s="228">
        <f t="shared" si="229"/>
        <v>10.75</v>
      </c>
      <c r="BA147" s="229">
        <f t="shared" si="230"/>
        <v>1</v>
      </c>
      <c r="BB147" s="236">
        <f t="shared" si="231"/>
        <v>10.75</v>
      </c>
      <c r="BC147" s="237">
        <f t="shared" si="232"/>
        <v>1</v>
      </c>
      <c r="BD147" s="239">
        <f t="shared" si="233"/>
        <v>8.1428571428571423</v>
      </c>
      <c r="BE147" s="240">
        <f t="shared" si="234"/>
        <v>11</v>
      </c>
      <c r="BF147" s="263"/>
      <c r="BG147" s="263"/>
      <c r="BH147" s="264">
        <f t="shared" si="235"/>
        <v>0</v>
      </c>
      <c r="BI147" s="265">
        <f t="shared" si="236"/>
        <v>0</v>
      </c>
      <c r="BJ147" s="263"/>
      <c r="BK147" s="263"/>
      <c r="BL147" s="264">
        <f t="shared" si="237"/>
        <v>0</v>
      </c>
      <c r="BM147" s="265">
        <f t="shared" si="238"/>
        <v>0</v>
      </c>
      <c r="BN147" s="263"/>
      <c r="BO147" s="263"/>
      <c r="BP147" s="264">
        <f t="shared" si="239"/>
        <v>0</v>
      </c>
      <c r="BQ147" s="265">
        <f t="shared" si="240"/>
        <v>0</v>
      </c>
      <c r="BR147" s="266">
        <f t="shared" si="241"/>
        <v>0</v>
      </c>
      <c r="BS147" s="267">
        <f t="shared" si="242"/>
        <v>0</v>
      </c>
      <c r="BT147" s="263"/>
      <c r="BU147" s="263"/>
      <c r="BV147" s="264">
        <f t="shared" si="243"/>
        <v>0</v>
      </c>
      <c r="BW147" s="265">
        <f t="shared" si="244"/>
        <v>0</v>
      </c>
      <c r="BX147" s="263"/>
      <c r="BY147" s="263"/>
      <c r="BZ147" s="264">
        <f t="shared" si="245"/>
        <v>0</v>
      </c>
      <c r="CA147" s="265">
        <f t="shared" si="246"/>
        <v>0</v>
      </c>
      <c r="CB147" s="268">
        <f t="shared" si="247"/>
        <v>0</v>
      </c>
      <c r="CC147" s="267">
        <f t="shared" si="248"/>
        <v>0</v>
      </c>
      <c r="CD147" s="263"/>
      <c r="CE147" s="263"/>
      <c r="CF147" s="264">
        <f t="shared" si="249"/>
        <v>0</v>
      </c>
      <c r="CG147" s="265">
        <f t="shared" si="250"/>
        <v>0</v>
      </c>
      <c r="CH147" s="268">
        <f t="shared" si="251"/>
        <v>0</v>
      </c>
      <c r="CI147" s="267">
        <f t="shared" si="252"/>
        <v>0</v>
      </c>
      <c r="CJ147" s="263"/>
      <c r="CK147" s="269">
        <f t="shared" si="253"/>
        <v>0</v>
      </c>
      <c r="CL147" s="270">
        <f t="shared" si="254"/>
        <v>0</v>
      </c>
      <c r="CM147" s="268">
        <f t="shared" si="255"/>
        <v>0</v>
      </c>
      <c r="CN147" s="267">
        <f t="shared" si="256"/>
        <v>0</v>
      </c>
      <c r="CO147" s="65">
        <f t="shared" si="257"/>
        <v>0</v>
      </c>
      <c r="CP147" s="66">
        <f t="shared" si="258"/>
        <v>0</v>
      </c>
      <c r="CQ147" s="31">
        <f t="shared" si="198"/>
        <v>8.1428571428571423</v>
      </c>
      <c r="CR147" s="32">
        <f t="shared" si="199"/>
        <v>11</v>
      </c>
      <c r="CS147" s="33">
        <f t="shared" si="200"/>
        <v>0</v>
      </c>
      <c r="CT147" s="34">
        <f t="shared" si="201"/>
        <v>0</v>
      </c>
      <c r="CU147" s="67">
        <f t="shared" si="202"/>
        <v>4.0714285714285712</v>
      </c>
      <c r="CV147" s="35">
        <f t="shared" si="203"/>
        <v>11</v>
      </c>
      <c r="CW147" s="59">
        <f t="shared" si="204"/>
        <v>11</v>
      </c>
      <c r="CX147" s="43" t="str">
        <f t="shared" si="259"/>
        <v>مؤجل(ة)</v>
      </c>
      <c r="CY147" s="44"/>
      <c r="CZ147" s="50"/>
      <c r="DA147" s="46"/>
    </row>
    <row r="148" spans="2:105" ht="27.75" customHeight="1" thickBot="1">
      <c r="B148" s="1">
        <f t="shared" si="260"/>
        <v>10</v>
      </c>
      <c r="C148" s="324" t="s">
        <v>697</v>
      </c>
      <c r="D148" s="249" t="s">
        <v>674</v>
      </c>
      <c r="E148" s="47"/>
      <c r="F148" s="135"/>
      <c r="G148" s="136"/>
      <c r="H148" s="131"/>
      <c r="I148" s="132"/>
      <c r="J148" s="133"/>
      <c r="K148" s="134"/>
      <c r="L148" s="53">
        <f t="shared" si="205"/>
        <v>0</v>
      </c>
      <c r="M148" s="58">
        <f t="shared" si="206"/>
        <v>0</v>
      </c>
      <c r="N148" s="262">
        <v>15.5</v>
      </c>
      <c r="O148" s="263">
        <v>6.25</v>
      </c>
      <c r="P148" s="228">
        <f t="shared" si="207"/>
        <v>10.875</v>
      </c>
      <c r="Q148" s="229">
        <f t="shared" si="208"/>
        <v>5</v>
      </c>
      <c r="R148" s="262">
        <v>11</v>
      </c>
      <c r="S148" s="263">
        <v>8.5</v>
      </c>
      <c r="T148" s="228">
        <f t="shared" si="209"/>
        <v>9.75</v>
      </c>
      <c r="U148" s="229">
        <f t="shared" si="210"/>
        <v>0</v>
      </c>
      <c r="V148" s="262">
        <v>5.5</v>
      </c>
      <c r="W148" s="263">
        <v>1</v>
      </c>
      <c r="X148" s="228">
        <f t="shared" si="211"/>
        <v>3.25</v>
      </c>
      <c r="Y148" s="229">
        <f t="shared" si="212"/>
        <v>0</v>
      </c>
      <c r="Z148" s="232">
        <f t="shared" si="213"/>
        <v>7.958333333333333</v>
      </c>
      <c r="AA148" s="233">
        <f t="shared" si="214"/>
        <v>5</v>
      </c>
      <c r="AB148" s="263">
        <v>5</v>
      </c>
      <c r="AC148" s="234">
        <f t="shared" si="215"/>
        <v>5</v>
      </c>
      <c r="AD148" s="235">
        <f t="shared" si="216"/>
        <v>0</v>
      </c>
      <c r="AE148" s="262">
        <v>4</v>
      </c>
      <c r="AF148" s="263">
        <v>4</v>
      </c>
      <c r="AG148" s="228">
        <f t="shared" si="217"/>
        <v>4</v>
      </c>
      <c r="AH148" s="229">
        <f t="shared" si="218"/>
        <v>0</v>
      </c>
      <c r="AI148" s="262">
        <v>9</v>
      </c>
      <c r="AJ148" s="263">
        <v>3</v>
      </c>
      <c r="AK148" s="228">
        <f t="shared" si="219"/>
        <v>6</v>
      </c>
      <c r="AL148" s="229">
        <f t="shared" si="220"/>
        <v>0</v>
      </c>
      <c r="AM148" s="236">
        <f t="shared" si="221"/>
        <v>5</v>
      </c>
      <c r="AN148" s="237">
        <f t="shared" si="222"/>
        <v>0</v>
      </c>
      <c r="AO148" s="262">
        <v>10.5</v>
      </c>
      <c r="AP148" s="263">
        <v>3</v>
      </c>
      <c r="AQ148" s="228">
        <f t="shared" si="223"/>
        <v>6.75</v>
      </c>
      <c r="AR148" s="229">
        <f t="shared" si="224"/>
        <v>0</v>
      </c>
      <c r="AS148" s="263">
        <v>6.5</v>
      </c>
      <c r="AT148" s="234">
        <f t="shared" si="225"/>
        <v>6.5</v>
      </c>
      <c r="AU148" s="238">
        <f t="shared" si="226"/>
        <v>0</v>
      </c>
      <c r="AV148" s="236">
        <f t="shared" si="227"/>
        <v>6.625</v>
      </c>
      <c r="AW148" s="237">
        <f t="shared" si="228"/>
        <v>0</v>
      </c>
      <c r="AX148" s="263">
        <v>17</v>
      </c>
      <c r="AY148" s="263">
        <v>10</v>
      </c>
      <c r="AZ148" s="228">
        <f t="shared" si="229"/>
        <v>13.5</v>
      </c>
      <c r="BA148" s="229">
        <f t="shared" si="230"/>
        <v>1</v>
      </c>
      <c r="BB148" s="236">
        <f t="shared" si="231"/>
        <v>13.5</v>
      </c>
      <c r="BC148" s="237">
        <f t="shared" si="232"/>
        <v>1</v>
      </c>
      <c r="BD148" s="239">
        <f t="shared" si="233"/>
        <v>7.1071428571428568</v>
      </c>
      <c r="BE148" s="240">
        <f t="shared" si="234"/>
        <v>6</v>
      </c>
      <c r="BF148" s="263"/>
      <c r="BG148" s="263"/>
      <c r="BH148" s="264">
        <f t="shared" si="235"/>
        <v>0</v>
      </c>
      <c r="BI148" s="265">
        <f t="shared" si="236"/>
        <v>0</v>
      </c>
      <c r="BJ148" s="263"/>
      <c r="BK148" s="263"/>
      <c r="BL148" s="264">
        <f t="shared" si="237"/>
        <v>0</v>
      </c>
      <c r="BM148" s="265">
        <f t="shared" si="238"/>
        <v>0</v>
      </c>
      <c r="BN148" s="263"/>
      <c r="BO148" s="263"/>
      <c r="BP148" s="264">
        <f t="shared" si="239"/>
        <v>0</v>
      </c>
      <c r="BQ148" s="265">
        <f t="shared" si="240"/>
        <v>0</v>
      </c>
      <c r="BR148" s="266">
        <f t="shared" si="241"/>
        <v>0</v>
      </c>
      <c r="BS148" s="267">
        <f t="shared" si="242"/>
        <v>0</v>
      </c>
      <c r="BT148" s="263"/>
      <c r="BU148" s="263"/>
      <c r="BV148" s="264">
        <f t="shared" si="243"/>
        <v>0</v>
      </c>
      <c r="BW148" s="265">
        <f t="shared" si="244"/>
        <v>0</v>
      </c>
      <c r="BX148" s="263"/>
      <c r="BY148" s="263"/>
      <c r="BZ148" s="264">
        <f t="shared" si="245"/>
        <v>0</v>
      </c>
      <c r="CA148" s="265">
        <f t="shared" si="246"/>
        <v>0</v>
      </c>
      <c r="CB148" s="268">
        <f t="shared" si="247"/>
        <v>0</v>
      </c>
      <c r="CC148" s="267">
        <f t="shared" si="248"/>
        <v>0</v>
      </c>
      <c r="CD148" s="263"/>
      <c r="CE148" s="263"/>
      <c r="CF148" s="264">
        <f t="shared" si="249"/>
        <v>0</v>
      </c>
      <c r="CG148" s="265">
        <f t="shared" si="250"/>
        <v>0</v>
      </c>
      <c r="CH148" s="268">
        <f t="shared" si="251"/>
        <v>0</v>
      </c>
      <c r="CI148" s="267">
        <f t="shared" si="252"/>
        <v>0</v>
      </c>
      <c r="CJ148" s="263"/>
      <c r="CK148" s="269">
        <f t="shared" si="253"/>
        <v>0</v>
      </c>
      <c r="CL148" s="270">
        <f t="shared" si="254"/>
        <v>0</v>
      </c>
      <c r="CM148" s="268">
        <f t="shared" si="255"/>
        <v>0</v>
      </c>
      <c r="CN148" s="267">
        <f t="shared" si="256"/>
        <v>0</v>
      </c>
      <c r="CO148" s="65">
        <f t="shared" si="257"/>
        <v>0</v>
      </c>
      <c r="CP148" s="66">
        <f t="shared" si="258"/>
        <v>0</v>
      </c>
      <c r="CQ148" s="31">
        <f t="shared" si="198"/>
        <v>7.1071428571428568</v>
      </c>
      <c r="CR148" s="32">
        <f t="shared" si="199"/>
        <v>6</v>
      </c>
      <c r="CS148" s="33">
        <f t="shared" si="200"/>
        <v>0</v>
      </c>
      <c r="CT148" s="34">
        <f t="shared" si="201"/>
        <v>0</v>
      </c>
      <c r="CU148" s="67">
        <f t="shared" si="202"/>
        <v>3.5535714285714284</v>
      </c>
      <c r="CV148" s="35">
        <f t="shared" si="203"/>
        <v>6</v>
      </c>
      <c r="CW148" s="59">
        <f t="shared" si="204"/>
        <v>6</v>
      </c>
      <c r="CX148" s="43" t="str">
        <f t="shared" si="259"/>
        <v>مؤجل(ة)</v>
      </c>
      <c r="CY148" s="44"/>
      <c r="CZ148" s="50"/>
      <c r="DA148" s="46"/>
    </row>
    <row r="149" spans="2:105" ht="27.75" customHeight="1" thickBot="1">
      <c r="B149" s="1">
        <f t="shared" si="260"/>
        <v>11</v>
      </c>
      <c r="C149" s="336" t="s">
        <v>187</v>
      </c>
      <c r="D149" s="249" t="s">
        <v>698</v>
      </c>
      <c r="E149" s="47"/>
      <c r="F149" s="135"/>
      <c r="G149" s="136"/>
      <c r="H149" s="131"/>
      <c r="I149" s="132"/>
      <c r="J149" s="133"/>
      <c r="K149" s="134"/>
      <c r="L149" s="53">
        <f t="shared" si="205"/>
        <v>0</v>
      </c>
      <c r="M149" s="58">
        <f t="shared" si="206"/>
        <v>0</v>
      </c>
      <c r="N149" s="262">
        <v>2</v>
      </c>
      <c r="O149" s="263">
        <v>3.5</v>
      </c>
      <c r="P149" s="228">
        <f t="shared" si="207"/>
        <v>2.75</v>
      </c>
      <c r="Q149" s="229">
        <f t="shared" si="208"/>
        <v>0</v>
      </c>
      <c r="R149" s="262">
        <v>12</v>
      </c>
      <c r="S149" s="263">
        <v>7.75</v>
      </c>
      <c r="T149" s="228">
        <f t="shared" si="209"/>
        <v>9.875</v>
      </c>
      <c r="U149" s="229">
        <f t="shared" si="210"/>
        <v>0</v>
      </c>
      <c r="V149" s="262">
        <v>8</v>
      </c>
      <c r="W149" s="263">
        <v>1.5</v>
      </c>
      <c r="X149" s="228">
        <f t="shared" si="211"/>
        <v>4.75</v>
      </c>
      <c r="Y149" s="229">
        <f t="shared" si="212"/>
        <v>0</v>
      </c>
      <c r="Z149" s="232">
        <f t="shared" si="213"/>
        <v>5.791666666666667</v>
      </c>
      <c r="AA149" s="233">
        <f t="shared" si="214"/>
        <v>0</v>
      </c>
      <c r="AB149" s="263">
        <v>12</v>
      </c>
      <c r="AC149" s="234">
        <f t="shared" si="215"/>
        <v>12</v>
      </c>
      <c r="AD149" s="235">
        <f t="shared" si="216"/>
        <v>1</v>
      </c>
      <c r="AE149" s="262">
        <v>8</v>
      </c>
      <c r="AF149" s="263">
        <v>8</v>
      </c>
      <c r="AG149" s="228">
        <f t="shared" si="217"/>
        <v>8</v>
      </c>
      <c r="AH149" s="229">
        <f t="shared" si="218"/>
        <v>0</v>
      </c>
      <c r="AI149" s="262">
        <v>10.5</v>
      </c>
      <c r="AJ149" s="263">
        <v>7.25</v>
      </c>
      <c r="AK149" s="228">
        <f t="shared" si="219"/>
        <v>8.875</v>
      </c>
      <c r="AL149" s="229">
        <f t="shared" si="220"/>
        <v>0</v>
      </c>
      <c r="AM149" s="236">
        <f t="shared" si="221"/>
        <v>9.15</v>
      </c>
      <c r="AN149" s="237">
        <f t="shared" si="222"/>
        <v>1</v>
      </c>
      <c r="AO149" s="262">
        <v>10.5</v>
      </c>
      <c r="AP149" s="263">
        <v>5</v>
      </c>
      <c r="AQ149" s="228">
        <f t="shared" si="223"/>
        <v>7.75</v>
      </c>
      <c r="AR149" s="229">
        <f t="shared" si="224"/>
        <v>0</v>
      </c>
      <c r="AS149" s="263">
        <v>6.5</v>
      </c>
      <c r="AT149" s="234">
        <f t="shared" si="225"/>
        <v>6.5</v>
      </c>
      <c r="AU149" s="238">
        <f t="shared" si="226"/>
        <v>0</v>
      </c>
      <c r="AV149" s="236">
        <f t="shared" si="227"/>
        <v>7.125</v>
      </c>
      <c r="AW149" s="237">
        <f t="shared" si="228"/>
        <v>0</v>
      </c>
      <c r="AX149" s="263">
        <v>15</v>
      </c>
      <c r="AY149" s="263">
        <v>10.5</v>
      </c>
      <c r="AZ149" s="228">
        <f t="shared" si="229"/>
        <v>12.75</v>
      </c>
      <c r="BA149" s="229">
        <f t="shared" si="230"/>
        <v>1</v>
      </c>
      <c r="BB149" s="236">
        <f t="shared" si="231"/>
        <v>12.75</v>
      </c>
      <c r="BC149" s="237">
        <f t="shared" si="232"/>
        <v>1</v>
      </c>
      <c r="BD149" s="239">
        <f t="shared" si="233"/>
        <v>7.6785714285714288</v>
      </c>
      <c r="BE149" s="240">
        <f t="shared" si="234"/>
        <v>2</v>
      </c>
      <c r="BF149" s="263"/>
      <c r="BG149" s="263"/>
      <c r="BH149" s="264">
        <f t="shared" si="235"/>
        <v>0</v>
      </c>
      <c r="BI149" s="265">
        <f t="shared" si="236"/>
        <v>0</v>
      </c>
      <c r="BJ149" s="263"/>
      <c r="BK149" s="263"/>
      <c r="BL149" s="264">
        <f t="shared" si="237"/>
        <v>0</v>
      </c>
      <c r="BM149" s="265">
        <f t="shared" si="238"/>
        <v>0</v>
      </c>
      <c r="BN149" s="263"/>
      <c r="BO149" s="263"/>
      <c r="BP149" s="264">
        <f t="shared" si="239"/>
        <v>0</v>
      </c>
      <c r="BQ149" s="265">
        <f t="shared" si="240"/>
        <v>0</v>
      </c>
      <c r="BR149" s="266">
        <f t="shared" si="241"/>
        <v>0</v>
      </c>
      <c r="BS149" s="267">
        <f t="shared" si="242"/>
        <v>0</v>
      </c>
      <c r="BT149" s="263"/>
      <c r="BU149" s="263"/>
      <c r="BV149" s="264">
        <f t="shared" si="243"/>
        <v>0</v>
      </c>
      <c r="BW149" s="265">
        <f t="shared" si="244"/>
        <v>0</v>
      </c>
      <c r="BX149" s="263"/>
      <c r="BY149" s="263"/>
      <c r="BZ149" s="264">
        <f t="shared" si="245"/>
        <v>0</v>
      </c>
      <c r="CA149" s="265">
        <f t="shared" si="246"/>
        <v>0</v>
      </c>
      <c r="CB149" s="268">
        <f t="shared" si="247"/>
        <v>0</v>
      </c>
      <c r="CC149" s="267">
        <f t="shared" si="248"/>
        <v>0</v>
      </c>
      <c r="CD149" s="263"/>
      <c r="CE149" s="263"/>
      <c r="CF149" s="264">
        <f t="shared" si="249"/>
        <v>0</v>
      </c>
      <c r="CG149" s="265">
        <f t="shared" si="250"/>
        <v>0</v>
      </c>
      <c r="CH149" s="268">
        <f t="shared" si="251"/>
        <v>0</v>
      </c>
      <c r="CI149" s="267">
        <f t="shared" si="252"/>
        <v>0</v>
      </c>
      <c r="CJ149" s="263"/>
      <c r="CK149" s="269">
        <f t="shared" si="253"/>
        <v>0</v>
      </c>
      <c r="CL149" s="270">
        <f t="shared" si="254"/>
        <v>0</v>
      </c>
      <c r="CM149" s="268">
        <f t="shared" si="255"/>
        <v>0</v>
      </c>
      <c r="CN149" s="267">
        <f t="shared" si="256"/>
        <v>0</v>
      </c>
      <c r="CO149" s="65">
        <f t="shared" si="257"/>
        <v>0</v>
      </c>
      <c r="CP149" s="66">
        <f t="shared" si="258"/>
        <v>0</v>
      </c>
      <c r="CQ149" s="31">
        <f t="shared" si="198"/>
        <v>7.6785714285714288</v>
      </c>
      <c r="CR149" s="32">
        <f t="shared" si="199"/>
        <v>2</v>
      </c>
      <c r="CS149" s="33">
        <f t="shared" si="200"/>
        <v>0</v>
      </c>
      <c r="CT149" s="34">
        <f t="shared" si="201"/>
        <v>0</v>
      </c>
      <c r="CU149" s="67">
        <f t="shared" si="202"/>
        <v>3.8392857142857144</v>
      </c>
      <c r="CV149" s="35">
        <f t="shared" si="203"/>
        <v>2</v>
      </c>
      <c r="CW149" s="59">
        <f t="shared" si="204"/>
        <v>2</v>
      </c>
      <c r="CX149" s="43" t="str">
        <f t="shared" si="259"/>
        <v>مؤجل(ة)</v>
      </c>
      <c r="CY149" s="44"/>
      <c r="CZ149" s="51"/>
      <c r="DA149" s="46"/>
    </row>
    <row r="150" spans="2:105" ht="27.75" customHeight="1" thickBot="1">
      <c r="B150" s="1">
        <f t="shared" si="260"/>
        <v>12</v>
      </c>
      <c r="C150" s="324" t="s">
        <v>299</v>
      </c>
      <c r="D150" s="249" t="s">
        <v>699</v>
      </c>
      <c r="E150" s="47" t="s">
        <v>468</v>
      </c>
      <c r="F150" s="135">
        <v>33896</v>
      </c>
      <c r="G150" s="52" t="s">
        <v>773</v>
      </c>
      <c r="H150" s="131"/>
      <c r="I150" s="132"/>
      <c r="J150" s="133"/>
      <c r="K150" s="134"/>
      <c r="L150" s="53">
        <f t="shared" si="205"/>
        <v>0</v>
      </c>
      <c r="M150" s="58">
        <f t="shared" si="206"/>
        <v>0</v>
      </c>
      <c r="N150" s="262">
        <v>12.5</v>
      </c>
      <c r="O150" s="263">
        <v>12.5</v>
      </c>
      <c r="P150" s="228">
        <f t="shared" si="207"/>
        <v>12.5</v>
      </c>
      <c r="Q150" s="229">
        <f t="shared" si="208"/>
        <v>5</v>
      </c>
      <c r="R150" s="262">
        <v>11.63</v>
      </c>
      <c r="S150" s="263">
        <v>11.63</v>
      </c>
      <c r="T150" s="228">
        <f t="shared" si="209"/>
        <v>11.63</v>
      </c>
      <c r="U150" s="229">
        <f t="shared" si="210"/>
        <v>6</v>
      </c>
      <c r="V150" s="262">
        <v>7.25</v>
      </c>
      <c r="W150" s="263">
        <v>7.25</v>
      </c>
      <c r="X150" s="228">
        <f t="shared" si="211"/>
        <v>7.25</v>
      </c>
      <c r="Y150" s="229">
        <f t="shared" si="212"/>
        <v>0</v>
      </c>
      <c r="Z150" s="232">
        <f t="shared" si="213"/>
        <v>10.46</v>
      </c>
      <c r="AA150" s="233">
        <f t="shared" si="214"/>
        <v>17</v>
      </c>
      <c r="AB150" s="263">
        <v>13</v>
      </c>
      <c r="AC150" s="234">
        <f t="shared" si="215"/>
        <v>13</v>
      </c>
      <c r="AD150" s="235">
        <f t="shared" si="216"/>
        <v>1</v>
      </c>
      <c r="AE150" s="262"/>
      <c r="AF150" s="263"/>
      <c r="AG150" s="228">
        <f t="shared" si="217"/>
        <v>0</v>
      </c>
      <c r="AH150" s="229">
        <f t="shared" si="218"/>
        <v>0</v>
      </c>
      <c r="AI150" s="262">
        <v>9</v>
      </c>
      <c r="AJ150" s="263"/>
      <c r="AK150" s="228">
        <f t="shared" si="219"/>
        <v>4.5</v>
      </c>
      <c r="AL150" s="229">
        <f t="shared" si="220"/>
        <v>0</v>
      </c>
      <c r="AM150" s="236">
        <f t="shared" si="221"/>
        <v>4.4000000000000004</v>
      </c>
      <c r="AN150" s="237">
        <f t="shared" si="222"/>
        <v>1</v>
      </c>
      <c r="AO150" s="262">
        <v>10.5</v>
      </c>
      <c r="AP150" s="263">
        <v>3</v>
      </c>
      <c r="AQ150" s="228">
        <f t="shared" si="223"/>
        <v>6.75</v>
      </c>
      <c r="AR150" s="229">
        <f t="shared" si="224"/>
        <v>0</v>
      </c>
      <c r="AS150" s="263"/>
      <c r="AT150" s="234">
        <f t="shared" si="225"/>
        <v>0</v>
      </c>
      <c r="AU150" s="238">
        <f t="shared" si="226"/>
        <v>0</v>
      </c>
      <c r="AV150" s="236">
        <f t="shared" si="227"/>
        <v>3.375</v>
      </c>
      <c r="AW150" s="237">
        <f t="shared" si="228"/>
        <v>0</v>
      </c>
      <c r="AX150" s="263">
        <v>10</v>
      </c>
      <c r="AY150" s="263">
        <v>10</v>
      </c>
      <c r="AZ150" s="228">
        <f t="shared" si="229"/>
        <v>10</v>
      </c>
      <c r="BA150" s="229">
        <f t="shared" si="230"/>
        <v>1</v>
      </c>
      <c r="BB150" s="236">
        <f t="shared" si="231"/>
        <v>10</v>
      </c>
      <c r="BC150" s="237">
        <f t="shared" si="232"/>
        <v>1</v>
      </c>
      <c r="BD150" s="239">
        <f t="shared" si="233"/>
        <v>7.2507142857142863</v>
      </c>
      <c r="BE150" s="240">
        <f t="shared" si="234"/>
        <v>19</v>
      </c>
      <c r="BF150" s="263"/>
      <c r="BG150" s="263"/>
      <c r="BH150" s="264">
        <f t="shared" si="235"/>
        <v>0</v>
      </c>
      <c r="BI150" s="265">
        <f t="shared" si="236"/>
        <v>0</v>
      </c>
      <c r="BJ150" s="263"/>
      <c r="BK150" s="263"/>
      <c r="BL150" s="264">
        <f t="shared" si="237"/>
        <v>0</v>
      </c>
      <c r="BM150" s="265">
        <f t="shared" si="238"/>
        <v>0</v>
      </c>
      <c r="BN150" s="263"/>
      <c r="BO150" s="263"/>
      <c r="BP150" s="264">
        <f t="shared" si="239"/>
        <v>0</v>
      </c>
      <c r="BQ150" s="265">
        <f t="shared" si="240"/>
        <v>0</v>
      </c>
      <c r="BR150" s="266">
        <f t="shared" si="241"/>
        <v>0</v>
      </c>
      <c r="BS150" s="267">
        <f t="shared" si="242"/>
        <v>0</v>
      </c>
      <c r="BT150" s="263"/>
      <c r="BU150" s="263"/>
      <c r="BV150" s="264">
        <f t="shared" si="243"/>
        <v>0</v>
      </c>
      <c r="BW150" s="265">
        <f t="shared" si="244"/>
        <v>0</v>
      </c>
      <c r="BX150" s="263"/>
      <c r="BY150" s="263"/>
      <c r="BZ150" s="264">
        <f t="shared" si="245"/>
        <v>0</v>
      </c>
      <c r="CA150" s="265">
        <f t="shared" si="246"/>
        <v>0</v>
      </c>
      <c r="CB150" s="268">
        <f t="shared" si="247"/>
        <v>0</v>
      </c>
      <c r="CC150" s="267">
        <f t="shared" si="248"/>
        <v>0</v>
      </c>
      <c r="CD150" s="263"/>
      <c r="CE150" s="263"/>
      <c r="CF150" s="264">
        <f t="shared" si="249"/>
        <v>0</v>
      </c>
      <c r="CG150" s="265">
        <f t="shared" si="250"/>
        <v>0</v>
      </c>
      <c r="CH150" s="268">
        <f t="shared" si="251"/>
        <v>0</v>
      </c>
      <c r="CI150" s="267">
        <f t="shared" si="252"/>
        <v>0</v>
      </c>
      <c r="CJ150" s="263"/>
      <c r="CK150" s="269">
        <f t="shared" si="253"/>
        <v>0</v>
      </c>
      <c r="CL150" s="270">
        <f t="shared" si="254"/>
        <v>0</v>
      </c>
      <c r="CM150" s="268">
        <f t="shared" si="255"/>
        <v>0</v>
      </c>
      <c r="CN150" s="267">
        <f t="shared" si="256"/>
        <v>0</v>
      </c>
      <c r="CO150" s="65">
        <f t="shared" si="257"/>
        <v>0</v>
      </c>
      <c r="CP150" s="66">
        <f t="shared" si="258"/>
        <v>0</v>
      </c>
      <c r="CQ150" s="31">
        <f t="shared" si="198"/>
        <v>7.2507142857142863</v>
      </c>
      <c r="CR150" s="32">
        <f t="shared" si="199"/>
        <v>19</v>
      </c>
      <c r="CS150" s="33">
        <f t="shared" si="200"/>
        <v>0</v>
      </c>
      <c r="CT150" s="34">
        <f t="shared" si="201"/>
        <v>0</v>
      </c>
      <c r="CU150" s="67">
        <f t="shared" si="202"/>
        <v>3.6253571428571432</v>
      </c>
      <c r="CV150" s="35">
        <f t="shared" si="203"/>
        <v>19</v>
      </c>
      <c r="CW150" s="59">
        <f t="shared" si="204"/>
        <v>19</v>
      </c>
      <c r="CX150" s="43" t="str">
        <f t="shared" si="259"/>
        <v>مؤجل(ة)</v>
      </c>
      <c r="CY150" s="44"/>
      <c r="CZ150" s="50"/>
      <c r="DA150" s="46"/>
    </row>
    <row r="151" spans="2:105" ht="27.75" customHeight="1" thickBot="1">
      <c r="B151" s="1">
        <f t="shared" si="260"/>
        <v>13</v>
      </c>
      <c r="C151" s="324" t="s">
        <v>700</v>
      </c>
      <c r="D151" s="249" t="s">
        <v>701</v>
      </c>
      <c r="E151" s="47"/>
      <c r="F151" s="135"/>
      <c r="G151" s="136"/>
      <c r="H151" s="131"/>
      <c r="I151" s="132"/>
      <c r="J151" s="133"/>
      <c r="K151" s="134"/>
      <c r="L151" s="53">
        <f t="shared" si="205"/>
        <v>0</v>
      </c>
      <c r="M151" s="58">
        <f t="shared" si="206"/>
        <v>0</v>
      </c>
      <c r="N151" s="262">
        <v>10</v>
      </c>
      <c r="O151" s="263">
        <v>3</v>
      </c>
      <c r="P151" s="228">
        <f t="shared" si="207"/>
        <v>6.5</v>
      </c>
      <c r="Q151" s="229">
        <f t="shared" si="208"/>
        <v>0</v>
      </c>
      <c r="R151" s="262">
        <v>10</v>
      </c>
      <c r="S151" s="263">
        <v>3.25</v>
      </c>
      <c r="T151" s="228">
        <f t="shared" si="209"/>
        <v>6.625</v>
      </c>
      <c r="U151" s="229">
        <f t="shared" si="210"/>
        <v>0</v>
      </c>
      <c r="V151" s="262">
        <v>4</v>
      </c>
      <c r="W151" s="263">
        <v>1</v>
      </c>
      <c r="X151" s="228">
        <f t="shared" si="211"/>
        <v>2.5</v>
      </c>
      <c r="Y151" s="229">
        <f t="shared" si="212"/>
        <v>0</v>
      </c>
      <c r="Z151" s="232">
        <f t="shared" si="213"/>
        <v>5.208333333333333</v>
      </c>
      <c r="AA151" s="233">
        <f t="shared" si="214"/>
        <v>0</v>
      </c>
      <c r="AB151" s="263">
        <v>5</v>
      </c>
      <c r="AC151" s="234">
        <f t="shared" si="215"/>
        <v>5</v>
      </c>
      <c r="AD151" s="235">
        <f t="shared" si="216"/>
        <v>0</v>
      </c>
      <c r="AE151" s="262">
        <v>2</v>
      </c>
      <c r="AF151" s="263">
        <v>2</v>
      </c>
      <c r="AG151" s="228">
        <f t="shared" si="217"/>
        <v>2</v>
      </c>
      <c r="AH151" s="229">
        <f t="shared" si="218"/>
        <v>0</v>
      </c>
      <c r="AI151" s="262">
        <v>9</v>
      </c>
      <c r="AJ151" s="263">
        <v>1.5</v>
      </c>
      <c r="AK151" s="228">
        <f t="shared" si="219"/>
        <v>5.25</v>
      </c>
      <c r="AL151" s="229">
        <f t="shared" si="220"/>
        <v>0</v>
      </c>
      <c r="AM151" s="236">
        <f t="shared" si="221"/>
        <v>3.9</v>
      </c>
      <c r="AN151" s="237">
        <f t="shared" si="222"/>
        <v>0</v>
      </c>
      <c r="AO151" s="262">
        <v>10</v>
      </c>
      <c r="AP151" s="263">
        <v>3</v>
      </c>
      <c r="AQ151" s="228">
        <f t="shared" si="223"/>
        <v>6.5</v>
      </c>
      <c r="AR151" s="229">
        <f t="shared" si="224"/>
        <v>0</v>
      </c>
      <c r="AS151" s="263">
        <v>0</v>
      </c>
      <c r="AT151" s="234">
        <f t="shared" si="225"/>
        <v>0</v>
      </c>
      <c r="AU151" s="238">
        <f t="shared" si="226"/>
        <v>0</v>
      </c>
      <c r="AV151" s="236">
        <f t="shared" si="227"/>
        <v>3.25</v>
      </c>
      <c r="AW151" s="237">
        <f t="shared" si="228"/>
        <v>0</v>
      </c>
      <c r="AX151" s="263">
        <v>16.5</v>
      </c>
      <c r="AY151" s="263">
        <v>15.5</v>
      </c>
      <c r="AZ151" s="228">
        <f t="shared" si="229"/>
        <v>16</v>
      </c>
      <c r="BA151" s="229">
        <f t="shared" si="230"/>
        <v>1</v>
      </c>
      <c r="BB151" s="236">
        <f t="shared" si="231"/>
        <v>16</v>
      </c>
      <c r="BC151" s="237">
        <f t="shared" si="232"/>
        <v>1</v>
      </c>
      <c r="BD151" s="239">
        <f t="shared" si="233"/>
        <v>5.2321428571428568</v>
      </c>
      <c r="BE151" s="240">
        <f t="shared" si="234"/>
        <v>1</v>
      </c>
      <c r="BF151" s="263"/>
      <c r="BG151" s="263"/>
      <c r="BH151" s="264">
        <f t="shared" si="235"/>
        <v>0</v>
      </c>
      <c r="BI151" s="265">
        <f t="shared" si="236"/>
        <v>0</v>
      </c>
      <c r="BJ151" s="263"/>
      <c r="BK151" s="263"/>
      <c r="BL151" s="264">
        <f t="shared" si="237"/>
        <v>0</v>
      </c>
      <c r="BM151" s="265">
        <f t="shared" si="238"/>
        <v>0</v>
      </c>
      <c r="BN151" s="263"/>
      <c r="BO151" s="263"/>
      <c r="BP151" s="264">
        <f t="shared" si="239"/>
        <v>0</v>
      </c>
      <c r="BQ151" s="265">
        <f t="shared" si="240"/>
        <v>0</v>
      </c>
      <c r="BR151" s="266">
        <f t="shared" si="241"/>
        <v>0</v>
      </c>
      <c r="BS151" s="267">
        <f t="shared" si="242"/>
        <v>0</v>
      </c>
      <c r="BT151" s="263"/>
      <c r="BU151" s="263"/>
      <c r="BV151" s="264">
        <f t="shared" si="243"/>
        <v>0</v>
      </c>
      <c r="BW151" s="265">
        <f t="shared" si="244"/>
        <v>0</v>
      </c>
      <c r="BX151" s="263"/>
      <c r="BY151" s="263"/>
      <c r="BZ151" s="264">
        <f t="shared" si="245"/>
        <v>0</v>
      </c>
      <c r="CA151" s="265">
        <f t="shared" si="246"/>
        <v>0</v>
      </c>
      <c r="CB151" s="268">
        <f t="shared" si="247"/>
        <v>0</v>
      </c>
      <c r="CC151" s="267">
        <f t="shared" si="248"/>
        <v>0</v>
      </c>
      <c r="CD151" s="263"/>
      <c r="CE151" s="263"/>
      <c r="CF151" s="264">
        <f t="shared" si="249"/>
        <v>0</v>
      </c>
      <c r="CG151" s="265">
        <f t="shared" si="250"/>
        <v>0</v>
      </c>
      <c r="CH151" s="268">
        <f t="shared" si="251"/>
        <v>0</v>
      </c>
      <c r="CI151" s="267">
        <f t="shared" si="252"/>
        <v>0</v>
      </c>
      <c r="CJ151" s="263"/>
      <c r="CK151" s="269">
        <f t="shared" si="253"/>
        <v>0</v>
      </c>
      <c r="CL151" s="270">
        <f t="shared" si="254"/>
        <v>0</v>
      </c>
      <c r="CM151" s="268">
        <f t="shared" si="255"/>
        <v>0</v>
      </c>
      <c r="CN151" s="267">
        <f t="shared" si="256"/>
        <v>0</v>
      </c>
      <c r="CO151" s="65">
        <f t="shared" si="257"/>
        <v>0</v>
      </c>
      <c r="CP151" s="66">
        <f t="shared" si="258"/>
        <v>0</v>
      </c>
      <c r="CQ151" s="31">
        <f t="shared" si="198"/>
        <v>5.2321428571428568</v>
      </c>
      <c r="CR151" s="32">
        <f t="shared" si="199"/>
        <v>1</v>
      </c>
      <c r="CS151" s="33">
        <f t="shared" si="200"/>
        <v>0</v>
      </c>
      <c r="CT151" s="34">
        <f t="shared" si="201"/>
        <v>0</v>
      </c>
      <c r="CU151" s="67">
        <f t="shared" si="202"/>
        <v>2.6160714285714284</v>
      </c>
      <c r="CV151" s="35">
        <f t="shared" si="203"/>
        <v>1</v>
      </c>
      <c r="CW151" s="59">
        <f t="shared" si="204"/>
        <v>1</v>
      </c>
      <c r="CX151" s="43" t="str">
        <f t="shared" si="259"/>
        <v>مؤجل(ة)</v>
      </c>
      <c r="CY151" s="44"/>
      <c r="CZ151" s="50"/>
      <c r="DA151" s="46"/>
    </row>
    <row r="152" spans="2:105" ht="27.75" customHeight="1" thickBot="1">
      <c r="B152" s="1">
        <f t="shared" si="260"/>
        <v>14</v>
      </c>
      <c r="C152" s="324" t="s">
        <v>702</v>
      </c>
      <c r="D152" s="249" t="s">
        <v>501</v>
      </c>
      <c r="E152" s="47"/>
      <c r="F152" s="135"/>
      <c r="G152" s="136"/>
      <c r="H152" s="131"/>
      <c r="I152" s="132"/>
      <c r="J152" s="133"/>
      <c r="K152" s="134"/>
      <c r="L152" s="53">
        <f t="shared" si="205"/>
        <v>0</v>
      </c>
      <c r="M152" s="58">
        <f t="shared" si="206"/>
        <v>0</v>
      </c>
      <c r="N152" s="262">
        <v>10.5</v>
      </c>
      <c r="O152" s="263">
        <v>11.75</v>
      </c>
      <c r="P152" s="228">
        <f t="shared" si="207"/>
        <v>11.125</v>
      </c>
      <c r="Q152" s="229">
        <f t="shared" si="208"/>
        <v>5</v>
      </c>
      <c r="R152" s="262">
        <v>13</v>
      </c>
      <c r="S152" s="263">
        <v>3.75</v>
      </c>
      <c r="T152" s="228">
        <f t="shared" si="209"/>
        <v>8.375</v>
      </c>
      <c r="U152" s="229">
        <f t="shared" si="210"/>
        <v>0</v>
      </c>
      <c r="V152" s="262">
        <v>12</v>
      </c>
      <c r="W152" s="263">
        <v>2.5</v>
      </c>
      <c r="X152" s="228">
        <f t="shared" si="211"/>
        <v>7.25</v>
      </c>
      <c r="Y152" s="229">
        <f t="shared" si="212"/>
        <v>0</v>
      </c>
      <c r="Z152" s="232">
        <f t="shared" si="213"/>
        <v>8.9166666666666661</v>
      </c>
      <c r="AA152" s="233">
        <f t="shared" si="214"/>
        <v>5</v>
      </c>
      <c r="AB152" s="263">
        <v>7</v>
      </c>
      <c r="AC152" s="234">
        <f t="shared" si="215"/>
        <v>7</v>
      </c>
      <c r="AD152" s="235">
        <f t="shared" si="216"/>
        <v>0</v>
      </c>
      <c r="AE152" s="262">
        <v>7</v>
      </c>
      <c r="AF152" s="263">
        <v>7</v>
      </c>
      <c r="AG152" s="228">
        <f t="shared" si="217"/>
        <v>7</v>
      </c>
      <c r="AH152" s="229">
        <f t="shared" si="218"/>
        <v>0</v>
      </c>
      <c r="AI152" s="262">
        <v>10</v>
      </c>
      <c r="AJ152" s="263">
        <v>1</v>
      </c>
      <c r="AK152" s="228">
        <f t="shared" si="219"/>
        <v>5.5</v>
      </c>
      <c r="AL152" s="229">
        <f t="shared" si="220"/>
        <v>0</v>
      </c>
      <c r="AM152" s="236">
        <f t="shared" si="221"/>
        <v>6.4</v>
      </c>
      <c r="AN152" s="237">
        <f t="shared" si="222"/>
        <v>0</v>
      </c>
      <c r="AO152" s="262">
        <v>10.5</v>
      </c>
      <c r="AP152" s="263">
        <v>2</v>
      </c>
      <c r="AQ152" s="228">
        <f t="shared" si="223"/>
        <v>6.25</v>
      </c>
      <c r="AR152" s="229">
        <f t="shared" si="224"/>
        <v>0</v>
      </c>
      <c r="AS152" s="263">
        <v>5.5</v>
      </c>
      <c r="AT152" s="234">
        <f t="shared" si="225"/>
        <v>5.5</v>
      </c>
      <c r="AU152" s="238">
        <f t="shared" si="226"/>
        <v>0</v>
      </c>
      <c r="AV152" s="236">
        <f t="shared" si="227"/>
        <v>5.875</v>
      </c>
      <c r="AW152" s="237">
        <f t="shared" si="228"/>
        <v>0</v>
      </c>
      <c r="AX152" s="263">
        <v>13</v>
      </c>
      <c r="AY152" s="263">
        <v>9.5</v>
      </c>
      <c r="AZ152" s="228">
        <f t="shared" si="229"/>
        <v>11.25</v>
      </c>
      <c r="BA152" s="229">
        <f t="shared" si="230"/>
        <v>1</v>
      </c>
      <c r="BB152" s="236">
        <f t="shared" si="231"/>
        <v>11.25</v>
      </c>
      <c r="BC152" s="237">
        <f t="shared" si="232"/>
        <v>1</v>
      </c>
      <c r="BD152" s="239">
        <f t="shared" si="233"/>
        <v>7.75</v>
      </c>
      <c r="BE152" s="240">
        <f t="shared" si="234"/>
        <v>6</v>
      </c>
      <c r="BF152" s="263"/>
      <c r="BG152" s="263"/>
      <c r="BH152" s="264">
        <f t="shared" si="235"/>
        <v>0</v>
      </c>
      <c r="BI152" s="265">
        <f t="shared" si="236"/>
        <v>0</v>
      </c>
      <c r="BJ152" s="263"/>
      <c r="BK152" s="263"/>
      <c r="BL152" s="264">
        <f t="shared" si="237"/>
        <v>0</v>
      </c>
      <c r="BM152" s="265">
        <f t="shared" si="238"/>
        <v>0</v>
      </c>
      <c r="BN152" s="263"/>
      <c r="BO152" s="263"/>
      <c r="BP152" s="264">
        <f t="shared" si="239"/>
        <v>0</v>
      </c>
      <c r="BQ152" s="265">
        <f t="shared" si="240"/>
        <v>0</v>
      </c>
      <c r="BR152" s="266">
        <f t="shared" si="241"/>
        <v>0</v>
      </c>
      <c r="BS152" s="267">
        <f t="shared" si="242"/>
        <v>0</v>
      </c>
      <c r="BT152" s="263"/>
      <c r="BU152" s="263"/>
      <c r="BV152" s="264">
        <f t="shared" si="243"/>
        <v>0</v>
      </c>
      <c r="BW152" s="265">
        <f t="shared" si="244"/>
        <v>0</v>
      </c>
      <c r="BX152" s="263"/>
      <c r="BY152" s="263"/>
      <c r="BZ152" s="264">
        <f t="shared" si="245"/>
        <v>0</v>
      </c>
      <c r="CA152" s="265">
        <f t="shared" si="246"/>
        <v>0</v>
      </c>
      <c r="CB152" s="268">
        <f t="shared" si="247"/>
        <v>0</v>
      </c>
      <c r="CC152" s="267">
        <f t="shared" si="248"/>
        <v>0</v>
      </c>
      <c r="CD152" s="263"/>
      <c r="CE152" s="263"/>
      <c r="CF152" s="264">
        <f t="shared" si="249"/>
        <v>0</v>
      </c>
      <c r="CG152" s="265">
        <f t="shared" si="250"/>
        <v>0</v>
      </c>
      <c r="CH152" s="268">
        <f t="shared" si="251"/>
        <v>0</v>
      </c>
      <c r="CI152" s="267">
        <f t="shared" si="252"/>
        <v>0</v>
      </c>
      <c r="CJ152" s="263"/>
      <c r="CK152" s="269">
        <f t="shared" si="253"/>
        <v>0</v>
      </c>
      <c r="CL152" s="270">
        <f t="shared" si="254"/>
        <v>0</v>
      </c>
      <c r="CM152" s="268">
        <f t="shared" si="255"/>
        <v>0</v>
      </c>
      <c r="CN152" s="267">
        <f t="shared" si="256"/>
        <v>0</v>
      </c>
      <c r="CO152" s="65">
        <f t="shared" si="257"/>
        <v>0</v>
      </c>
      <c r="CP152" s="66">
        <f t="shared" si="258"/>
        <v>0</v>
      </c>
      <c r="CQ152" s="31">
        <f t="shared" si="198"/>
        <v>7.75</v>
      </c>
      <c r="CR152" s="32">
        <f t="shared" si="199"/>
        <v>6</v>
      </c>
      <c r="CS152" s="33">
        <f t="shared" si="200"/>
        <v>0</v>
      </c>
      <c r="CT152" s="34">
        <f t="shared" si="201"/>
        <v>0</v>
      </c>
      <c r="CU152" s="67">
        <f t="shared" si="202"/>
        <v>3.875</v>
      </c>
      <c r="CV152" s="35">
        <f t="shared" si="203"/>
        <v>6</v>
      </c>
      <c r="CW152" s="59">
        <f t="shared" si="204"/>
        <v>6</v>
      </c>
      <c r="CX152" s="43" t="str">
        <f t="shared" si="259"/>
        <v>مؤجل(ة)</v>
      </c>
      <c r="CY152" s="44"/>
      <c r="CZ152" s="50"/>
      <c r="DA152" s="46"/>
    </row>
    <row r="153" spans="2:105" ht="27.75" customHeight="1" thickBot="1">
      <c r="B153" s="1">
        <f t="shared" si="260"/>
        <v>15</v>
      </c>
      <c r="C153" s="324" t="s">
        <v>703</v>
      </c>
      <c r="D153" s="249" t="s">
        <v>704</v>
      </c>
      <c r="E153" s="47" t="s">
        <v>422</v>
      </c>
      <c r="F153" s="135">
        <v>35001</v>
      </c>
      <c r="G153" s="136" t="s">
        <v>746</v>
      </c>
      <c r="H153" s="131">
        <v>7.81</v>
      </c>
      <c r="I153" s="132">
        <v>9</v>
      </c>
      <c r="J153" s="133">
        <v>4.57</v>
      </c>
      <c r="K153" s="134"/>
      <c r="L153" s="53">
        <f t="shared" si="205"/>
        <v>6.1899999999999995</v>
      </c>
      <c r="M153" s="58">
        <f t="shared" si="206"/>
        <v>9</v>
      </c>
      <c r="N153" s="262">
        <v>11</v>
      </c>
      <c r="O153" s="263">
        <v>11</v>
      </c>
      <c r="P153" s="228">
        <f t="shared" si="207"/>
        <v>11</v>
      </c>
      <c r="Q153" s="229">
        <f t="shared" si="208"/>
        <v>5</v>
      </c>
      <c r="R153" s="262">
        <v>6.38</v>
      </c>
      <c r="S153" s="263">
        <v>6.38</v>
      </c>
      <c r="T153" s="228">
        <f t="shared" si="209"/>
        <v>6.38</v>
      </c>
      <c r="U153" s="229">
        <f t="shared" si="210"/>
        <v>0</v>
      </c>
      <c r="V153" s="262">
        <v>13.5</v>
      </c>
      <c r="W153" s="263">
        <v>13.5</v>
      </c>
      <c r="X153" s="228">
        <f t="shared" si="211"/>
        <v>13.5</v>
      </c>
      <c r="Y153" s="229">
        <f t="shared" si="212"/>
        <v>6</v>
      </c>
      <c r="Z153" s="232">
        <f t="shared" si="213"/>
        <v>10.293333333333333</v>
      </c>
      <c r="AA153" s="233">
        <f t="shared" si="214"/>
        <v>17</v>
      </c>
      <c r="AB153" s="263">
        <v>10</v>
      </c>
      <c r="AC153" s="234">
        <f t="shared" si="215"/>
        <v>10</v>
      </c>
      <c r="AD153" s="235">
        <f t="shared" si="216"/>
        <v>1</v>
      </c>
      <c r="AE153" s="262">
        <v>10.5</v>
      </c>
      <c r="AF153" s="263">
        <v>10.5</v>
      </c>
      <c r="AG153" s="228">
        <f t="shared" si="217"/>
        <v>10.5</v>
      </c>
      <c r="AH153" s="229">
        <f t="shared" si="218"/>
        <v>3</v>
      </c>
      <c r="AI153" s="262">
        <v>10</v>
      </c>
      <c r="AJ153" s="263">
        <v>0</v>
      </c>
      <c r="AK153" s="228">
        <f t="shared" si="219"/>
        <v>5</v>
      </c>
      <c r="AL153" s="229">
        <f t="shared" si="220"/>
        <v>0</v>
      </c>
      <c r="AM153" s="236">
        <f t="shared" si="221"/>
        <v>8.1999999999999993</v>
      </c>
      <c r="AN153" s="237">
        <f t="shared" si="222"/>
        <v>4</v>
      </c>
      <c r="AO153" s="262">
        <v>11</v>
      </c>
      <c r="AP153" s="263">
        <v>11</v>
      </c>
      <c r="AQ153" s="228">
        <f t="shared" si="223"/>
        <v>11</v>
      </c>
      <c r="AR153" s="229">
        <f t="shared" si="224"/>
        <v>4</v>
      </c>
      <c r="AS153" s="263">
        <v>11.5</v>
      </c>
      <c r="AT153" s="234">
        <f t="shared" si="225"/>
        <v>11.5</v>
      </c>
      <c r="AU153" s="238">
        <f t="shared" si="226"/>
        <v>1</v>
      </c>
      <c r="AV153" s="236">
        <f t="shared" si="227"/>
        <v>11.25</v>
      </c>
      <c r="AW153" s="237">
        <f t="shared" si="228"/>
        <v>5</v>
      </c>
      <c r="AX153" s="263">
        <v>10.5</v>
      </c>
      <c r="AY153" s="263">
        <v>10.5</v>
      </c>
      <c r="AZ153" s="228">
        <f t="shared" si="229"/>
        <v>10.5</v>
      </c>
      <c r="BA153" s="229">
        <f t="shared" si="230"/>
        <v>1</v>
      </c>
      <c r="BB153" s="236">
        <f t="shared" si="231"/>
        <v>10.5</v>
      </c>
      <c r="BC153" s="237">
        <f t="shared" si="232"/>
        <v>1</v>
      </c>
      <c r="BD153" s="239">
        <f t="shared" si="233"/>
        <v>9.6971428571428557</v>
      </c>
      <c r="BE153" s="240">
        <f t="shared" si="234"/>
        <v>27</v>
      </c>
      <c r="BF153" s="263"/>
      <c r="BG153" s="263"/>
      <c r="BH153" s="264">
        <f t="shared" si="235"/>
        <v>0</v>
      </c>
      <c r="BI153" s="265">
        <f t="shared" si="236"/>
        <v>0</v>
      </c>
      <c r="BJ153" s="263"/>
      <c r="BK153" s="263"/>
      <c r="BL153" s="264">
        <f t="shared" si="237"/>
        <v>0</v>
      </c>
      <c r="BM153" s="265">
        <f t="shared" si="238"/>
        <v>0</v>
      </c>
      <c r="BN153" s="263"/>
      <c r="BO153" s="263"/>
      <c r="BP153" s="264">
        <f t="shared" si="239"/>
        <v>0</v>
      </c>
      <c r="BQ153" s="265">
        <f t="shared" si="240"/>
        <v>0</v>
      </c>
      <c r="BR153" s="266">
        <f t="shared" si="241"/>
        <v>0</v>
      </c>
      <c r="BS153" s="267">
        <f t="shared" si="242"/>
        <v>0</v>
      </c>
      <c r="BT153" s="263"/>
      <c r="BU153" s="263"/>
      <c r="BV153" s="264">
        <f t="shared" si="243"/>
        <v>0</v>
      </c>
      <c r="BW153" s="265">
        <f t="shared" si="244"/>
        <v>0</v>
      </c>
      <c r="BX153" s="263"/>
      <c r="BY153" s="263"/>
      <c r="BZ153" s="264">
        <f t="shared" si="245"/>
        <v>0</v>
      </c>
      <c r="CA153" s="265">
        <f t="shared" si="246"/>
        <v>0</v>
      </c>
      <c r="CB153" s="268">
        <f t="shared" si="247"/>
        <v>0</v>
      </c>
      <c r="CC153" s="267">
        <f t="shared" si="248"/>
        <v>0</v>
      </c>
      <c r="CD153" s="263"/>
      <c r="CE153" s="263"/>
      <c r="CF153" s="264">
        <f t="shared" si="249"/>
        <v>0</v>
      </c>
      <c r="CG153" s="265">
        <f t="shared" si="250"/>
        <v>0</v>
      </c>
      <c r="CH153" s="268">
        <f t="shared" si="251"/>
        <v>0</v>
      </c>
      <c r="CI153" s="267">
        <f t="shared" si="252"/>
        <v>0</v>
      </c>
      <c r="CJ153" s="263"/>
      <c r="CK153" s="269">
        <f t="shared" si="253"/>
        <v>0</v>
      </c>
      <c r="CL153" s="270">
        <f t="shared" si="254"/>
        <v>0</v>
      </c>
      <c r="CM153" s="268">
        <f t="shared" si="255"/>
        <v>0</v>
      </c>
      <c r="CN153" s="267">
        <f t="shared" si="256"/>
        <v>0</v>
      </c>
      <c r="CO153" s="65">
        <f t="shared" si="257"/>
        <v>0</v>
      </c>
      <c r="CP153" s="66">
        <f t="shared" si="258"/>
        <v>0</v>
      </c>
      <c r="CQ153" s="31">
        <f t="shared" si="198"/>
        <v>9.6971428571428557</v>
      </c>
      <c r="CR153" s="32">
        <f t="shared" si="199"/>
        <v>27</v>
      </c>
      <c r="CS153" s="33">
        <f t="shared" si="200"/>
        <v>0</v>
      </c>
      <c r="CT153" s="34">
        <f t="shared" si="201"/>
        <v>0</v>
      </c>
      <c r="CU153" s="67">
        <f t="shared" si="202"/>
        <v>4.8485714285714279</v>
      </c>
      <c r="CV153" s="35">
        <f t="shared" si="203"/>
        <v>27</v>
      </c>
      <c r="CW153" s="59">
        <f t="shared" si="204"/>
        <v>36</v>
      </c>
      <c r="CX153" s="43" t="str">
        <f t="shared" si="259"/>
        <v>مؤجل(ة)</v>
      </c>
      <c r="CY153" s="44"/>
      <c r="CZ153" s="50"/>
      <c r="DA153" s="46"/>
    </row>
    <row r="154" spans="2:105" ht="27.75" customHeight="1" thickBot="1">
      <c r="B154" s="1">
        <f t="shared" si="260"/>
        <v>16</v>
      </c>
      <c r="C154" s="324" t="s">
        <v>135</v>
      </c>
      <c r="D154" s="249" t="s">
        <v>181</v>
      </c>
      <c r="E154" s="47" t="s">
        <v>394</v>
      </c>
      <c r="F154" s="135">
        <v>33783</v>
      </c>
      <c r="G154" s="136" t="s">
        <v>746</v>
      </c>
      <c r="H154" s="131"/>
      <c r="I154" s="132"/>
      <c r="J154" s="133"/>
      <c r="K154" s="134"/>
      <c r="L154" s="53">
        <f t="shared" si="205"/>
        <v>0</v>
      </c>
      <c r="M154" s="58">
        <f t="shared" si="206"/>
        <v>0</v>
      </c>
      <c r="N154" s="262">
        <v>12</v>
      </c>
      <c r="O154" s="263">
        <v>12</v>
      </c>
      <c r="P154" s="228">
        <f t="shared" si="207"/>
        <v>12</v>
      </c>
      <c r="Q154" s="229">
        <f t="shared" si="208"/>
        <v>5</v>
      </c>
      <c r="R154" s="262">
        <v>8.5</v>
      </c>
      <c r="S154" s="263">
        <v>8.5</v>
      </c>
      <c r="T154" s="228">
        <f t="shared" si="209"/>
        <v>8.5</v>
      </c>
      <c r="U154" s="229">
        <f t="shared" si="210"/>
        <v>0</v>
      </c>
      <c r="V154" s="262">
        <v>10.38</v>
      </c>
      <c r="W154" s="263">
        <v>10.38</v>
      </c>
      <c r="X154" s="228">
        <f t="shared" si="211"/>
        <v>10.38</v>
      </c>
      <c r="Y154" s="229">
        <f t="shared" si="212"/>
        <v>6</v>
      </c>
      <c r="Z154" s="232">
        <f t="shared" si="213"/>
        <v>10.293333333333335</v>
      </c>
      <c r="AA154" s="233">
        <f t="shared" si="214"/>
        <v>17</v>
      </c>
      <c r="AB154" s="263">
        <v>11</v>
      </c>
      <c r="AC154" s="234">
        <f t="shared" si="215"/>
        <v>11</v>
      </c>
      <c r="AD154" s="235">
        <f t="shared" si="216"/>
        <v>1</v>
      </c>
      <c r="AE154" s="262">
        <v>4.5</v>
      </c>
      <c r="AF154" s="263">
        <v>4.5</v>
      </c>
      <c r="AG154" s="228">
        <f t="shared" si="217"/>
        <v>4.5</v>
      </c>
      <c r="AH154" s="229">
        <f t="shared" si="218"/>
        <v>0</v>
      </c>
      <c r="AI154" s="262">
        <v>9</v>
      </c>
      <c r="AJ154" s="263">
        <v>4</v>
      </c>
      <c r="AK154" s="228">
        <f t="shared" si="219"/>
        <v>6.5</v>
      </c>
      <c r="AL154" s="229">
        <f t="shared" si="220"/>
        <v>0</v>
      </c>
      <c r="AM154" s="236">
        <f t="shared" si="221"/>
        <v>6.6</v>
      </c>
      <c r="AN154" s="237">
        <f t="shared" si="222"/>
        <v>1</v>
      </c>
      <c r="AO154" s="262">
        <v>10.5</v>
      </c>
      <c r="AP154" s="263">
        <v>7</v>
      </c>
      <c r="AQ154" s="228">
        <f t="shared" si="223"/>
        <v>8.75</v>
      </c>
      <c r="AR154" s="229">
        <f t="shared" si="224"/>
        <v>0</v>
      </c>
      <c r="AS154" s="263">
        <v>10.5</v>
      </c>
      <c r="AT154" s="234">
        <f t="shared" si="225"/>
        <v>10.5</v>
      </c>
      <c r="AU154" s="238">
        <f t="shared" si="226"/>
        <v>1</v>
      </c>
      <c r="AV154" s="236">
        <f t="shared" si="227"/>
        <v>9.625</v>
      </c>
      <c r="AW154" s="237">
        <f t="shared" si="228"/>
        <v>1</v>
      </c>
      <c r="AX154" s="263">
        <v>10.5</v>
      </c>
      <c r="AY154" s="263">
        <v>10.5</v>
      </c>
      <c r="AZ154" s="228">
        <f t="shared" si="229"/>
        <v>10.5</v>
      </c>
      <c r="BA154" s="229">
        <f t="shared" si="230"/>
        <v>1</v>
      </c>
      <c r="BB154" s="236">
        <f t="shared" si="231"/>
        <v>10.5</v>
      </c>
      <c r="BC154" s="237">
        <f t="shared" si="232"/>
        <v>1</v>
      </c>
      <c r="BD154" s="239">
        <f t="shared" si="233"/>
        <v>8.8935714285714287</v>
      </c>
      <c r="BE154" s="240">
        <f t="shared" si="234"/>
        <v>20</v>
      </c>
      <c r="BF154" s="263"/>
      <c r="BG154" s="263"/>
      <c r="BH154" s="264">
        <f t="shared" si="235"/>
        <v>0</v>
      </c>
      <c r="BI154" s="265">
        <f t="shared" si="236"/>
        <v>0</v>
      </c>
      <c r="BJ154" s="263"/>
      <c r="BK154" s="263"/>
      <c r="BL154" s="264">
        <f t="shared" si="237"/>
        <v>0</v>
      </c>
      <c r="BM154" s="265">
        <f t="shared" si="238"/>
        <v>0</v>
      </c>
      <c r="BN154" s="263"/>
      <c r="BO154" s="263"/>
      <c r="BP154" s="264">
        <f t="shared" si="239"/>
        <v>0</v>
      </c>
      <c r="BQ154" s="265">
        <f t="shared" si="240"/>
        <v>0</v>
      </c>
      <c r="BR154" s="266">
        <f t="shared" si="241"/>
        <v>0</v>
      </c>
      <c r="BS154" s="267">
        <f t="shared" si="242"/>
        <v>0</v>
      </c>
      <c r="BT154" s="263"/>
      <c r="BU154" s="263"/>
      <c r="BV154" s="264">
        <f t="shared" si="243"/>
        <v>0</v>
      </c>
      <c r="BW154" s="265">
        <f t="shared" si="244"/>
        <v>0</v>
      </c>
      <c r="BX154" s="263"/>
      <c r="BY154" s="263"/>
      <c r="BZ154" s="264">
        <f t="shared" si="245"/>
        <v>0</v>
      </c>
      <c r="CA154" s="265">
        <f t="shared" si="246"/>
        <v>0</v>
      </c>
      <c r="CB154" s="268">
        <f t="shared" si="247"/>
        <v>0</v>
      </c>
      <c r="CC154" s="267">
        <f t="shared" si="248"/>
        <v>0</v>
      </c>
      <c r="CD154" s="263"/>
      <c r="CE154" s="263"/>
      <c r="CF154" s="264">
        <f t="shared" si="249"/>
        <v>0</v>
      </c>
      <c r="CG154" s="265">
        <f t="shared" si="250"/>
        <v>0</v>
      </c>
      <c r="CH154" s="268">
        <f t="shared" si="251"/>
        <v>0</v>
      </c>
      <c r="CI154" s="267">
        <f t="shared" si="252"/>
        <v>0</v>
      </c>
      <c r="CJ154" s="263"/>
      <c r="CK154" s="269">
        <f t="shared" si="253"/>
        <v>0</v>
      </c>
      <c r="CL154" s="270">
        <f t="shared" si="254"/>
        <v>0</v>
      </c>
      <c r="CM154" s="268">
        <f t="shared" si="255"/>
        <v>0</v>
      </c>
      <c r="CN154" s="267">
        <f t="shared" si="256"/>
        <v>0</v>
      </c>
      <c r="CO154" s="65">
        <f t="shared" si="257"/>
        <v>0</v>
      </c>
      <c r="CP154" s="66">
        <f t="shared" si="258"/>
        <v>0</v>
      </c>
      <c r="CQ154" s="31">
        <f t="shared" si="198"/>
        <v>8.8935714285714287</v>
      </c>
      <c r="CR154" s="32">
        <f t="shared" si="199"/>
        <v>20</v>
      </c>
      <c r="CS154" s="33">
        <f t="shared" si="200"/>
        <v>0</v>
      </c>
      <c r="CT154" s="34">
        <f t="shared" si="201"/>
        <v>0</v>
      </c>
      <c r="CU154" s="67">
        <f t="shared" si="202"/>
        <v>4.4467857142857143</v>
      </c>
      <c r="CV154" s="35">
        <f t="shared" si="203"/>
        <v>20</v>
      </c>
      <c r="CW154" s="59">
        <f t="shared" si="204"/>
        <v>20</v>
      </c>
      <c r="CX154" s="43" t="str">
        <f t="shared" si="259"/>
        <v>مؤجل(ة)</v>
      </c>
      <c r="CY154" s="44"/>
      <c r="CZ154" s="50"/>
      <c r="DA154" s="46"/>
    </row>
    <row r="155" spans="2:105" ht="27.75" customHeight="1" thickBot="1">
      <c r="B155" s="1">
        <v>17</v>
      </c>
      <c r="C155" s="324" t="s">
        <v>705</v>
      </c>
      <c r="D155" s="249" t="s">
        <v>706</v>
      </c>
      <c r="E155" s="47" t="s">
        <v>368</v>
      </c>
      <c r="F155" s="135">
        <v>35185</v>
      </c>
      <c r="G155" s="136" t="s">
        <v>746</v>
      </c>
      <c r="H155" s="131"/>
      <c r="I155" s="132"/>
      <c r="J155" s="133"/>
      <c r="K155" s="134"/>
      <c r="L155" s="53">
        <f t="shared" si="205"/>
        <v>0</v>
      </c>
      <c r="M155" s="58">
        <f t="shared" si="206"/>
        <v>0</v>
      </c>
      <c r="N155" s="262">
        <v>10</v>
      </c>
      <c r="O155" s="263">
        <v>10</v>
      </c>
      <c r="P155" s="228">
        <f t="shared" si="207"/>
        <v>10</v>
      </c>
      <c r="Q155" s="229">
        <f t="shared" si="208"/>
        <v>5</v>
      </c>
      <c r="R155" s="262">
        <v>10.130000000000001</v>
      </c>
      <c r="S155" s="263">
        <v>10.130000000000001</v>
      </c>
      <c r="T155" s="228">
        <f t="shared" si="209"/>
        <v>10.130000000000001</v>
      </c>
      <c r="U155" s="229">
        <f t="shared" si="210"/>
        <v>6</v>
      </c>
      <c r="V155" s="262">
        <v>10.5</v>
      </c>
      <c r="W155" s="263">
        <v>4.5</v>
      </c>
      <c r="X155" s="228">
        <f t="shared" si="211"/>
        <v>7.5</v>
      </c>
      <c r="Y155" s="229">
        <f t="shared" si="212"/>
        <v>0</v>
      </c>
      <c r="Z155" s="232">
        <f t="shared" si="213"/>
        <v>9.2100000000000009</v>
      </c>
      <c r="AA155" s="233">
        <f t="shared" si="214"/>
        <v>11</v>
      </c>
      <c r="AB155" s="263">
        <v>15.5</v>
      </c>
      <c r="AC155" s="234">
        <f t="shared" si="215"/>
        <v>15.5</v>
      </c>
      <c r="AD155" s="235">
        <f t="shared" si="216"/>
        <v>1</v>
      </c>
      <c r="AE155" s="262">
        <v>10</v>
      </c>
      <c r="AF155" s="263">
        <v>10</v>
      </c>
      <c r="AG155" s="228">
        <f t="shared" si="217"/>
        <v>10</v>
      </c>
      <c r="AH155" s="229">
        <f t="shared" si="218"/>
        <v>3</v>
      </c>
      <c r="AI155" s="262">
        <v>15</v>
      </c>
      <c r="AJ155" s="263">
        <v>9.5</v>
      </c>
      <c r="AK155" s="228">
        <f t="shared" si="219"/>
        <v>12.25</v>
      </c>
      <c r="AL155" s="229">
        <f t="shared" si="220"/>
        <v>3</v>
      </c>
      <c r="AM155" s="236">
        <f t="shared" si="221"/>
        <v>12</v>
      </c>
      <c r="AN155" s="237">
        <f t="shared" si="222"/>
        <v>7</v>
      </c>
      <c r="AO155" s="262">
        <v>10.5</v>
      </c>
      <c r="AP155" s="263">
        <v>3</v>
      </c>
      <c r="AQ155" s="228">
        <f t="shared" si="223"/>
        <v>6.75</v>
      </c>
      <c r="AR155" s="229">
        <f t="shared" si="224"/>
        <v>0</v>
      </c>
      <c r="AS155" s="263">
        <v>15</v>
      </c>
      <c r="AT155" s="234">
        <f t="shared" si="225"/>
        <v>15</v>
      </c>
      <c r="AU155" s="238">
        <f t="shared" si="226"/>
        <v>1</v>
      </c>
      <c r="AV155" s="236">
        <f t="shared" si="227"/>
        <v>10.875</v>
      </c>
      <c r="AW155" s="237">
        <f t="shared" si="228"/>
        <v>5</v>
      </c>
      <c r="AX155" s="263">
        <v>14.75</v>
      </c>
      <c r="AY155" s="263">
        <v>14.75</v>
      </c>
      <c r="AZ155" s="228">
        <f t="shared" si="229"/>
        <v>14.75</v>
      </c>
      <c r="BA155" s="229">
        <f t="shared" si="230"/>
        <v>1</v>
      </c>
      <c r="BB155" s="236">
        <f t="shared" si="231"/>
        <v>14.75</v>
      </c>
      <c r="BC155" s="237">
        <f t="shared" si="232"/>
        <v>1</v>
      </c>
      <c r="BD155" s="239">
        <f t="shared" si="233"/>
        <v>10.84</v>
      </c>
      <c r="BE155" s="240">
        <f t="shared" si="234"/>
        <v>30</v>
      </c>
      <c r="BF155" s="263"/>
      <c r="BG155" s="263"/>
      <c r="BH155" s="264">
        <f t="shared" si="235"/>
        <v>0</v>
      </c>
      <c r="BI155" s="265">
        <f t="shared" si="236"/>
        <v>0</v>
      </c>
      <c r="BJ155" s="263"/>
      <c r="BK155" s="263"/>
      <c r="BL155" s="264">
        <f t="shared" si="237"/>
        <v>0</v>
      </c>
      <c r="BM155" s="265">
        <f t="shared" si="238"/>
        <v>0</v>
      </c>
      <c r="BN155" s="263"/>
      <c r="BO155" s="263"/>
      <c r="BP155" s="264">
        <f t="shared" si="239"/>
        <v>0</v>
      </c>
      <c r="BQ155" s="265">
        <f t="shared" si="240"/>
        <v>0</v>
      </c>
      <c r="BR155" s="266">
        <f t="shared" si="241"/>
        <v>0</v>
      </c>
      <c r="BS155" s="267">
        <f t="shared" si="242"/>
        <v>0</v>
      </c>
      <c r="BT155" s="263"/>
      <c r="BU155" s="263"/>
      <c r="BV155" s="264">
        <f t="shared" si="243"/>
        <v>0</v>
      </c>
      <c r="BW155" s="265">
        <f t="shared" si="244"/>
        <v>0</v>
      </c>
      <c r="BX155" s="263"/>
      <c r="BY155" s="263"/>
      <c r="BZ155" s="264">
        <f t="shared" si="245"/>
        <v>0</v>
      </c>
      <c r="CA155" s="265">
        <f t="shared" si="246"/>
        <v>0</v>
      </c>
      <c r="CB155" s="268">
        <f t="shared" si="247"/>
        <v>0</v>
      </c>
      <c r="CC155" s="267">
        <f t="shared" si="248"/>
        <v>0</v>
      </c>
      <c r="CD155" s="263"/>
      <c r="CE155" s="263"/>
      <c r="CF155" s="264">
        <f t="shared" si="249"/>
        <v>0</v>
      </c>
      <c r="CG155" s="265">
        <f t="shared" si="250"/>
        <v>0</v>
      </c>
      <c r="CH155" s="268">
        <f t="shared" si="251"/>
        <v>0</v>
      </c>
      <c r="CI155" s="267">
        <f t="shared" si="252"/>
        <v>0</v>
      </c>
      <c r="CJ155" s="263"/>
      <c r="CK155" s="269">
        <f t="shared" si="253"/>
        <v>0</v>
      </c>
      <c r="CL155" s="270">
        <f t="shared" si="254"/>
        <v>0</v>
      </c>
      <c r="CM155" s="268">
        <f t="shared" si="255"/>
        <v>0</v>
      </c>
      <c r="CN155" s="267">
        <f t="shared" si="256"/>
        <v>0</v>
      </c>
      <c r="CO155" s="65">
        <f t="shared" si="257"/>
        <v>0</v>
      </c>
      <c r="CP155" s="66">
        <f t="shared" si="258"/>
        <v>0</v>
      </c>
      <c r="CQ155" s="31">
        <f t="shared" si="198"/>
        <v>10.84</v>
      </c>
      <c r="CR155" s="32">
        <f t="shared" si="199"/>
        <v>30</v>
      </c>
      <c r="CS155" s="33">
        <f t="shared" si="200"/>
        <v>0</v>
      </c>
      <c r="CT155" s="34">
        <f t="shared" si="201"/>
        <v>0</v>
      </c>
      <c r="CU155" s="67">
        <f t="shared" si="202"/>
        <v>5.42</v>
      </c>
      <c r="CV155" s="35">
        <f t="shared" si="203"/>
        <v>30</v>
      </c>
      <c r="CW155" s="59">
        <f t="shared" si="204"/>
        <v>30</v>
      </c>
      <c r="CX155" s="43" t="str">
        <f t="shared" si="259"/>
        <v>مؤجل(ة)</v>
      </c>
      <c r="CZ155" s="51"/>
      <c r="DA155" s="46"/>
    </row>
    <row r="156" spans="2:105" ht="27.75" customHeight="1" thickBot="1">
      <c r="B156" s="1">
        <f t="shared" si="260"/>
        <v>18</v>
      </c>
      <c r="C156" s="323" t="s">
        <v>707</v>
      </c>
      <c r="D156" s="249" t="s">
        <v>209</v>
      </c>
      <c r="E156" s="137"/>
      <c r="F156" s="135"/>
      <c r="G156" s="136"/>
      <c r="H156" s="131"/>
      <c r="I156" s="132"/>
      <c r="J156" s="133"/>
      <c r="K156" s="134"/>
      <c r="L156" s="53">
        <f t="shared" si="205"/>
        <v>0</v>
      </c>
      <c r="M156" s="58">
        <f t="shared" si="206"/>
        <v>0</v>
      </c>
      <c r="N156" s="262">
        <v>16</v>
      </c>
      <c r="O156" s="263">
        <v>20</v>
      </c>
      <c r="P156" s="228">
        <f t="shared" si="207"/>
        <v>18</v>
      </c>
      <c r="Q156" s="229">
        <f t="shared" si="208"/>
        <v>5</v>
      </c>
      <c r="R156" s="262">
        <v>10</v>
      </c>
      <c r="S156" s="263">
        <v>4.25</v>
      </c>
      <c r="T156" s="228">
        <f t="shared" si="209"/>
        <v>7.125</v>
      </c>
      <c r="U156" s="229">
        <f t="shared" si="210"/>
        <v>0</v>
      </c>
      <c r="V156" s="262">
        <v>8</v>
      </c>
      <c r="W156" s="263">
        <v>2.25</v>
      </c>
      <c r="X156" s="228">
        <f t="shared" si="211"/>
        <v>5.125</v>
      </c>
      <c r="Y156" s="229">
        <f t="shared" si="212"/>
        <v>0</v>
      </c>
      <c r="Z156" s="232">
        <f t="shared" si="213"/>
        <v>10.083333333333334</v>
      </c>
      <c r="AA156" s="233">
        <f t="shared" si="214"/>
        <v>17</v>
      </c>
      <c r="AB156" s="263">
        <v>6.5</v>
      </c>
      <c r="AC156" s="234">
        <f t="shared" si="215"/>
        <v>6.5</v>
      </c>
      <c r="AD156" s="235">
        <f t="shared" si="216"/>
        <v>0</v>
      </c>
      <c r="AE156" s="262">
        <v>1.5</v>
      </c>
      <c r="AF156" s="263">
        <v>1.5</v>
      </c>
      <c r="AG156" s="228">
        <f t="shared" si="217"/>
        <v>1.5</v>
      </c>
      <c r="AH156" s="229">
        <f t="shared" si="218"/>
        <v>0</v>
      </c>
      <c r="AI156" s="262">
        <v>9</v>
      </c>
      <c r="AJ156" s="263">
        <v>9.5</v>
      </c>
      <c r="AK156" s="228">
        <f t="shared" si="219"/>
        <v>9.25</v>
      </c>
      <c r="AL156" s="229">
        <f t="shared" si="220"/>
        <v>0</v>
      </c>
      <c r="AM156" s="236">
        <f t="shared" si="221"/>
        <v>5.6</v>
      </c>
      <c r="AN156" s="237">
        <f t="shared" si="222"/>
        <v>0</v>
      </c>
      <c r="AO156" s="262">
        <v>10.5</v>
      </c>
      <c r="AP156" s="263">
        <v>5</v>
      </c>
      <c r="AQ156" s="228">
        <f t="shared" si="223"/>
        <v>7.75</v>
      </c>
      <c r="AR156" s="229">
        <f t="shared" si="224"/>
        <v>0</v>
      </c>
      <c r="AS156" s="263">
        <v>7.5</v>
      </c>
      <c r="AT156" s="234">
        <f t="shared" si="225"/>
        <v>7.5</v>
      </c>
      <c r="AU156" s="238">
        <f t="shared" si="226"/>
        <v>0</v>
      </c>
      <c r="AV156" s="236">
        <f t="shared" si="227"/>
        <v>7.625</v>
      </c>
      <c r="AW156" s="237">
        <f t="shared" si="228"/>
        <v>0</v>
      </c>
      <c r="AX156" s="263">
        <v>17</v>
      </c>
      <c r="AY156" s="263">
        <v>12</v>
      </c>
      <c r="AZ156" s="228">
        <f t="shared" si="229"/>
        <v>14.5</v>
      </c>
      <c r="BA156" s="229">
        <f t="shared" si="230"/>
        <v>1</v>
      </c>
      <c r="BB156" s="236">
        <f t="shared" si="231"/>
        <v>14.5</v>
      </c>
      <c r="BC156" s="237">
        <f t="shared" si="232"/>
        <v>1</v>
      </c>
      <c r="BD156" s="239">
        <f t="shared" si="233"/>
        <v>8.4464285714285712</v>
      </c>
      <c r="BE156" s="240">
        <f t="shared" si="234"/>
        <v>18</v>
      </c>
      <c r="BF156" s="263"/>
      <c r="BG156" s="263"/>
      <c r="BH156" s="264">
        <f t="shared" si="235"/>
        <v>0</v>
      </c>
      <c r="BI156" s="265">
        <f t="shared" si="236"/>
        <v>0</v>
      </c>
      <c r="BJ156" s="263"/>
      <c r="BK156" s="263"/>
      <c r="BL156" s="264">
        <f t="shared" si="237"/>
        <v>0</v>
      </c>
      <c r="BM156" s="265">
        <f t="shared" si="238"/>
        <v>0</v>
      </c>
      <c r="BN156" s="263"/>
      <c r="BO156" s="263"/>
      <c r="BP156" s="264">
        <f t="shared" si="239"/>
        <v>0</v>
      </c>
      <c r="BQ156" s="265">
        <f t="shared" si="240"/>
        <v>0</v>
      </c>
      <c r="BR156" s="266">
        <f t="shared" si="241"/>
        <v>0</v>
      </c>
      <c r="BS156" s="267">
        <f t="shared" si="242"/>
        <v>0</v>
      </c>
      <c r="BT156" s="263"/>
      <c r="BU156" s="263"/>
      <c r="BV156" s="264">
        <f t="shared" si="243"/>
        <v>0</v>
      </c>
      <c r="BW156" s="265">
        <f t="shared" si="244"/>
        <v>0</v>
      </c>
      <c r="BX156" s="263"/>
      <c r="BY156" s="263"/>
      <c r="BZ156" s="264">
        <f t="shared" si="245"/>
        <v>0</v>
      </c>
      <c r="CA156" s="265">
        <f t="shared" si="246"/>
        <v>0</v>
      </c>
      <c r="CB156" s="268">
        <f t="shared" si="247"/>
        <v>0</v>
      </c>
      <c r="CC156" s="267">
        <f t="shared" si="248"/>
        <v>0</v>
      </c>
      <c r="CD156" s="263"/>
      <c r="CE156" s="263"/>
      <c r="CF156" s="264">
        <f t="shared" si="249"/>
        <v>0</v>
      </c>
      <c r="CG156" s="265">
        <f t="shared" si="250"/>
        <v>0</v>
      </c>
      <c r="CH156" s="268">
        <f t="shared" si="251"/>
        <v>0</v>
      </c>
      <c r="CI156" s="267">
        <f t="shared" si="252"/>
        <v>0</v>
      </c>
      <c r="CJ156" s="263"/>
      <c r="CK156" s="269">
        <f t="shared" si="253"/>
        <v>0</v>
      </c>
      <c r="CL156" s="270">
        <f t="shared" si="254"/>
        <v>0</v>
      </c>
      <c r="CM156" s="268">
        <f t="shared" si="255"/>
        <v>0</v>
      </c>
      <c r="CN156" s="267">
        <f t="shared" si="256"/>
        <v>0</v>
      </c>
      <c r="CO156" s="65">
        <f t="shared" si="257"/>
        <v>0</v>
      </c>
      <c r="CP156" s="66">
        <f t="shared" si="258"/>
        <v>0</v>
      </c>
      <c r="CQ156" s="31">
        <f t="shared" si="198"/>
        <v>8.4464285714285712</v>
      </c>
      <c r="CR156" s="32">
        <f t="shared" si="199"/>
        <v>18</v>
      </c>
      <c r="CS156" s="33">
        <f t="shared" si="200"/>
        <v>0</v>
      </c>
      <c r="CT156" s="34">
        <f t="shared" si="201"/>
        <v>0</v>
      </c>
      <c r="CU156" s="67">
        <f t="shared" si="202"/>
        <v>4.2232142857142856</v>
      </c>
      <c r="CV156" s="35">
        <f t="shared" si="203"/>
        <v>18</v>
      </c>
      <c r="CW156" s="59">
        <f t="shared" si="204"/>
        <v>18</v>
      </c>
      <c r="CX156" s="43" t="str">
        <f t="shared" si="259"/>
        <v>مؤجل(ة)</v>
      </c>
      <c r="CY156" s="44"/>
      <c r="CZ156" s="50"/>
      <c r="DA156" s="46"/>
    </row>
    <row r="157" spans="2:105" ht="27.75" customHeight="1" thickBot="1">
      <c r="B157" s="1">
        <f t="shared" si="260"/>
        <v>19</v>
      </c>
      <c r="C157" s="323" t="s">
        <v>144</v>
      </c>
      <c r="D157" s="249" t="s">
        <v>119</v>
      </c>
      <c r="E157" s="47" t="s">
        <v>348</v>
      </c>
      <c r="F157" s="135">
        <v>35203</v>
      </c>
      <c r="G157" s="136" t="s">
        <v>746</v>
      </c>
      <c r="H157" s="131">
        <v>9.44</v>
      </c>
      <c r="I157" s="132">
        <v>19</v>
      </c>
      <c r="J157" s="133">
        <v>8.18</v>
      </c>
      <c r="K157" s="134">
        <v>18</v>
      </c>
      <c r="L157" s="53">
        <f t="shared" si="205"/>
        <v>8.8099999999999987</v>
      </c>
      <c r="M157" s="58">
        <f t="shared" si="206"/>
        <v>37</v>
      </c>
      <c r="N157" s="262">
        <v>2</v>
      </c>
      <c r="O157" s="263">
        <v>3</v>
      </c>
      <c r="P157" s="228">
        <f t="shared" si="207"/>
        <v>2.5</v>
      </c>
      <c r="Q157" s="229">
        <f t="shared" si="208"/>
        <v>0</v>
      </c>
      <c r="R157" s="262">
        <v>12</v>
      </c>
      <c r="S157" s="263">
        <v>4.75</v>
      </c>
      <c r="T157" s="228">
        <f t="shared" si="209"/>
        <v>8.375</v>
      </c>
      <c r="U157" s="229">
        <f t="shared" si="210"/>
        <v>0</v>
      </c>
      <c r="V157" s="262">
        <v>3</v>
      </c>
      <c r="W157" s="263">
        <v>4</v>
      </c>
      <c r="X157" s="228">
        <f t="shared" si="211"/>
        <v>3.5</v>
      </c>
      <c r="Y157" s="229">
        <f t="shared" si="212"/>
        <v>0</v>
      </c>
      <c r="Z157" s="232">
        <f t="shared" si="213"/>
        <v>4.791666666666667</v>
      </c>
      <c r="AA157" s="233">
        <f t="shared" si="214"/>
        <v>0</v>
      </c>
      <c r="AB157" s="263">
        <v>15.5</v>
      </c>
      <c r="AC157" s="234">
        <f t="shared" si="215"/>
        <v>15.5</v>
      </c>
      <c r="AD157" s="235">
        <f t="shared" si="216"/>
        <v>1</v>
      </c>
      <c r="AE157" s="262">
        <v>1</v>
      </c>
      <c r="AF157" s="263">
        <v>1</v>
      </c>
      <c r="AG157" s="228">
        <f t="shared" si="217"/>
        <v>1</v>
      </c>
      <c r="AH157" s="229">
        <f t="shared" si="218"/>
        <v>0</v>
      </c>
      <c r="AI157" s="262">
        <v>14</v>
      </c>
      <c r="AJ157" s="263">
        <v>8.75</v>
      </c>
      <c r="AK157" s="228">
        <f t="shared" si="219"/>
        <v>11.375</v>
      </c>
      <c r="AL157" s="229">
        <f t="shared" si="220"/>
        <v>3</v>
      </c>
      <c r="AM157" s="236">
        <f t="shared" si="221"/>
        <v>8.0500000000000007</v>
      </c>
      <c r="AN157" s="237">
        <f t="shared" si="222"/>
        <v>4</v>
      </c>
      <c r="AO157" s="262">
        <v>10.5</v>
      </c>
      <c r="AP157" s="263">
        <v>1</v>
      </c>
      <c r="AQ157" s="228">
        <f t="shared" si="223"/>
        <v>5.75</v>
      </c>
      <c r="AR157" s="229">
        <f t="shared" si="224"/>
        <v>0</v>
      </c>
      <c r="AS157" s="263">
        <v>0</v>
      </c>
      <c r="AT157" s="234">
        <f t="shared" si="225"/>
        <v>0</v>
      </c>
      <c r="AU157" s="238">
        <f t="shared" si="226"/>
        <v>0</v>
      </c>
      <c r="AV157" s="236">
        <f t="shared" si="227"/>
        <v>2.875</v>
      </c>
      <c r="AW157" s="237">
        <f t="shared" si="228"/>
        <v>0</v>
      </c>
      <c r="AX157" s="263">
        <v>12.5</v>
      </c>
      <c r="AY157" s="263">
        <v>11</v>
      </c>
      <c r="AZ157" s="228">
        <f t="shared" si="229"/>
        <v>11.75</v>
      </c>
      <c r="BA157" s="229">
        <f t="shared" si="230"/>
        <v>1</v>
      </c>
      <c r="BB157" s="236">
        <f t="shared" si="231"/>
        <v>11.75</v>
      </c>
      <c r="BC157" s="237">
        <f t="shared" si="232"/>
        <v>1</v>
      </c>
      <c r="BD157" s="239">
        <f t="shared" si="233"/>
        <v>6.1785714285714288</v>
      </c>
      <c r="BE157" s="240">
        <f t="shared" si="234"/>
        <v>5</v>
      </c>
      <c r="BF157" s="263"/>
      <c r="BG157" s="263"/>
      <c r="BH157" s="264">
        <f t="shared" si="235"/>
        <v>0</v>
      </c>
      <c r="BI157" s="265">
        <f t="shared" si="236"/>
        <v>0</v>
      </c>
      <c r="BJ157" s="263"/>
      <c r="BK157" s="263"/>
      <c r="BL157" s="264">
        <f t="shared" si="237"/>
        <v>0</v>
      </c>
      <c r="BM157" s="265">
        <f t="shared" si="238"/>
        <v>0</v>
      </c>
      <c r="BN157" s="263"/>
      <c r="BO157" s="263"/>
      <c r="BP157" s="264">
        <f t="shared" si="239"/>
        <v>0</v>
      </c>
      <c r="BQ157" s="265">
        <f t="shared" si="240"/>
        <v>0</v>
      </c>
      <c r="BR157" s="266">
        <f t="shared" si="241"/>
        <v>0</v>
      </c>
      <c r="BS157" s="267">
        <f t="shared" si="242"/>
        <v>0</v>
      </c>
      <c r="BT157" s="263"/>
      <c r="BU157" s="263"/>
      <c r="BV157" s="264">
        <f t="shared" si="243"/>
        <v>0</v>
      </c>
      <c r="BW157" s="265">
        <f t="shared" si="244"/>
        <v>0</v>
      </c>
      <c r="BX157" s="263"/>
      <c r="BY157" s="263"/>
      <c r="BZ157" s="264">
        <f t="shared" si="245"/>
        <v>0</v>
      </c>
      <c r="CA157" s="265">
        <f t="shared" si="246"/>
        <v>0</v>
      </c>
      <c r="CB157" s="268">
        <f t="shared" si="247"/>
        <v>0</v>
      </c>
      <c r="CC157" s="267">
        <f t="shared" si="248"/>
        <v>0</v>
      </c>
      <c r="CD157" s="263"/>
      <c r="CE157" s="263"/>
      <c r="CF157" s="264">
        <f t="shared" si="249"/>
        <v>0</v>
      </c>
      <c r="CG157" s="265">
        <f t="shared" si="250"/>
        <v>0</v>
      </c>
      <c r="CH157" s="268">
        <f t="shared" si="251"/>
        <v>0</v>
      </c>
      <c r="CI157" s="267">
        <f t="shared" si="252"/>
        <v>0</v>
      </c>
      <c r="CJ157" s="263"/>
      <c r="CK157" s="269">
        <f t="shared" si="253"/>
        <v>0</v>
      </c>
      <c r="CL157" s="270">
        <f t="shared" si="254"/>
        <v>0</v>
      </c>
      <c r="CM157" s="268">
        <f t="shared" si="255"/>
        <v>0</v>
      </c>
      <c r="CN157" s="267">
        <f t="shared" si="256"/>
        <v>0</v>
      </c>
      <c r="CO157" s="65">
        <f t="shared" si="257"/>
        <v>0</v>
      </c>
      <c r="CP157" s="66">
        <f t="shared" si="258"/>
        <v>0</v>
      </c>
      <c r="CQ157" s="31">
        <f t="shared" si="198"/>
        <v>6.1785714285714288</v>
      </c>
      <c r="CR157" s="32">
        <f t="shared" si="199"/>
        <v>5</v>
      </c>
      <c r="CS157" s="33">
        <f t="shared" si="200"/>
        <v>0</v>
      </c>
      <c r="CT157" s="34">
        <f t="shared" si="201"/>
        <v>0</v>
      </c>
      <c r="CU157" s="67">
        <f t="shared" si="202"/>
        <v>3.0892857142857144</v>
      </c>
      <c r="CV157" s="35">
        <f t="shared" si="203"/>
        <v>5</v>
      </c>
      <c r="CW157" s="59">
        <f t="shared" si="204"/>
        <v>42</v>
      </c>
      <c r="CX157" s="43" t="str">
        <f t="shared" si="259"/>
        <v>مؤجل(ة)</v>
      </c>
      <c r="CY157" s="44"/>
      <c r="CZ157" s="50"/>
      <c r="DA157" s="46"/>
    </row>
    <row r="158" spans="2:105" ht="27.75" customHeight="1" thickBot="1">
      <c r="B158" s="1">
        <f t="shared" si="260"/>
        <v>20</v>
      </c>
      <c r="C158" s="324" t="s">
        <v>204</v>
      </c>
      <c r="D158" s="249" t="s">
        <v>708</v>
      </c>
      <c r="E158" s="47" t="s">
        <v>371</v>
      </c>
      <c r="F158" s="135">
        <v>35683</v>
      </c>
      <c r="G158" s="52" t="s">
        <v>746</v>
      </c>
      <c r="H158" s="131"/>
      <c r="I158" s="132"/>
      <c r="J158" s="133"/>
      <c r="K158" s="134"/>
      <c r="L158" s="53">
        <f t="shared" si="205"/>
        <v>0</v>
      </c>
      <c r="M158" s="58">
        <f t="shared" si="206"/>
        <v>0</v>
      </c>
      <c r="N158" s="262">
        <v>11</v>
      </c>
      <c r="O158" s="263">
        <v>11</v>
      </c>
      <c r="P158" s="228">
        <f t="shared" si="207"/>
        <v>11</v>
      </c>
      <c r="Q158" s="229">
        <f t="shared" si="208"/>
        <v>5</v>
      </c>
      <c r="R158" s="262">
        <v>11.5</v>
      </c>
      <c r="S158" s="263">
        <v>11.5</v>
      </c>
      <c r="T158" s="228">
        <f t="shared" si="209"/>
        <v>11.5</v>
      </c>
      <c r="U158" s="229">
        <f t="shared" si="210"/>
        <v>6</v>
      </c>
      <c r="V158" s="262">
        <v>5.5</v>
      </c>
      <c r="W158" s="263">
        <v>3.25</v>
      </c>
      <c r="X158" s="228">
        <f t="shared" si="211"/>
        <v>4.375</v>
      </c>
      <c r="Y158" s="229">
        <f t="shared" si="212"/>
        <v>0</v>
      </c>
      <c r="Z158" s="232">
        <f t="shared" si="213"/>
        <v>8.9583333333333339</v>
      </c>
      <c r="AA158" s="233">
        <f t="shared" si="214"/>
        <v>11</v>
      </c>
      <c r="AB158" s="263">
        <v>4</v>
      </c>
      <c r="AC158" s="234">
        <f t="shared" si="215"/>
        <v>4</v>
      </c>
      <c r="AD158" s="235">
        <f t="shared" si="216"/>
        <v>0</v>
      </c>
      <c r="AE158" s="262">
        <v>0.5</v>
      </c>
      <c r="AF158" s="263">
        <v>0.5</v>
      </c>
      <c r="AG158" s="228">
        <f t="shared" si="217"/>
        <v>0.5</v>
      </c>
      <c r="AH158" s="229">
        <f t="shared" si="218"/>
        <v>0</v>
      </c>
      <c r="AI158" s="262">
        <v>10</v>
      </c>
      <c r="AJ158" s="263">
        <v>4.5</v>
      </c>
      <c r="AK158" s="228">
        <f t="shared" si="219"/>
        <v>7.25</v>
      </c>
      <c r="AL158" s="229">
        <f t="shared" si="220"/>
        <v>0</v>
      </c>
      <c r="AM158" s="236">
        <f t="shared" si="221"/>
        <v>3.9</v>
      </c>
      <c r="AN158" s="237">
        <f t="shared" si="222"/>
        <v>0</v>
      </c>
      <c r="AO158" s="262"/>
      <c r="AP158" s="263">
        <v>1</v>
      </c>
      <c r="AQ158" s="228">
        <f t="shared" si="223"/>
        <v>0.5</v>
      </c>
      <c r="AR158" s="229">
        <f t="shared" si="224"/>
        <v>0</v>
      </c>
      <c r="AS158" s="263">
        <v>2.5</v>
      </c>
      <c r="AT158" s="234">
        <f t="shared" si="225"/>
        <v>2.5</v>
      </c>
      <c r="AU158" s="238">
        <f t="shared" si="226"/>
        <v>0</v>
      </c>
      <c r="AV158" s="236">
        <f t="shared" si="227"/>
        <v>1.5</v>
      </c>
      <c r="AW158" s="237">
        <f t="shared" si="228"/>
        <v>0</v>
      </c>
      <c r="AX158" s="263">
        <v>11.25</v>
      </c>
      <c r="AY158" s="263">
        <v>11.25</v>
      </c>
      <c r="AZ158" s="228">
        <f t="shared" si="229"/>
        <v>11.25</v>
      </c>
      <c r="BA158" s="229">
        <f t="shared" si="230"/>
        <v>1</v>
      </c>
      <c r="BB158" s="236">
        <f t="shared" si="231"/>
        <v>11.25</v>
      </c>
      <c r="BC158" s="237">
        <f t="shared" si="232"/>
        <v>1</v>
      </c>
      <c r="BD158" s="239">
        <f t="shared" si="233"/>
        <v>6.25</v>
      </c>
      <c r="BE158" s="240">
        <f t="shared" si="234"/>
        <v>12</v>
      </c>
      <c r="BF158" s="263"/>
      <c r="BG158" s="263"/>
      <c r="BH158" s="264">
        <f t="shared" si="235"/>
        <v>0</v>
      </c>
      <c r="BI158" s="265">
        <f t="shared" si="236"/>
        <v>0</v>
      </c>
      <c r="BJ158" s="263"/>
      <c r="BK158" s="263"/>
      <c r="BL158" s="264">
        <f t="shared" si="237"/>
        <v>0</v>
      </c>
      <c r="BM158" s="265">
        <f t="shared" si="238"/>
        <v>0</v>
      </c>
      <c r="BN158" s="263"/>
      <c r="BO158" s="263"/>
      <c r="BP158" s="264">
        <f t="shared" si="239"/>
        <v>0</v>
      </c>
      <c r="BQ158" s="265">
        <f t="shared" si="240"/>
        <v>0</v>
      </c>
      <c r="BR158" s="266">
        <f t="shared" si="241"/>
        <v>0</v>
      </c>
      <c r="BS158" s="267">
        <f t="shared" si="242"/>
        <v>0</v>
      </c>
      <c r="BT158" s="263"/>
      <c r="BU158" s="263"/>
      <c r="BV158" s="264">
        <f t="shared" si="243"/>
        <v>0</v>
      </c>
      <c r="BW158" s="265">
        <f t="shared" si="244"/>
        <v>0</v>
      </c>
      <c r="BX158" s="263"/>
      <c r="BY158" s="263"/>
      <c r="BZ158" s="264">
        <f t="shared" si="245"/>
        <v>0</v>
      </c>
      <c r="CA158" s="265">
        <f t="shared" si="246"/>
        <v>0</v>
      </c>
      <c r="CB158" s="268">
        <f t="shared" si="247"/>
        <v>0</v>
      </c>
      <c r="CC158" s="267">
        <f t="shared" si="248"/>
        <v>0</v>
      </c>
      <c r="CD158" s="263"/>
      <c r="CE158" s="263"/>
      <c r="CF158" s="264">
        <f t="shared" si="249"/>
        <v>0</v>
      </c>
      <c r="CG158" s="265">
        <f t="shared" si="250"/>
        <v>0</v>
      </c>
      <c r="CH158" s="268">
        <f t="shared" si="251"/>
        <v>0</v>
      </c>
      <c r="CI158" s="267">
        <f t="shared" si="252"/>
        <v>0</v>
      </c>
      <c r="CJ158" s="263"/>
      <c r="CK158" s="269">
        <f t="shared" si="253"/>
        <v>0</v>
      </c>
      <c r="CL158" s="270">
        <f t="shared" si="254"/>
        <v>0</v>
      </c>
      <c r="CM158" s="268">
        <f t="shared" si="255"/>
        <v>0</v>
      </c>
      <c r="CN158" s="267">
        <f t="shared" si="256"/>
        <v>0</v>
      </c>
      <c r="CO158" s="65">
        <f t="shared" si="257"/>
        <v>0</v>
      </c>
      <c r="CP158" s="66">
        <f t="shared" si="258"/>
        <v>0</v>
      </c>
      <c r="CQ158" s="31">
        <f t="shared" si="198"/>
        <v>6.25</v>
      </c>
      <c r="CR158" s="32">
        <f t="shared" si="199"/>
        <v>12</v>
      </c>
      <c r="CS158" s="33">
        <f t="shared" si="200"/>
        <v>0</v>
      </c>
      <c r="CT158" s="34">
        <f t="shared" si="201"/>
        <v>0</v>
      </c>
      <c r="CU158" s="67">
        <f t="shared" si="202"/>
        <v>3.125</v>
      </c>
      <c r="CV158" s="35">
        <f t="shared" si="203"/>
        <v>12</v>
      </c>
      <c r="CW158" s="59">
        <f t="shared" si="204"/>
        <v>12</v>
      </c>
      <c r="CX158" s="43" t="str">
        <f t="shared" si="259"/>
        <v>مؤجل(ة)</v>
      </c>
      <c r="CY158" s="44"/>
      <c r="CZ158" s="50"/>
      <c r="DA158" s="46"/>
    </row>
    <row r="159" spans="2:105" ht="27.75" customHeight="1" thickBot="1">
      <c r="B159" s="1">
        <f t="shared" si="260"/>
        <v>21</v>
      </c>
      <c r="C159" s="337" t="s">
        <v>709</v>
      </c>
      <c r="D159" s="249" t="s">
        <v>194</v>
      </c>
      <c r="E159" s="45"/>
      <c r="F159" s="135"/>
      <c r="G159" s="136"/>
      <c r="H159" s="131"/>
      <c r="I159" s="132"/>
      <c r="J159" s="133"/>
      <c r="K159" s="134"/>
      <c r="L159" s="53">
        <f t="shared" si="205"/>
        <v>0</v>
      </c>
      <c r="M159" s="58">
        <f t="shared" si="206"/>
        <v>0</v>
      </c>
      <c r="N159" s="262">
        <v>12.5</v>
      </c>
      <c r="O159" s="263">
        <v>8</v>
      </c>
      <c r="P159" s="228">
        <f t="shared" si="207"/>
        <v>10.25</v>
      </c>
      <c r="Q159" s="229">
        <f t="shared" si="208"/>
        <v>5</v>
      </c>
      <c r="R159" s="262">
        <v>12.5</v>
      </c>
      <c r="S159" s="263">
        <v>6.75</v>
      </c>
      <c r="T159" s="228">
        <f t="shared" si="209"/>
        <v>9.625</v>
      </c>
      <c r="U159" s="229">
        <f t="shared" si="210"/>
        <v>0</v>
      </c>
      <c r="V159" s="262">
        <v>8</v>
      </c>
      <c r="W159" s="263">
        <v>1</v>
      </c>
      <c r="X159" s="228">
        <f t="shared" si="211"/>
        <v>4.5</v>
      </c>
      <c r="Y159" s="229">
        <f t="shared" si="212"/>
        <v>0</v>
      </c>
      <c r="Z159" s="232">
        <f t="shared" si="213"/>
        <v>8.125</v>
      </c>
      <c r="AA159" s="233">
        <f t="shared" si="214"/>
        <v>5</v>
      </c>
      <c r="AB159" s="263">
        <v>5.5</v>
      </c>
      <c r="AC159" s="234">
        <f t="shared" si="215"/>
        <v>5.5</v>
      </c>
      <c r="AD159" s="235">
        <f t="shared" si="216"/>
        <v>0</v>
      </c>
      <c r="AE159" s="262">
        <v>1</v>
      </c>
      <c r="AF159" s="263">
        <v>1</v>
      </c>
      <c r="AG159" s="228">
        <f t="shared" si="217"/>
        <v>1</v>
      </c>
      <c r="AH159" s="229">
        <f t="shared" si="218"/>
        <v>0</v>
      </c>
      <c r="AI159" s="262">
        <v>8</v>
      </c>
      <c r="AJ159" s="263">
        <v>0.5</v>
      </c>
      <c r="AK159" s="228">
        <f t="shared" si="219"/>
        <v>4.25</v>
      </c>
      <c r="AL159" s="229">
        <f t="shared" si="220"/>
        <v>0</v>
      </c>
      <c r="AM159" s="236">
        <f t="shared" si="221"/>
        <v>3.2</v>
      </c>
      <c r="AN159" s="237">
        <f t="shared" si="222"/>
        <v>0</v>
      </c>
      <c r="AO159" s="262">
        <v>10.5</v>
      </c>
      <c r="AP159" s="263">
        <v>3</v>
      </c>
      <c r="AQ159" s="228">
        <f t="shared" si="223"/>
        <v>6.75</v>
      </c>
      <c r="AR159" s="229">
        <f t="shared" si="224"/>
        <v>0</v>
      </c>
      <c r="AS159" s="263">
        <v>7</v>
      </c>
      <c r="AT159" s="234">
        <f t="shared" si="225"/>
        <v>7</v>
      </c>
      <c r="AU159" s="238">
        <f t="shared" si="226"/>
        <v>0</v>
      </c>
      <c r="AV159" s="236">
        <f t="shared" si="227"/>
        <v>6.875</v>
      </c>
      <c r="AW159" s="237">
        <f t="shared" si="228"/>
        <v>0</v>
      </c>
      <c r="AX159" s="263">
        <v>13.5</v>
      </c>
      <c r="AY159" s="263">
        <v>5.5</v>
      </c>
      <c r="AZ159" s="228">
        <f t="shared" si="229"/>
        <v>9.5</v>
      </c>
      <c r="BA159" s="229">
        <f t="shared" si="230"/>
        <v>0</v>
      </c>
      <c r="BB159" s="236">
        <f t="shared" si="231"/>
        <v>9.5</v>
      </c>
      <c r="BC159" s="237">
        <f t="shared" si="232"/>
        <v>0</v>
      </c>
      <c r="BD159" s="239">
        <f t="shared" si="233"/>
        <v>6.2857142857142856</v>
      </c>
      <c r="BE159" s="240">
        <f t="shared" si="234"/>
        <v>5</v>
      </c>
      <c r="BF159" s="263"/>
      <c r="BG159" s="263"/>
      <c r="BH159" s="264">
        <f t="shared" si="235"/>
        <v>0</v>
      </c>
      <c r="BI159" s="265">
        <f t="shared" si="236"/>
        <v>0</v>
      </c>
      <c r="BJ159" s="263"/>
      <c r="BK159" s="263"/>
      <c r="BL159" s="264">
        <f t="shared" si="237"/>
        <v>0</v>
      </c>
      <c r="BM159" s="265">
        <f t="shared" si="238"/>
        <v>0</v>
      </c>
      <c r="BN159" s="263"/>
      <c r="BO159" s="263"/>
      <c r="BP159" s="264">
        <f t="shared" si="239"/>
        <v>0</v>
      </c>
      <c r="BQ159" s="265">
        <f t="shared" si="240"/>
        <v>0</v>
      </c>
      <c r="BR159" s="266">
        <f t="shared" si="241"/>
        <v>0</v>
      </c>
      <c r="BS159" s="267">
        <f t="shared" si="242"/>
        <v>0</v>
      </c>
      <c r="BT159" s="263"/>
      <c r="BU159" s="263"/>
      <c r="BV159" s="264">
        <f t="shared" si="243"/>
        <v>0</v>
      </c>
      <c r="BW159" s="265">
        <f t="shared" si="244"/>
        <v>0</v>
      </c>
      <c r="BX159" s="263"/>
      <c r="BY159" s="263"/>
      <c r="BZ159" s="264">
        <f t="shared" si="245"/>
        <v>0</v>
      </c>
      <c r="CA159" s="265">
        <f t="shared" si="246"/>
        <v>0</v>
      </c>
      <c r="CB159" s="268">
        <f t="shared" si="247"/>
        <v>0</v>
      </c>
      <c r="CC159" s="267">
        <f t="shared" si="248"/>
        <v>0</v>
      </c>
      <c r="CD159" s="263"/>
      <c r="CE159" s="263"/>
      <c r="CF159" s="264">
        <f t="shared" si="249"/>
        <v>0</v>
      </c>
      <c r="CG159" s="265">
        <f t="shared" si="250"/>
        <v>0</v>
      </c>
      <c r="CH159" s="268">
        <f t="shared" si="251"/>
        <v>0</v>
      </c>
      <c r="CI159" s="267">
        <f t="shared" si="252"/>
        <v>0</v>
      </c>
      <c r="CJ159" s="263"/>
      <c r="CK159" s="269">
        <f t="shared" si="253"/>
        <v>0</v>
      </c>
      <c r="CL159" s="270">
        <f t="shared" si="254"/>
        <v>0</v>
      </c>
      <c r="CM159" s="268">
        <f t="shared" si="255"/>
        <v>0</v>
      </c>
      <c r="CN159" s="267">
        <f t="shared" si="256"/>
        <v>0</v>
      </c>
      <c r="CO159" s="65">
        <f t="shared" si="257"/>
        <v>0</v>
      </c>
      <c r="CP159" s="66">
        <f t="shared" si="258"/>
        <v>0</v>
      </c>
      <c r="CQ159" s="31">
        <f t="shared" si="198"/>
        <v>6.2857142857142856</v>
      </c>
      <c r="CR159" s="32">
        <f t="shared" si="199"/>
        <v>5</v>
      </c>
      <c r="CS159" s="33">
        <f t="shared" si="200"/>
        <v>0</v>
      </c>
      <c r="CT159" s="34">
        <f t="shared" si="201"/>
        <v>0</v>
      </c>
      <c r="CU159" s="67">
        <f t="shared" si="202"/>
        <v>3.1428571428571428</v>
      </c>
      <c r="CV159" s="35">
        <f t="shared" si="203"/>
        <v>5</v>
      </c>
      <c r="CW159" s="59">
        <f t="shared" si="204"/>
        <v>5</v>
      </c>
      <c r="CX159" s="43" t="str">
        <f t="shared" si="259"/>
        <v>مؤجل(ة)</v>
      </c>
      <c r="CY159" s="44"/>
      <c r="CZ159" s="50"/>
      <c r="DA159" s="46"/>
    </row>
    <row r="160" spans="2:105" ht="27.75" customHeight="1" thickBot="1">
      <c r="B160" s="1">
        <f t="shared" si="260"/>
        <v>22</v>
      </c>
      <c r="C160" s="324" t="s">
        <v>272</v>
      </c>
      <c r="D160" s="249" t="s">
        <v>710</v>
      </c>
      <c r="E160" s="47"/>
      <c r="F160" s="135"/>
      <c r="G160" s="136"/>
      <c r="H160" s="131"/>
      <c r="I160" s="132"/>
      <c r="J160" s="133"/>
      <c r="K160" s="134"/>
      <c r="L160" s="53">
        <f t="shared" si="205"/>
        <v>0</v>
      </c>
      <c r="M160" s="58">
        <f t="shared" si="206"/>
        <v>0</v>
      </c>
      <c r="N160" s="262">
        <v>15</v>
      </c>
      <c r="O160" s="263">
        <v>5.25</v>
      </c>
      <c r="P160" s="228">
        <f t="shared" si="207"/>
        <v>10.125</v>
      </c>
      <c r="Q160" s="229">
        <f t="shared" si="208"/>
        <v>5</v>
      </c>
      <c r="R160" s="262">
        <v>12.5</v>
      </c>
      <c r="S160" s="263">
        <v>4.5</v>
      </c>
      <c r="T160" s="228">
        <f t="shared" si="209"/>
        <v>8.5</v>
      </c>
      <c r="U160" s="229">
        <f t="shared" si="210"/>
        <v>0</v>
      </c>
      <c r="V160" s="262">
        <v>8</v>
      </c>
      <c r="W160" s="263">
        <v>1.5</v>
      </c>
      <c r="X160" s="228">
        <f t="shared" si="211"/>
        <v>4.75</v>
      </c>
      <c r="Y160" s="229">
        <f t="shared" si="212"/>
        <v>0</v>
      </c>
      <c r="Z160" s="232">
        <f t="shared" si="213"/>
        <v>7.791666666666667</v>
      </c>
      <c r="AA160" s="233">
        <f t="shared" si="214"/>
        <v>5</v>
      </c>
      <c r="AB160" s="263">
        <v>6</v>
      </c>
      <c r="AC160" s="234">
        <f t="shared" si="215"/>
        <v>6</v>
      </c>
      <c r="AD160" s="235">
        <f t="shared" si="216"/>
        <v>0</v>
      </c>
      <c r="AE160" s="262">
        <v>5.5</v>
      </c>
      <c r="AF160" s="263">
        <v>5.5</v>
      </c>
      <c r="AG160" s="228">
        <f t="shared" si="217"/>
        <v>5.5</v>
      </c>
      <c r="AH160" s="229">
        <f t="shared" si="218"/>
        <v>0</v>
      </c>
      <c r="AI160" s="262">
        <v>8</v>
      </c>
      <c r="AJ160" s="263">
        <v>0.5</v>
      </c>
      <c r="AK160" s="228">
        <f t="shared" si="219"/>
        <v>4.25</v>
      </c>
      <c r="AL160" s="229">
        <f t="shared" si="220"/>
        <v>0</v>
      </c>
      <c r="AM160" s="236">
        <f t="shared" si="221"/>
        <v>5.0999999999999996</v>
      </c>
      <c r="AN160" s="237">
        <f t="shared" si="222"/>
        <v>0</v>
      </c>
      <c r="AO160" s="262">
        <v>10.5</v>
      </c>
      <c r="AP160" s="263">
        <v>3</v>
      </c>
      <c r="AQ160" s="228">
        <f t="shared" si="223"/>
        <v>6.75</v>
      </c>
      <c r="AR160" s="229">
        <f t="shared" si="224"/>
        <v>0</v>
      </c>
      <c r="AS160" s="263">
        <v>8</v>
      </c>
      <c r="AT160" s="234">
        <f t="shared" si="225"/>
        <v>8</v>
      </c>
      <c r="AU160" s="238">
        <f t="shared" si="226"/>
        <v>0</v>
      </c>
      <c r="AV160" s="236">
        <f t="shared" si="227"/>
        <v>7.375</v>
      </c>
      <c r="AW160" s="237">
        <f t="shared" si="228"/>
        <v>0</v>
      </c>
      <c r="AX160" s="263">
        <v>13</v>
      </c>
      <c r="AY160" s="263">
        <v>12</v>
      </c>
      <c r="AZ160" s="228">
        <f t="shared" si="229"/>
        <v>12.5</v>
      </c>
      <c r="BA160" s="229">
        <f t="shared" si="230"/>
        <v>1</v>
      </c>
      <c r="BB160" s="236">
        <f t="shared" si="231"/>
        <v>12.5</v>
      </c>
      <c r="BC160" s="237">
        <f t="shared" si="232"/>
        <v>1</v>
      </c>
      <c r="BD160" s="239">
        <f t="shared" si="233"/>
        <v>7.1071428571428568</v>
      </c>
      <c r="BE160" s="240">
        <f t="shared" si="234"/>
        <v>6</v>
      </c>
      <c r="BF160" s="263"/>
      <c r="BG160" s="263"/>
      <c r="BH160" s="264">
        <f t="shared" si="235"/>
        <v>0</v>
      </c>
      <c r="BI160" s="265">
        <f t="shared" si="236"/>
        <v>0</v>
      </c>
      <c r="BJ160" s="263"/>
      <c r="BK160" s="263"/>
      <c r="BL160" s="264">
        <f t="shared" si="237"/>
        <v>0</v>
      </c>
      <c r="BM160" s="265">
        <f t="shared" si="238"/>
        <v>0</v>
      </c>
      <c r="BN160" s="263"/>
      <c r="BO160" s="263"/>
      <c r="BP160" s="264">
        <f t="shared" si="239"/>
        <v>0</v>
      </c>
      <c r="BQ160" s="265">
        <f t="shared" si="240"/>
        <v>0</v>
      </c>
      <c r="BR160" s="266">
        <f t="shared" si="241"/>
        <v>0</v>
      </c>
      <c r="BS160" s="267">
        <f t="shared" si="242"/>
        <v>0</v>
      </c>
      <c r="BT160" s="263"/>
      <c r="BU160" s="263"/>
      <c r="BV160" s="264">
        <f t="shared" si="243"/>
        <v>0</v>
      </c>
      <c r="BW160" s="265">
        <f t="shared" si="244"/>
        <v>0</v>
      </c>
      <c r="BX160" s="263"/>
      <c r="BY160" s="263"/>
      <c r="BZ160" s="264">
        <f t="shared" si="245"/>
        <v>0</v>
      </c>
      <c r="CA160" s="265">
        <f t="shared" si="246"/>
        <v>0</v>
      </c>
      <c r="CB160" s="268">
        <f t="shared" si="247"/>
        <v>0</v>
      </c>
      <c r="CC160" s="267">
        <f t="shared" si="248"/>
        <v>0</v>
      </c>
      <c r="CD160" s="263"/>
      <c r="CE160" s="263"/>
      <c r="CF160" s="264">
        <f t="shared" si="249"/>
        <v>0</v>
      </c>
      <c r="CG160" s="265">
        <f t="shared" si="250"/>
        <v>0</v>
      </c>
      <c r="CH160" s="268">
        <f t="shared" si="251"/>
        <v>0</v>
      </c>
      <c r="CI160" s="267">
        <f t="shared" si="252"/>
        <v>0</v>
      </c>
      <c r="CJ160" s="263"/>
      <c r="CK160" s="269">
        <f t="shared" si="253"/>
        <v>0</v>
      </c>
      <c r="CL160" s="270">
        <f t="shared" si="254"/>
        <v>0</v>
      </c>
      <c r="CM160" s="268">
        <f t="shared" si="255"/>
        <v>0</v>
      </c>
      <c r="CN160" s="267">
        <f t="shared" si="256"/>
        <v>0</v>
      </c>
      <c r="CO160" s="65">
        <f t="shared" si="257"/>
        <v>0</v>
      </c>
      <c r="CP160" s="66">
        <f t="shared" si="258"/>
        <v>0</v>
      </c>
      <c r="CQ160" s="31">
        <f t="shared" si="198"/>
        <v>7.1071428571428568</v>
      </c>
      <c r="CR160" s="32">
        <f t="shared" si="199"/>
        <v>6</v>
      </c>
      <c r="CS160" s="33">
        <f t="shared" si="200"/>
        <v>0</v>
      </c>
      <c r="CT160" s="34">
        <f t="shared" si="201"/>
        <v>0</v>
      </c>
      <c r="CU160" s="67">
        <f t="shared" si="202"/>
        <v>3.5535714285714284</v>
      </c>
      <c r="CV160" s="35">
        <f t="shared" si="203"/>
        <v>6</v>
      </c>
      <c r="CW160" s="59">
        <f t="shared" si="204"/>
        <v>6</v>
      </c>
      <c r="CX160" s="43" t="str">
        <f t="shared" si="259"/>
        <v>مؤجل(ة)</v>
      </c>
      <c r="CY160" s="44"/>
      <c r="CZ160" s="50"/>
      <c r="DA160" s="46"/>
    </row>
    <row r="161" spans="2:105" ht="27.75" customHeight="1" thickBot="1">
      <c r="B161" s="1">
        <f t="shared" si="260"/>
        <v>23</v>
      </c>
      <c r="C161" s="324" t="s">
        <v>711</v>
      </c>
      <c r="D161" s="249" t="s">
        <v>712</v>
      </c>
      <c r="E161" s="47"/>
      <c r="F161" s="135"/>
      <c r="G161" s="136"/>
      <c r="H161" s="131"/>
      <c r="I161" s="132"/>
      <c r="J161" s="133"/>
      <c r="K161" s="134"/>
      <c r="L161" s="53">
        <f t="shared" si="205"/>
        <v>0</v>
      </c>
      <c r="M161" s="58">
        <f t="shared" si="206"/>
        <v>0</v>
      </c>
      <c r="N161" s="262"/>
      <c r="O161" s="263"/>
      <c r="P161" s="228">
        <f t="shared" si="207"/>
        <v>0</v>
      </c>
      <c r="Q161" s="229">
        <f t="shared" si="208"/>
        <v>0</v>
      </c>
      <c r="R161" s="262"/>
      <c r="S161" s="263"/>
      <c r="T161" s="228">
        <f t="shared" si="209"/>
        <v>0</v>
      </c>
      <c r="U161" s="229">
        <f t="shared" si="210"/>
        <v>0</v>
      </c>
      <c r="V161" s="262"/>
      <c r="W161" s="263"/>
      <c r="X161" s="228">
        <f t="shared" si="211"/>
        <v>0</v>
      </c>
      <c r="Y161" s="229">
        <f t="shared" si="212"/>
        <v>0</v>
      </c>
      <c r="Z161" s="232">
        <f t="shared" si="213"/>
        <v>0</v>
      </c>
      <c r="AA161" s="233">
        <f t="shared" si="214"/>
        <v>0</v>
      </c>
      <c r="AB161" s="263"/>
      <c r="AC161" s="234">
        <f t="shared" si="215"/>
        <v>0</v>
      </c>
      <c r="AD161" s="235">
        <f t="shared" si="216"/>
        <v>0</v>
      </c>
      <c r="AE161" s="262"/>
      <c r="AF161" s="263"/>
      <c r="AG161" s="228">
        <f t="shared" si="217"/>
        <v>0</v>
      </c>
      <c r="AH161" s="229">
        <f t="shared" si="218"/>
        <v>0</v>
      </c>
      <c r="AI161" s="262"/>
      <c r="AJ161" s="263"/>
      <c r="AK161" s="228">
        <f t="shared" si="219"/>
        <v>0</v>
      </c>
      <c r="AL161" s="229">
        <f t="shared" si="220"/>
        <v>0</v>
      </c>
      <c r="AM161" s="236">
        <f t="shared" si="221"/>
        <v>0</v>
      </c>
      <c r="AN161" s="237">
        <f t="shared" si="222"/>
        <v>0</v>
      </c>
      <c r="AO161" s="262"/>
      <c r="AP161" s="263"/>
      <c r="AQ161" s="228">
        <f t="shared" si="223"/>
        <v>0</v>
      </c>
      <c r="AR161" s="229">
        <f t="shared" si="224"/>
        <v>0</v>
      </c>
      <c r="AS161" s="263"/>
      <c r="AT161" s="234">
        <f t="shared" si="225"/>
        <v>0</v>
      </c>
      <c r="AU161" s="238">
        <f t="shared" si="226"/>
        <v>0</v>
      </c>
      <c r="AV161" s="236">
        <f t="shared" si="227"/>
        <v>0</v>
      </c>
      <c r="AW161" s="237">
        <f t="shared" si="228"/>
        <v>0</v>
      </c>
      <c r="AX161" s="263"/>
      <c r="AY161" s="263"/>
      <c r="AZ161" s="228">
        <f t="shared" si="229"/>
        <v>0</v>
      </c>
      <c r="BA161" s="229">
        <f t="shared" si="230"/>
        <v>0</v>
      </c>
      <c r="BB161" s="236">
        <f t="shared" si="231"/>
        <v>0</v>
      </c>
      <c r="BC161" s="237">
        <f t="shared" si="232"/>
        <v>0</v>
      </c>
      <c r="BD161" s="239">
        <f t="shared" si="233"/>
        <v>0</v>
      </c>
      <c r="BE161" s="240">
        <f t="shared" si="234"/>
        <v>0</v>
      </c>
      <c r="BF161" s="263"/>
      <c r="BG161" s="263"/>
      <c r="BH161" s="264">
        <f t="shared" si="235"/>
        <v>0</v>
      </c>
      <c r="BI161" s="265">
        <f t="shared" si="236"/>
        <v>0</v>
      </c>
      <c r="BJ161" s="263"/>
      <c r="BK161" s="263"/>
      <c r="BL161" s="264">
        <f t="shared" si="237"/>
        <v>0</v>
      </c>
      <c r="BM161" s="265">
        <f t="shared" si="238"/>
        <v>0</v>
      </c>
      <c r="BN161" s="263"/>
      <c r="BO161" s="263"/>
      <c r="BP161" s="264">
        <f t="shared" si="239"/>
        <v>0</v>
      </c>
      <c r="BQ161" s="265">
        <f t="shared" si="240"/>
        <v>0</v>
      </c>
      <c r="BR161" s="266">
        <f t="shared" si="241"/>
        <v>0</v>
      </c>
      <c r="BS161" s="267">
        <f t="shared" si="242"/>
        <v>0</v>
      </c>
      <c r="BT161" s="263"/>
      <c r="BU161" s="263"/>
      <c r="BV161" s="264">
        <f t="shared" si="243"/>
        <v>0</v>
      </c>
      <c r="BW161" s="265">
        <f t="shared" si="244"/>
        <v>0</v>
      </c>
      <c r="BX161" s="263"/>
      <c r="BY161" s="263"/>
      <c r="BZ161" s="264">
        <f t="shared" si="245"/>
        <v>0</v>
      </c>
      <c r="CA161" s="265">
        <f t="shared" si="246"/>
        <v>0</v>
      </c>
      <c r="CB161" s="268">
        <f t="shared" si="247"/>
        <v>0</v>
      </c>
      <c r="CC161" s="267">
        <f t="shared" si="248"/>
        <v>0</v>
      </c>
      <c r="CD161" s="263"/>
      <c r="CE161" s="263"/>
      <c r="CF161" s="264">
        <f t="shared" si="249"/>
        <v>0</v>
      </c>
      <c r="CG161" s="265">
        <f t="shared" si="250"/>
        <v>0</v>
      </c>
      <c r="CH161" s="268">
        <f t="shared" si="251"/>
        <v>0</v>
      </c>
      <c r="CI161" s="267">
        <f t="shared" si="252"/>
        <v>0</v>
      </c>
      <c r="CJ161" s="263"/>
      <c r="CK161" s="269">
        <f t="shared" si="253"/>
        <v>0</v>
      </c>
      <c r="CL161" s="270">
        <f t="shared" si="254"/>
        <v>0</v>
      </c>
      <c r="CM161" s="268">
        <f t="shared" si="255"/>
        <v>0</v>
      </c>
      <c r="CN161" s="267">
        <f t="shared" si="256"/>
        <v>0</v>
      </c>
      <c r="CO161" s="65">
        <f t="shared" si="257"/>
        <v>0</v>
      </c>
      <c r="CP161" s="66">
        <f t="shared" si="258"/>
        <v>0</v>
      </c>
      <c r="CQ161" s="31">
        <f t="shared" si="198"/>
        <v>0</v>
      </c>
      <c r="CR161" s="32">
        <f t="shared" si="199"/>
        <v>0</v>
      </c>
      <c r="CS161" s="33">
        <f t="shared" si="200"/>
        <v>0</v>
      </c>
      <c r="CT161" s="34">
        <f t="shared" si="201"/>
        <v>0</v>
      </c>
      <c r="CU161" s="67">
        <f t="shared" si="202"/>
        <v>0</v>
      </c>
      <c r="CV161" s="35">
        <f t="shared" si="203"/>
        <v>0</v>
      </c>
      <c r="CW161" s="59">
        <f t="shared" si="204"/>
        <v>0</v>
      </c>
      <c r="CX161" s="43" t="str">
        <f t="shared" si="259"/>
        <v>مؤجل(ة)</v>
      </c>
      <c r="CY161" s="44"/>
      <c r="CZ161" s="50"/>
      <c r="DA161" s="46"/>
    </row>
    <row r="162" spans="2:105" ht="27.75" customHeight="1" thickBot="1">
      <c r="B162" s="1">
        <f t="shared" si="260"/>
        <v>24</v>
      </c>
      <c r="C162" s="324" t="s">
        <v>276</v>
      </c>
      <c r="D162" s="249" t="s">
        <v>713</v>
      </c>
      <c r="E162" s="47" t="s">
        <v>454</v>
      </c>
      <c r="F162" s="135">
        <v>34207</v>
      </c>
      <c r="G162" s="136" t="s">
        <v>110</v>
      </c>
      <c r="H162" s="131"/>
      <c r="I162" s="132"/>
      <c r="J162" s="133"/>
      <c r="K162" s="134"/>
      <c r="L162" s="53">
        <f t="shared" si="205"/>
        <v>0</v>
      </c>
      <c r="M162" s="58">
        <f t="shared" si="206"/>
        <v>0</v>
      </c>
      <c r="N162" s="262">
        <v>10.5</v>
      </c>
      <c r="O162" s="263">
        <v>10.5</v>
      </c>
      <c r="P162" s="228">
        <f t="shared" si="207"/>
        <v>10.5</v>
      </c>
      <c r="Q162" s="229">
        <f t="shared" si="208"/>
        <v>5</v>
      </c>
      <c r="R162" s="262">
        <v>10</v>
      </c>
      <c r="S162" s="263">
        <v>10</v>
      </c>
      <c r="T162" s="228">
        <f t="shared" si="209"/>
        <v>10</v>
      </c>
      <c r="U162" s="229">
        <f t="shared" si="210"/>
        <v>6</v>
      </c>
      <c r="V162" s="262">
        <v>10</v>
      </c>
      <c r="W162" s="263">
        <v>10</v>
      </c>
      <c r="X162" s="228">
        <f t="shared" si="211"/>
        <v>10</v>
      </c>
      <c r="Y162" s="229">
        <f t="shared" si="212"/>
        <v>6</v>
      </c>
      <c r="Z162" s="232">
        <f t="shared" si="213"/>
        <v>10.166666666666666</v>
      </c>
      <c r="AA162" s="233">
        <f t="shared" si="214"/>
        <v>17</v>
      </c>
      <c r="AB162" s="263">
        <v>12</v>
      </c>
      <c r="AC162" s="234">
        <f t="shared" si="215"/>
        <v>12</v>
      </c>
      <c r="AD162" s="235">
        <f t="shared" si="216"/>
        <v>1</v>
      </c>
      <c r="AE162" s="262">
        <v>5</v>
      </c>
      <c r="AF162" s="263">
        <v>5</v>
      </c>
      <c r="AG162" s="228">
        <f t="shared" si="217"/>
        <v>5</v>
      </c>
      <c r="AH162" s="229">
        <f t="shared" si="218"/>
        <v>0</v>
      </c>
      <c r="AI162" s="262">
        <v>8</v>
      </c>
      <c r="AJ162" s="263">
        <v>1.5</v>
      </c>
      <c r="AK162" s="228">
        <f t="shared" si="219"/>
        <v>4.75</v>
      </c>
      <c r="AL162" s="229">
        <f t="shared" si="220"/>
        <v>0</v>
      </c>
      <c r="AM162" s="236">
        <f t="shared" si="221"/>
        <v>6.3</v>
      </c>
      <c r="AN162" s="237">
        <f t="shared" si="222"/>
        <v>1</v>
      </c>
      <c r="AO162" s="262">
        <v>11</v>
      </c>
      <c r="AP162" s="263">
        <v>11</v>
      </c>
      <c r="AQ162" s="228">
        <f t="shared" si="223"/>
        <v>11</v>
      </c>
      <c r="AR162" s="229">
        <f t="shared" si="224"/>
        <v>4</v>
      </c>
      <c r="AS162" s="263">
        <v>9</v>
      </c>
      <c r="AT162" s="234">
        <f t="shared" si="225"/>
        <v>9</v>
      </c>
      <c r="AU162" s="238">
        <f t="shared" si="226"/>
        <v>0</v>
      </c>
      <c r="AV162" s="236">
        <f t="shared" si="227"/>
        <v>10</v>
      </c>
      <c r="AW162" s="237">
        <f t="shared" si="228"/>
        <v>5</v>
      </c>
      <c r="AX162" s="263">
        <v>10</v>
      </c>
      <c r="AY162" s="263">
        <v>10</v>
      </c>
      <c r="AZ162" s="228">
        <f t="shared" si="229"/>
        <v>10</v>
      </c>
      <c r="BA162" s="229">
        <f t="shared" si="230"/>
        <v>1</v>
      </c>
      <c r="BB162" s="236">
        <f t="shared" si="231"/>
        <v>10</v>
      </c>
      <c r="BC162" s="237">
        <f t="shared" si="232"/>
        <v>1</v>
      </c>
      <c r="BD162" s="239">
        <f t="shared" si="233"/>
        <v>8.75</v>
      </c>
      <c r="BE162" s="240">
        <f t="shared" si="234"/>
        <v>24</v>
      </c>
      <c r="BF162" s="263"/>
      <c r="BG162" s="263"/>
      <c r="BH162" s="264">
        <f t="shared" si="235"/>
        <v>0</v>
      </c>
      <c r="BI162" s="265">
        <f t="shared" si="236"/>
        <v>0</v>
      </c>
      <c r="BJ162" s="263"/>
      <c r="BK162" s="263"/>
      <c r="BL162" s="264">
        <f t="shared" si="237"/>
        <v>0</v>
      </c>
      <c r="BM162" s="265">
        <f t="shared" si="238"/>
        <v>0</v>
      </c>
      <c r="BN162" s="263"/>
      <c r="BO162" s="263"/>
      <c r="BP162" s="264">
        <f t="shared" si="239"/>
        <v>0</v>
      </c>
      <c r="BQ162" s="265">
        <f t="shared" si="240"/>
        <v>0</v>
      </c>
      <c r="BR162" s="266">
        <f t="shared" si="241"/>
        <v>0</v>
      </c>
      <c r="BS162" s="267">
        <f t="shared" si="242"/>
        <v>0</v>
      </c>
      <c r="BT162" s="263"/>
      <c r="BU162" s="263"/>
      <c r="BV162" s="264">
        <f t="shared" si="243"/>
        <v>0</v>
      </c>
      <c r="BW162" s="265">
        <f t="shared" si="244"/>
        <v>0</v>
      </c>
      <c r="BX162" s="263"/>
      <c r="BY162" s="263"/>
      <c r="BZ162" s="264">
        <f t="shared" si="245"/>
        <v>0</v>
      </c>
      <c r="CA162" s="265">
        <f t="shared" si="246"/>
        <v>0</v>
      </c>
      <c r="CB162" s="268">
        <f t="shared" si="247"/>
        <v>0</v>
      </c>
      <c r="CC162" s="267">
        <f t="shared" si="248"/>
        <v>0</v>
      </c>
      <c r="CD162" s="263"/>
      <c r="CE162" s="263"/>
      <c r="CF162" s="264">
        <f t="shared" si="249"/>
        <v>0</v>
      </c>
      <c r="CG162" s="265">
        <f t="shared" si="250"/>
        <v>0</v>
      </c>
      <c r="CH162" s="268">
        <f t="shared" si="251"/>
        <v>0</v>
      </c>
      <c r="CI162" s="267">
        <f t="shared" si="252"/>
        <v>0</v>
      </c>
      <c r="CJ162" s="263"/>
      <c r="CK162" s="269">
        <f t="shared" si="253"/>
        <v>0</v>
      </c>
      <c r="CL162" s="270">
        <f t="shared" si="254"/>
        <v>0</v>
      </c>
      <c r="CM162" s="268">
        <f t="shared" si="255"/>
        <v>0</v>
      </c>
      <c r="CN162" s="267">
        <f t="shared" si="256"/>
        <v>0</v>
      </c>
      <c r="CO162" s="65">
        <f t="shared" si="257"/>
        <v>0</v>
      </c>
      <c r="CP162" s="66">
        <f t="shared" si="258"/>
        <v>0</v>
      </c>
      <c r="CQ162" s="31">
        <f t="shared" si="198"/>
        <v>8.75</v>
      </c>
      <c r="CR162" s="32">
        <f t="shared" si="199"/>
        <v>24</v>
      </c>
      <c r="CS162" s="33">
        <f t="shared" si="200"/>
        <v>0</v>
      </c>
      <c r="CT162" s="34">
        <f t="shared" si="201"/>
        <v>0</v>
      </c>
      <c r="CU162" s="67">
        <f t="shared" si="202"/>
        <v>4.375</v>
      </c>
      <c r="CV162" s="35">
        <f t="shared" si="203"/>
        <v>24</v>
      </c>
      <c r="CW162" s="59">
        <f t="shared" si="204"/>
        <v>24</v>
      </c>
      <c r="CX162" s="43" t="str">
        <f t="shared" si="259"/>
        <v>مؤجل(ة)</v>
      </c>
      <c r="CY162" s="44"/>
      <c r="CZ162" s="50"/>
      <c r="DA162" s="46"/>
    </row>
    <row r="163" spans="2:105" ht="27.75" customHeight="1" thickBot="1">
      <c r="B163" s="1">
        <f t="shared" si="260"/>
        <v>25</v>
      </c>
      <c r="C163" s="324" t="s">
        <v>214</v>
      </c>
      <c r="D163" s="249" t="s">
        <v>215</v>
      </c>
      <c r="E163" s="137" t="s">
        <v>374</v>
      </c>
      <c r="F163" s="135">
        <v>35804</v>
      </c>
      <c r="G163" s="136" t="s">
        <v>746</v>
      </c>
      <c r="H163" s="131">
        <v>9.14</v>
      </c>
      <c r="I163" s="132">
        <v>21</v>
      </c>
      <c r="J163" s="133">
        <v>8.27</v>
      </c>
      <c r="K163" s="134">
        <v>11</v>
      </c>
      <c r="L163" s="53">
        <f t="shared" si="205"/>
        <v>8.7050000000000001</v>
      </c>
      <c r="M163" s="58">
        <f t="shared" si="206"/>
        <v>32</v>
      </c>
      <c r="N163" s="262">
        <v>11</v>
      </c>
      <c r="O163" s="263">
        <v>11</v>
      </c>
      <c r="P163" s="228">
        <f t="shared" si="207"/>
        <v>11</v>
      </c>
      <c r="Q163" s="229">
        <f t="shared" si="208"/>
        <v>5</v>
      </c>
      <c r="R163" s="262">
        <v>10</v>
      </c>
      <c r="S163" s="263">
        <v>10</v>
      </c>
      <c r="T163" s="228">
        <f t="shared" si="209"/>
        <v>10</v>
      </c>
      <c r="U163" s="229">
        <f t="shared" si="210"/>
        <v>6</v>
      </c>
      <c r="V163" s="262">
        <v>10</v>
      </c>
      <c r="W163" s="263">
        <v>10</v>
      </c>
      <c r="X163" s="228">
        <f t="shared" si="211"/>
        <v>10</v>
      </c>
      <c r="Y163" s="229">
        <f t="shared" si="212"/>
        <v>6</v>
      </c>
      <c r="Z163" s="232">
        <f t="shared" si="213"/>
        <v>10.333333333333334</v>
      </c>
      <c r="AA163" s="233">
        <f t="shared" si="214"/>
        <v>17</v>
      </c>
      <c r="AB163" s="263">
        <v>7</v>
      </c>
      <c r="AC163" s="234">
        <f t="shared" si="215"/>
        <v>7</v>
      </c>
      <c r="AD163" s="235">
        <f t="shared" si="216"/>
        <v>0</v>
      </c>
      <c r="AE163" s="262">
        <v>3.5</v>
      </c>
      <c r="AF163" s="263">
        <v>3.5</v>
      </c>
      <c r="AG163" s="228">
        <f t="shared" si="217"/>
        <v>3.5</v>
      </c>
      <c r="AH163" s="229">
        <f t="shared" si="218"/>
        <v>0</v>
      </c>
      <c r="AI163" s="262">
        <v>9</v>
      </c>
      <c r="AJ163" s="263">
        <v>1</v>
      </c>
      <c r="AK163" s="228">
        <f t="shared" si="219"/>
        <v>5</v>
      </c>
      <c r="AL163" s="229">
        <f t="shared" si="220"/>
        <v>0</v>
      </c>
      <c r="AM163" s="236">
        <f t="shared" si="221"/>
        <v>4.8</v>
      </c>
      <c r="AN163" s="237">
        <f t="shared" si="222"/>
        <v>0</v>
      </c>
      <c r="AO163" s="262">
        <v>10.5</v>
      </c>
      <c r="AP163" s="263">
        <v>4</v>
      </c>
      <c r="AQ163" s="228">
        <f t="shared" si="223"/>
        <v>7.25</v>
      </c>
      <c r="AR163" s="229">
        <f t="shared" si="224"/>
        <v>0</v>
      </c>
      <c r="AS163" s="263">
        <v>10</v>
      </c>
      <c r="AT163" s="234">
        <f t="shared" si="225"/>
        <v>10</v>
      </c>
      <c r="AU163" s="238">
        <f t="shared" si="226"/>
        <v>1</v>
      </c>
      <c r="AV163" s="236">
        <f t="shared" si="227"/>
        <v>8.625</v>
      </c>
      <c r="AW163" s="237">
        <f t="shared" si="228"/>
        <v>1</v>
      </c>
      <c r="AX163" s="263">
        <v>11.13</v>
      </c>
      <c r="AY163" s="263">
        <v>11.13</v>
      </c>
      <c r="AZ163" s="228">
        <f t="shared" si="229"/>
        <v>11.13</v>
      </c>
      <c r="BA163" s="229">
        <f t="shared" si="230"/>
        <v>1</v>
      </c>
      <c r="BB163" s="236">
        <f t="shared" si="231"/>
        <v>11.13</v>
      </c>
      <c r="BC163" s="237">
        <f t="shared" si="232"/>
        <v>1</v>
      </c>
      <c r="BD163" s="239">
        <f t="shared" si="233"/>
        <v>8.17</v>
      </c>
      <c r="BE163" s="240">
        <f t="shared" si="234"/>
        <v>19</v>
      </c>
      <c r="BF163" s="263"/>
      <c r="BG163" s="263"/>
      <c r="BH163" s="264">
        <f t="shared" si="235"/>
        <v>0</v>
      </c>
      <c r="BI163" s="265">
        <f t="shared" si="236"/>
        <v>0</v>
      </c>
      <c r="BJ163" s="263"/>
      <c r="BK163" s="263"/>
      <c r="BL163" s="264">
        <f t="shared" si="237"/>
        <v>0</v>
      </c>
      <c r="BM163" s="265">
        <f t="shared" si="238"/>
        <v>0</v>
      </c>
      <c r="BN163" s="263"/>
      <c r="BO163" s="263"/>
      <c r="BP163" s="264">
        <f t="shared" si="239"/>
        <v>0</v>
      </c>
      <c r="BQ163" s="265">
        <f t="shared" si="240"/>
        <v>0</v>
      </c>
      <c r="BR163" s="266">
        <f t="shared" si="241"/>
        <v>0</v>
      </c>
      <c r="BS163" s="267">
        <f t="shared" si="242"/>
        <v>0</v>
      </c>
      <c r="BT163" s="263"/>
      <c r="BU163" s="263"/>
      <c r="BV163" s="264">
        <f t="shared" si="243"/>
        <v>0</v>
      </c>
      <c r="BW163" s="265">
        <f t="shared" si="244"/>
        <v>0</v>
      </c>
      <c r="BX163" s="263"/>
      <c r="BY163" s="263"/>
      <c r="BZ163" s="264">
        <f t="shared" si="245"/>
        <v>0</v>
      </c>
      <c r="CA163" s="265">
        <f t="shared" si="246"/>
        <v>0</v>
      </c>
      <c r="CB163" s="268">
        <f t="shared" si="247"/>
        <v>0</v>
      </c>
      <c r="CC163" s="267">
        <f t="shared" si="248"/>
        <v>0</v>
      </c>
      <c r="CD163" s="263"/>
      <c r="CE163" s="263"/>
      <c r="CF163" s="264">
        <f t="shared" si="249"/>
        <v>0</v>
      </c>
      <c r="CG163" s="265">
        <f t="shared" si="250"/>
        <v>0</v>
      </c>
      <c r="CH163" s="268">
        <f t="shared" si="251"/>
        <v>0</v>
      </c>
      <c r="CI163" s="267">
        <f t="shared" si="252"/>
        <v>0</v>
      </c>
      <c r="CJ163" s="263"/>
      <c r="CK163" s="269">
        <f t="shared" si="253"/>
        <v>0</v>
      </c>
      <c r="CL163" s="270">
        <f t="shared" si="254"/>
        <v>0</v>
      </c>
      <c r="CM163" s="268">
        <f t="shared" si="255"/>
        <v>0</v>
      </c>
      <c r="CN163" s="267">
        <f t="shared" si="256"/>
        <v>0</v>
      </c>
      <c r="CO163" s="65">
        <f t="shared" si="257"/>
        <v>0</v>
      </c>
      <c r="CP163" s="66">
        <f t="shared" si="258"/>
        <v>0</v>
      </c>
      <c r="CQ163" s="31">
        <f t="shared" si="198"/>
        <v>8.17</v>
      </c>
      <c r="CR163" s="32">
        <f t="shared" si="199"/>
        <v>19</v>
      </c>
      <c r="CS163" s="33">
        <f t="shared" si="200"/>
        <v>0</v>
      </c>
      <c r="CT163" s="34">
        <f t="shared" si="201"/>
        <v>0</v>
      </c>
      <c r="CU163" s="67">
        <f t="shared" si="202"/>
        <v>4.085</v>
      </c>
      <c r="CV163" s="35">
        <f t="shared" si="203"/>
        <v>19</v>
      </c>
      <c r="CW163" s="59">
        <f t="shared" si="204"/>
        <v>51</v>
      </c>
      <c r="CX163" s="43" t="str">
        <f t="shared" si="259"/>
        <v>مؤجل(ة)</v>
      </c>
      <c r="CY163" s="44"/>
      <c r="CZ163" s="50"/>
      <c r="DA163" s="46"/>
    </row>
    <row r="164" spans="2:105" ht="27.75" customHeight="1" thickBot="1">
      <c r="B164" s="1">
        <f t="shared" si="260"/>
        <v>26</v>
      </c>
      <c r="C164" s="324" t="s">
        <v>714</v>
      </c>
      <c r="D164" s="249" t="s">
        <v>715</v>
      </c>
      <c r="E164" s="47"/>
      <c r="F164" s="135"/>
      <c r="G164" s="136"/>
      <c r="H164" s="131"/>
      <c r="I164" s="132"/>
      <c r="J164" s="133"/>
      <c r="K164" s="134"/>
      <c r="L164" s="53">
        <f t="shared" si="205"/>
        <v>0</v>
      </c>
      <c r="M164" s="58">
        <f t="shared" si="206"/>
        <v>0</v>
      </c>
      <c r="N164" s="262">
        <v>2</v>
      </c>
      <c r="O164" s="263">
        <v>3</v>
      </c>
      <c r="P164" s="228">
        <f t="shared" si="207"/>
        <v>2.5</v>
      </c>
      <c r="Q164" s="229">
        <f t="shared" si="208"/>
        <v>0</v>
      </c>
      <c r="R164" s="262">
        <v>12</v>
      </c>
      <c r="S164" s="263">
        <v>8</v>
      </c>
      <c r="T164" s="228">
        <f t="shared" si="209"/>
        <v>10</v>
      </c>
      <c r="U164" s="229">
        <f t="shared" si="210"/>
        <v>6</v>
      </c>
      <c r="V164" s="262">
        <v>7</v>
      </c>
      <c r="W164" s="263">
        <v>3</v>
      </c>
      <c r="X164" s="228">
        <f t="shared" si="211"/>
        <v>5</v>
      </c>
      <c r="Y164" s="229">
        <f t="shared" si="212"/>
        <v>0</v>
      </c>
      <c r="Z164" s="232">
        <f t="shared" si="213"/>
        <v>5.833333333333333</v>
      </c>
      <c r="AA164" s="233">
        <f t="shared" si="214"/>
        <v>6</v>
      </c>
      <c r="AB164" s="263">
        <v>10.5</v>
      </c>
      <c r="AC164" s="234">
        <f t="shared" si="215"/>
        <v>10.5</v>
      </c>
      <c r="AD164" s="235">
        <f t="shared" si="216"/>
        <v>1</v>
      </c>
      <c r="AE164" s="262">
        <v>0.5</v>
      </c>
      <c r="AF164" s="263">
        <v>0.5</v>
      </c>
      <c r="AG164" s="228">
        <f t="shared" si="217"/>
        <v>0.5</v>
      </c>
      <c r="AH164" s="229">
        <f t="shared" si="218"/>
        <v>0</v>
      </c>
      <c r="AI164" s="262">
        <v>10.5</v>
      </c>
      <c r="AJ164" s="263">
        <v>4</v>
      </c>
      <c r="AK164" s="228">
        <f t="shared" si="219"/>
        <v>7.25</v>
      </c>
      <c r="AL164" s="229">
        <f t="shared" si="220"/>
        <v>0</v>
      </c>
      <c r="AM164" s="236">
        <f t="shared" si="221"/>
        <v>5.2</v>
      </c>
      <c r="AN164" s="237">
        <f t="shared" si="222"/>
        <v>1</v>
      </c>
      <c r="AO164" s="262">
        <v>10.5</v>
      </c>
      <c r="AP164" s="263">
        <v>3</v>
      </c>
      <c r="AQ164" s="228">
        <f t="shared" si="223"/>
        <v>6.75</v>
      </c>
      <c r="AR164" s="229">
        <f t="shared" si="224"/>
        <v>0</v>
      </c>
      <c r="AS164" s="263">
        <v>6</v>
      </c>
      <c r="AT164" s="234">
        <f t="shared" si="225"/>
        <v>6</v>
      </c>
      <c r="AU164" s="238">
        <f t="shared" si="226"/>
        <v>0</v>
      </c>
      <c r="AV164" s="236">
        <f t="shared" si="227"/>
        <v>6.375</v>
      </c>
      <c r="AW164" s="237">
        <f t="shared" si="228"/>
        <v>0</v>
      </c>
      <c r="AX164" s="263">
        <v>16</v>
      </c>
      <c r="AY164" s="263">
        <v>11.5</v>
      </c>
      <c r="AZ164" s="228">
        <f t="shared" si="229"/>
        <v>13.75</v>
      </c>
      <c r="BA164" s="229">
        <f t="shared" si="230"/>
        <v>1</v>
      </c>
      <c r="BB164" s="236">
        <f t="shared" si="231"/>
        <v>13.75</v>
      </c>
      <c r="BC164" s="237">
        <f t="shared" si="232"/>
        <v>1</v>
      </c>
      <c r="BD164" s="239">
        <f t="shared" si="233"/>
        <v>6.25</v>
      </c>
      <c r="BE164" s="240">
        <f t="shared" si="234"/>
        <v>8</v>
      </c>
      <c r="BF164" s="263"/>
      <c r="BG164" s="263"/>
      <c r="BH164" s="264">
        <f t="shared" si="235"/>
        <v>0</v>
      </c>
      <c r="BI164" s="265">
        <f t="shared" si="236"/>
        <v>0</v>
      </c>
      <c r="BJ164" s="263"/>
      <c r="BK164" s="263"/>
      <c r="BL164" s="264">
        <f t="shared" si="237"/>
        <v>0</v>
      </c>
      <c r="BM164" s="265">
        <f t="shared" si="238"/>
        <v>0</v>
      </c>
      <c r="BN164" s="263"/>
      <c r="BO164" s="263"/>
      <c r="BP164" s="264">
        <f t="shared" si="239"/>
        <v>0</v>
      </c>
      <c r="BQ164" s="265">
        <f t="shared" si="240"/>
        <v>0</v>
      </c>
      <c r="BR164" s="266">
        <f t="shared" si="241"/>
        <v>0</v>
      </c>
      <c r="BS164" s="267">
        <f t="shared" si="242"/>
        <v>0</v>
      </c>
      <c r="BT164" s="263"/>
      <c r="BU164" s="263"/>
      <c r="BV164" s="264">
        <f t="shared" si="243"/>
        <v>0</v>
      </c>
      <c r="BW164" s="265">
        <f t="shared" si="244"/>
        <v>0</v>
      </c>
      <c r="BX164" s="263"/>
      <c r="BY164" s="263"/>
      <c r="BZ164" s="264">
        <f t="shared" si="245"/>
        <v>0</v>
      </c>
      <c r="CA164" s="265">
        <f t="shared" si="246"/>
        <v>0</v>
      </c>
      <c r="CB164" s="268">
        <f t="shared" si="247"/>
        <v>0</v>
      </c>
      <c r="CC164" s="267">
        <f t="shared" si="248"/>
        <v>0</v>
      </c>
      <c r="CD164" s="263"/>
      <c r="CE164" s="263"/>
      <c r="CF164" s="264">
        <f t="shared" si="249"/>
        <v>0</v>
      </c>
      <c r="CG164" s="265">
        <f t="shared" si="250"/>
        <v>0</v>
      </c>
      <c r="CH164" s="268">
        <f t="shared" si="251"/>
        <v>0</v>
      </c>
      <c r="CI164" s="267">
        <f t="shared" si="252"/>
        <v>0</v>
      </c>
      <c r="CJ164" s="263"/>
      <c r="CK164" s="269">
        <f t="shared" si="253"/>
        <v>0</v>
      </c>
      <c r="CL164" s="270">
        <f t="shared" si="254"/>
        <v>0</v>
      </c>
      <c r="CM164" s="268">
        <f t="shared" si="255"/>
        <v>0</v>
      </c>
      <c r="CN164" s="267">
        <f t="shared" si="256"/>
        <v>0</v>
      </c>
      <c r="CO164" s="65">
        <f t="shared" si="257"/>
        <v>0</v>
      </c>
      <c r="CP164" s="66">
        <f t="shared" si="258"/>
        <v>0</v>
      </c>
      <c r="CQ164" s="31">
        <f t="shared" si="198"/>
        <v>6.25</v>
      </c>
      <c r="CR164" s="32">
        <f t="shared" si="199"/>
        <v>8</v>
      </c>
      <c r="CS164" s="33">
        <f t="shared" si="200"/>
        <v>0</v>
      </c>
      <c r="CT164" s="34">
        <f t="shared" si="201"/>
        <v>0</v>
      </c>
      <c r="CU164" s="67">
        <f t="shared" si="202"/>
        <v>3.125</v>
      </c>
      <c r="CV164" s="35">
        <f t="shared" si="203"/>
        <v>8</v>
      </c>
      <c r="CW164" s="59">
        <f t="shared" si="204"/>
        <v>8</v>
      </c>
      <c r="CX164" s="43" t="str">
        <f t="shared" si="259"/>
        <v>مؤجل(ة)</v>
      </c>
      <c r="CY164" s="44"/>
      <c r="CZ164" s="50"/>
      <c r="DA164" s="46"/>
    </row>
    <row r="165" spans="2:105" ht="27.75" customHeight="1" thickBot="1">
      <c r="B165" s="1">
        <f t="shared" si="260"/>
        <v>27</v>
      </c>
      <c r="C165" s="324" t="s">
        <v>716</v>
      </c>
      <c r="D165" s="249" t="s">
        <v>717</v>
      </c>
      <c r="E165" s="47"/>
      <c r="F165" s="135"/>
      <c r="G165" s="136"/>
      <c r="H165" s="131"/>
      <c r="I165" s="132"/>
      <c r="J165" s="133"/>
      <c r="K165" s="134"/>
      <c r="L165" s="53">
        <f t="shared" si="205"/>
        <v>0</v>
      </c>
      <c r="M165" s="58">
        <f t="shared" si="206"/>
        <v>0</v>
      </c>
      <c r="N165" s="262">
        <v>15</v>
      </c>
      <c r="O165" s="263">
        <v>4.5</v>
      </c>
      <c r="P165" s="228">
        <f t="shared" si="207"/>
        <v>9.75</v>
      </c>
      <c r="Q165" s="229">
        <f t="shared" si="208"/>
        <v>0</v>
      </c>
      <c r="R165" s="262">
        <v>13</v>
      </c>
      <c r="S165" s="263">
        <v>5</v>
      </c>
      <c r="T165" s="228">
        <f t="shared" si="209"/>
        <v>9</v>
      </c>
      <c r="U165" s="229">
        <f t="shared" si="210"/>
        <v>0</v>
      </c>
      <c r="V165" s="262">
        <v>9</v>
      </c>
      <c r="W165" s="263">
        <v>4.5</v>
      </c>
      <c r="X165" s="228">
        <f t="shared" si="211"/>
        <v>6.75</v>
      </c>
      <c r="Y165" s="229">
        <f t="shared" si="212"/>
        <v>0</v>
      </c>
      <c r="Z165" s="232">
        <f t="shared" si="213"/>
        <v>8.5</v>
      </c>
      <c r="AA165" s="233">
        <f t="shared" si="214"/>
        <v>0</v>
      </c>
      <c r="AB165" s="263">
        <v>13.5</v>
      </c>
      <c r="AC165" s="234">
        <f t="shared" si="215"/>
        <v>13.5</v>
      </c>
      <c r="AD165" s="235">
        <f t="shared" si="216"/>
        <v>1</v>
      </c>
      <c r="AE165" s="262">
        <v>7</v>
      </c>
      <c r="AF165" s="263">
        <v>7</v>
      </c>
      <c r="AG165" s="228">
        <f t="shared" si="217"/>
        <v>7</v>
      </c>
      <c r="AH165" s="229">
        <f t="shared" si="218"/>
        <v>0</v>
      </c>
      <c r="AI165" s="262">
        <v>9</v>
      </c>
      <c r="AJ165" s="263">
        <v>4.5</v>
      </c>
      <c r="AK165" s="228">
        <f t="shared" si="219"/>
        <v>6.75</v>
      </c>
      <c r="AL165" s="229">
        <f t="shared" si="220"/>
        <v>0</v>
      </c>
      <c r="AM165" s="236">
        <f t="shared" si="221"/>
        <v>8.1999999999999993</v>
      </c>
      <c r="AN165" s="237">
        <f t="shared" si="222"/>
        <v>1</v>
      </c>
      <c r="AO165" s="262">
        <v>10.5</v>
      </c>
      <c r="AP165" s="263">
        <v>5</v>
      </c>
      <c r="AQ165" s="228">
        <f t="shared" si="223"/>
        <v>7.75</v>
      </c>
      <c r="AR165" s="229">
        <f t="shared" si="224"/>
        <v>0</v>
      </c>
      <c r="AS165" s="263">
        <v>6</v>
      </c>
      <c r="AT165" s="234">
        <f t="shared" si="225"/>
        <v>6</v>
      </c>
      <c r="AU165" s="238">
        <f t="shared" si="226"/>
        <v>0</v>
      </c>
      <c r="AV165" s="236">
        <f t="shared" si="227"/>
        <v>6.875</v>
      </c>
      <c r="AW165" s="237">
        <f t="shared" si="228"/>
        <v>0</v>
      </c>
      <c r="AX165" s="263">
        <v>11.5</v>
      </c>
      <c r="AY165" s="263">
        <v>4</v>
      </c>
      <c r="AZ165" s="228">
        <f t="shared" si="229"/>
        <v>7.75</v>
      </c>
      <c r="BA165" s="229">
        <f t="shared" si="230"/>
        <v>0</v>
      </c>
      <c r="BB165" s="236">
        <f t="shared" si="231"/>
        <v>7.75</v>
      </c>
      <c r="BC165" s="237">
        <f t="shared" si="232"/>
        <v>0</v>
      </c>
      <c r="BD165" s="239">
        <f t="shared" si="233"/>
        <v>8.1071428571428577</v>
      </c>
      <c r="BE165" s="240">
        <f t="shared" si="234"/>
        <v>1</v>
      </c>
      <c r="BF165" s="263"/>
      <c r="BG165" s="263"/>
      <c r="BH165" s="264">
        <f t="shared" si="235"/>
        <v>0</v>
      </c>
      <c r="BI165" s="265">
        <f t="shared" si="236"/>
        <v>0</v>
      </c>
      <c r="BJ165" s="263"/>
      <c r="BK165" s="263"/>
      <c r="BL165" s="264">
        <f t="shared" si="237"/>
        <v>0</v>
      </c>
      <c r="BM165" s="265">
        <f t="shared" si="238"/>
        <v>0</v>
      </c>
      <c r="BN165" s="263"/>
      <c r="BO165" s="263"/>
      <c r="BP165" s="264">
        <f t="shared" si="239"/>
        <v>0</v>
      </c>
      <c r="BQ165" s="265">
        <f t="shared" si="240"/>
        <v>0</v>
      </c>
      <c r="BR165" s="266">
        <f t="shared" si="241"/>
        <v>0</v>
      </c>
      <c r="BS165" s="267">
        <f t="shared" si="242"/>
        <v>0</v>
      </c>
      <c r="BT165" s="263"/>
      <c r="BU165" s="263"/>
      <c r="BV165" s="264">
        <f t="shared" si="243"/>
        <v>0</v>
      </c>
      <c r="BW165" s="265">
        <f t="shared" si="244"/>
        <v>0</v>
      </c>
      <c r="BX165" s="263"/>
      <c r="BY165" s="263"/>
      <c r="BZ165" s="264">
        <f t="shared" si="245"/>
        <v>0</v>
      </c>
      <c r="CA165" s="265">
        <f t="shared" si="246"/>
        <v>0</v>
      </c>
      <c r="CB165" s="268">
        <f t="shared" si="247"/>
        <v>0</v>
      </c>
      <c r="CC165" s="267">
        <f t="shared" si="248"/>
        <v>0</v>
      </c>
      <c r="CD165" s="263"/>
      <c r="CE165" s="263"/>
      <c r="CF165" s="264">
        <f t="shared" si="249"/>
        <v>0</v>
      </c>
      <c r="CG165" s="265">
        <f t="shared" si="250"/>
        <v>0</v>
      </c>
      <c r="CH165" s="268">
        <f t="shared" si="251"/>
        <v>0</v>
      </c>
      <c r="CI165" s="267">
        <f t="shared" si="252"/>
        <v>0</v>
      </c>
      <c r="CJ165" s="263"/>
      <c r="CK165" s="269">
        <f t="shared" si="253"/>
        <v>0</v>
      </c>
      <c r="CL165" s="270">
        <f t="shared" si="254"/>
        <v>0</v>
      </c>
      <c r="CM165" s="268">
        <f t="shared" si="255"/>
        <v>0</v>
      </c>
      <c r="CN165" s="267">
        <f t="shared" si="256"/>
        <v>0</v>
      </c>
      <c r="CO165" s="65">
        <f t="shared" si="257"/>
        <v>0</v>
      </c>
      <c r="CP165" s="66">
        <f t="shared" si="258"/>
        <v>0</v>
      </c>
      <c r="CQ165" s="31">
        <f t="shared" si="198"/>
        <v>8.1071428571428577</v>
      </c>
      <c r="CR165" s="32">
        <f t="shared" si="199"/>
        <v>1</v>
      </c>
      <c r="CS165" s="33">
        <f t="shared" si="200"/>
        <v>0</v>
      </c>
      <c r="CT165" s="34">
        <f t="shared" si="201"/>
        <v>0</v>
      </c>
      <c r="CU165" s="67">
        <f t="shared" si="202"/>
        <v>4.0535714285714288</v>
      </c>
      <c r="CV165" s="35">
        <f t="shared" si="203"/>
        <v>1</v>
      </c>
      <c r="CW165" s="59">
        <f t="shared" si="204"/>
        <v>1</v>
      </c>
      <c r="CX165" s="43" t="str">
        <f t="shared" si="259"/>
        <v>مؤجل(ة)</v>
      </c>
      <c r="CY165" s="44"/>
      <c r="CZ165" s="51"/>
      <c r="DA165" s="46"/>
    </row>
    <row r="166" spans="2:105" ht="27.75" customHeight="1" thickBot="1">
      <c r="B166" s="1">
        <f t="shared" si="260"/>
        <v>28</v>
      </c>
      <c r="C166" s="324" t="s">
        <v>718</v>
      </c>
      <c r="D166" s="249" t="s">
        <v>306</v>
      </c>
      <c r="E166" s="47"/>
      <c r="F166" s="135"/>
      <c r="G166" s="136"/>
      <c r="H166" s="131"/>
      <c r="I166" s="132"/>
      <c r="J166" s="133"/>
      <c r="K166" s="134"/>
      <c r="L166" s="53">
        <f t="shared" si="205"/>
        <v>0</v>
      </c>
      <c r="M166" s="58">
        <f t="shared" si="206"/>
        <v>0</v>
      </c>
      <c r="N166" s="262">
        <v>9</v>
      </c>
      <c r="O166" s="263">
        <v>16</v>
      </c>
      <c r="P166" s="228">
        <f t="shared" si="207"/>
        <v>12.5</v>
      </c>
      <c r="Q166" s="229">
        <f t="shared" si="208"/>
        <v>5</v>
      </c>
      <c r="R166" s="262">
        <v>13.5</v>
      </c>
      <c r="S166" s="263">
        <v>4.5</v>
      </c>
      <c r="T166" s="228">
        <f t="shared" si="209"/>
        <v>9</v>
      </c>
      <c r="U166" s="229">
        <f t="shared" si="210"/>
        <v>0</v>
      </c>
      <c r="V166" s="262">
        <v>6</v>
      </c>
      <c r="W166" s="263">
        <v>3.5</v>
      </c>
      <c r="X166" s="228">
        <f t="shared" si="211"/>
        <v>4.75</v>
      </c>
      <c r="Y166" s="229">
        <f t="shared" si="212"/>
        <v>0</v>
      </c>
      <c r="Z166" s="232">
        <f t="shared" si="213"/>
        <v>8.75</v>
      </c>
      <c r="AA166" s="233">
        <f t="shared" si="214"/>
        <v>5</v>
      </c>
      <c r="AB166" s="263">
        <v>0</v>
      </c>
      <c r="AC166" s="234">
        <f t="shared" si="215"/>
        <v>0</v>
      </c>
      <c r="AD166" s="235">
        <f t="shared" si="216"/>
        <v>0</v>
      </c>
      <c r="AE166" s="262">
        <v>0</v>
      </c>
      <c r="AF166" s="263">
        <v>0</v>
      </c>
      <c r="AG166" s="228">
        <f t="shared" si="217"/>
        <v>0</v>
      </c>
      <c r="AH166" s="229">
        <f t="shared" si="218"/>
        <v>0</v>
      </c>
      <c r="AI166" s="262">
        <v>7</v>
      </c>
      <c r="AJ166" s="263">
        <v>0</v>
      </c>
      <c r="AK166" s="228">
        <f t="shared" si="219"/>
        <v>3.5</v>
      </c>
      <c r="AL166" s="229">
        <f t="shared" si="220"/>
        <v>0</v>
      </c>
      <c r="AM166" s="236">
        <f t="shared" si="221"/>
        <v>1.4</v>
      </c>
      <c r="AN166" s="237">
        <f t="shared" si="222"/>
        <v>0</v>
      </c>
      <c r="AO166" s="262">
        <v>10.5</v>
      </c>
      <c r="AP166" s="263">
        <v>0</v>
      </c>
      <c r="AQ166" s="228">
        <f t="shared" si="223"/>
        <v>5.25</v>
      </c>
      <c r="AR166" s="229">
        <f t="shared" si="224"/>
        <v>0</v>
      </c>
      <c r="AS166" s="263">
        <v>0</v>
      </c>
      <c r="AT166" s="234">
        <f t="shared" si="225"/>
        <v>0</v>
      </c>
      <c r="AU166" s="238">
        <f t="shared" si="226"/>
        <v>0</v>
      </c>
      <c r="AV166" s="236">
        <f t="shared" si="227"/>
        <v>2.625</v>
      </c>
      <c r="AW166" s="237">
        <f t="shared" si="228"/>
        <v>0</v>
      </c>
      <c r="AX166" s="263">
        <v>14</v>
      </c>
      <c r="AY166" s="263">
        <v>9.5</v>
      </c>
      <c r="AZ166" s="228">
        <f t="shared" si="229"/>
        <v>11.75</v>
      </c>
      <c r="BA166" s="229">
        <f t="shared" si="230"/>
        <v>1</v>
      </c>
      <c r="BB166" s="236">
        <f t="shared" si="231"/>
        <v>11.75</v>
      </c>
      <c r="BC166" s="237">
        <f t="shared" si="232"/>
        <v>1</v>
      </c>
      <c r="BD166" s="239">
        <f t="shared" si="233"/>
        <v>5.4642857142857144</v>
      </c>
      <c r="BE166" s="240">
        <f t="shared" si="234"/>
        <v>6</v>
      </c>
      <c r="BF166" s="263"/>
      <c r="BG166" s="263"/>
      <c r="BH166" s="264">
        <f t="shared" si="235"/>
        <v>0</v>
      </c>
      <c r="BI166" s="265">
        <f t="shared" si="236"/>
        <v>0</v>
      </c>
      <c r="BJ166" s="263"/>
      <c r="BK166" s="263"/>
      <c r="BL166" s="264">
        <f t="shared" si="237"/>
        <v>0</v>
      </c>
      <c r="BM166" s="265">
        <f t="shared" si="238"/>
        <v>0</v>
      </c>
      <c r="BN166" s="263"/>
      <c r="BO166" s="263"/>
      <c r="BP166" s="264">
        <f t="shared" si="239"/>
        <v>0</v>
      </c>
      <c r="BQ166" s="265">
        <f t="shared" si="240"/>
        <v>0</v>
      </c>
      <c r="BR166" s="266">
        <f t="shared" si="241"/>
        <v>0</v>
      </c>
      <c r="BS166" s="267">
        <f t="shared" si="242"/>
        <v>0</v>
      </c>
      <c r="BT166" s="263"/>
      <c r="BU166" s="263"/>
      <c r="BV166" s="264">
        <f t="shared" si="243"/>
        <v>0</v>
      </c>
      <c r="BW166" s="265">
        <f t="shared" si="244"/>
        <v>0</v>
      </c>
      <c r="BX166" s="263"/>
      <c r="BY166" s="263"/>
      <c r="BZ166" s="264">
        <f t="shared" si="245"/>
        <v>0</v>
      </c>
      <c r="CA166" s="265">
        <f t="shared" si="246"/>
        <v>0</v>
      </c>
      <c r="CB166" s="268">
        <f t="shared" si="247"/>
        <v>0</v>
      </c>
      <c r="CC166" s="267">
        <f t="shared" si="248"/>
        <v>0</v>
      </c>
      <c r="CD166" s="263"/>
      <c r="CE166" s="263"/>
      <c r="CF166" s="264">
        <f t="shared" si="249"/>
        <v>0</v>
      </c>
      <c r="CG166" s="265">
        <f t="shared" si="250"/>
        <v>0</v>
      </c>
      <c r="CH166" s="268">
        <f t="shared" si="251"/>
        <v>0</v>
      </c>
      <c r="CI166" s="267">
        <f t="shared" si="252"/>
        <v>0</v>
      </c>
      <c r="CJ166" s="263"/>
      <c r="CK166" s="269">
        <f t="shared" si="253"/>
        <v>0</v>
      </c>
      <c r="CL166" s="270">
        <f t="shared" si="254"/>
        <v>0</v>
      </c>
      <c r="CM166" s="268">
        <f t="shared" si="255"/>
        <v>0</v>
      </c>
      <c r="CN166" s="267">
        <f t="shared" si="256"/>
        <v>0</v>
      </c>
      <c r="CO166" s="65">
        <f t="shared" si="257"/>
        <v>0</v>
      </c>
      <c r="CP166" s="66">
        <f t="shared" si="258"/>
        <v>0</v>
      </c>
      <c r="CQ166" s="31">
        <f t="shared" si="198"/>
        <v>5.4642857142857144</v>
      </c>
      <c r="CR166" s="32">
        <f t="shared" si="199"/>
        <v>6</v>
      </c>
      <c r="CS166" s="33">
        <f t="shared" si="200"/>
        <v>0</v>
      </c>
      <c r="CT166" s="34">
        <f t="shared" si="201"/>
        <v>0</v>
      </c>
      <c r="CU166" s="67">
        <f t="shared" si="202"/>
        <v>2.7321428571428572</v>
      </c>
      <c r="CV166" s="35">
        <f t="shared" si="203"/>
        <v>6</v>
      </c>
      <c r="CW166" s="59">
        <f t="shared" si="204"/>
        <v>6</v>
      </c>
      <c r="CX166" s="43" t="str">
        <f t="shared" si="259"/>
        <v>مؤجل(ة)</v>
      </c>
      <c r="CY166" s="44"/>
      <c r="CZ166" s="50"/>
      <c r="DA166" s="46"/>
    </row>
    <row r="167" spans="2:105" ht="27.75" customHeight="1" thickBot="1">
      <c r="B167" s="1">
        <f t="shared" si="260"/>
        <v>29</v>
      </c>
      <c r="C167" s="335" t="s">
        <v>719</v>
      </c>
      <c r="D167" s="249" t="s">
        <v>720</v>
      </c>
      <c r="E167" s="47"/>
      <c r="F167" s="135"/>
      <c r="G167" s="136"/>
      <c r="H167" s="131"/>
      <c r="I167" s="132"/>
      <c r="J167" s="133"/>
      <c r="K167" s="134"/>
      <c r="L167" s="53">
        <f t="shared" si="205"/>
        <v>0</v>
      </c>
      <c r="M167" s="58">
        <f t="shared" si="206"/>
        <v>0</v>
      </c>
      <c r="N167" s="262"/>
      <c r="O167" s="263"/>
      <c r="P167" s="228">
        <f t="shared" si="207"/>
        <v>0</v>
      </c>
      <c r="Q167" s="229">
        <f t="shared" si="208"/>
        <v>0</v>
      </c>
      <c r="R167" s="262">
        <v>12</v>
      </c>
      <c r="S167" s="263">
        <v>8</v>
      </c>
      <c r="T167" s="228">
        <f t="shared" si="209"/>
        <v>10</v>
      </c>
      <c r="U167" s="229">
        <f t="shared" si="210"/>
        <v>6</v>
      </c>
      <c r="V167" s="262"/>
      <c r="W167" s="263"/>
      <c r="X167" s="228">
        <f t="shared" si="211"/>
        <v>0</v>
      </c>
      <c r="Y167" s="229">
        <f t="shared" si="212"/>
        <v>0</v>
      </c>
      <c r="Z167" s="232">
        <f t="shared" si="213"/>
        <v>3.3333333333333335</v>
      </c>
      <c r="AA167" s="233">
        <f t="shared" si="214"/>
        <v>6</v>
      </c>
      <c r="AB167" s="263"/>
      <c r="AC167" s="234">
        <f t="shared" si="215"/>
        <v>0</v>
      </c>
      <c r="AD167" s="235">
        <f t="shared" si="216"/>
        <v>0</v>
      </c>
      <c r="AE167" s="262"/>
      <c r="AF167" s="263"/>
      <c r="AG167" s="228">
        <f t="shared" si="217"/>
        <v>0</v>
      </c>
      <c r="AH167" s="229">
        <f t="shared" si="218"/>
        <v>0</v>
      </c>
      <c r="AI167" s="262"/>
      <c r="AJ167" s="263"/>
      <c r="AK167" s="228">
        <f t="shared" si="219"/>
        <v>0</v>
      </c>
      <c r="AL167" s="229">
        <f t="shared" si="220"/>
        <v>0</v>
      </c>
      <c r="AM167" s="236">
        <f t="shared" si="221"/>
        <v>0</v>
      </c>
      <c r="AN167" s="237">
        <f t="shared" si="222"/>
        <v>0</v>
      </c>
      <c r="AO167" s="262"/>
      <c r="AP167" s="263"/>
      <c r="AQ167" s="228">
        <f t="shared" si="223"/>
        <v>0</v>
      </c>
      <c r="AR167" s="229">
        <f t="shared" si="224"/>
        <v>0</v>
      </c>
      <c r="AS167" s="263"/>
      <c r="AT167" s="234">
        <f t="shared" si="225"/>
        <v>0</v>
      </c>
      <c r="AU167" s="238">
        <f t="shared" si="226"/>
        <v>0</v>
      </c>
      <c r="AV167" s="236">
        <f t="shared" si="227"/>
        <v>0</v>
      </c>
      <c r="AW167" s="237">
        <f t="shared" si="228"/>
        <v>0</v>
      </c>
      <c r="AX167" s="263"/>
      <c r="AY167" s="263"/>
      <c r="AZ167" s="228">
        <f t="shared" si="229"/>
        <v>0</v>
      </c>
      <c r="BA167" s="229">
        <f t="shared" si="230"/>
        <v>0</v>
      </c>
      <c r="BB167" s="236">
        <f t="shared" si="231"/>
        <v>0</v>
      </c>
      <c r="BC167" s="237">
        <f t="shared" si="232"/>
        <v>0</v>
      </c>
      <c r="BD167" s="239">
        <f t="shared" si="233"/>
        <v>1.4285714285714286</v>
      </c>
      <c r="BE167" s="240">
        <f t="shared" si="234"/>
        <v>6</v>
      </c>
      <c r="BF167" s="263"/>
      <c r="BG167" s="263"/>
      <c r="BH167" s="264">
        <f t="shared" si="235"/>
        <v>0</v>
      </c>
      <c r="BI167" s="265">
        <f t="shared" si="236"/>
        <v>0</v>
      </c>
      <c r="BJ167" s="263"/>
      <c r="BK167" s="263"/>
      <c r="BL167" s="264">
        <f t="shared" si="237"/>
        <v>0</v>
      </c>
      <c r="BM167" s="265">
        <f t="shared" si="238"/>
        <v>0</v>
      </c>
      <c r="BN167" s="263"/>
      <c r="BO167" s="263"/>
      <c r="BP167" s="264">
        <f t="shared" si="239"/>
        <v>0</v>
      </c>
      <c r="BQ167" s="265">
        <f t="shared" si="240"/>
        <v>0</v>
      </c>
      <c r="BR167" s="266">
        <f t="shared" si="241"/>
        <v>0</v>
      </c>
      <c r="BS167" s="267">
        <f t="shared" si="242"/>
        <v>0</v>
      </c>
      <c r="BT167" s="263"/>
      <c r="BU167" s="263"/>
      <c r="BV167" s="264">
        <f t="shared" si="243"/>
        <v>0</v>
      </c>
      <c r="BW167" s="265">
        <f t="shared" si="244"/>
        <v>0</v>
      </c>
      <c r="BX167" s="263"/>
      <c r="BY167" s="263"/>
      <c r="BZ167" s="264">
        <f t="shared" si="245"/>
        <v>0</v>
      </c>
      <c r="CA167" s="265">
        <f t="shared" si="246"/>
        <v>0</v>
      </c>
      <c r="CB167" s="268">
        <f t="shared" si="247"/>
        <v>0</v>
      </c>
      <c r="CC167" s="267">
        <f t="shared" si="248"/>
        <v>0</v>
      </c>
      <c r="CD167" s="263"/>
      <c r="CE167" s="263"/>
      <c r="CF167" s="264">
        <f t="shared" si="249"/>
        <v>0</v>
      </c>
      <c r="CG167" s="265">
        <f t="shared" si="250"/>
        <v>0</v>
      </c>
      <c r="CH167" s="268">
        <f t="shared" si="251"/>
        <v>0</v>
      </c>
      <c r="CI167" s="267">
        <f t="shared" si="252"/>
        <v>0</v>
      </c>
      <c r="CJ167" s="263"/>
      <c r="CK167" s="269">
        <f t="shared" si="253"/>
        <v>0</v>
      </c>
      <c r="CL167" s="270">
        <f t="shared" si="254"/>
        <v>0</v>
      </c>
      <c r="CM167" s="268">
        <f t="shared" si="255"/>
        <v>0</v>
      </c>
      <c r="CN167" s="267">
        <f t="shared" si="256"/>
        <v>0</v>
      </c>
      <c r="CO167" s="65">
        <f t="shared" si="257"/>
        <v>0</v>
      </c>
      <c r="CP167" s="66">
        <f t="shared" si="258"/>
        <v>0</v>
      </c>
      <c r="CQ167" s="31">
        <f t="shared" si="198"/>
        <v>1.4285714285714286</v>
      </c>
      <c r="CR167" s="32">
        <f t="shared" si="199"/>
        <v>6</v>
      </c>
      <c r="CS167" s="33">
        <f t="shared" si="200"/>
        <v>0</v>
      </c>
      <c r="CT167" s="34">
        <f t="shared" si="201"/>
        <v>0</v>
      </c>
      <c r="CU167" s="67">
        <f t="shared" si="202"/>
        <v>0.7142857142857143</v>
      </c>
      <c r="CV167" s="35">
        <f t="shared" si="203"/>
        <v>6</v>
      </c>
      <c r="CW167" s="59">
        <f t="shared" si="204"/>
        <v>6</v>
      </c>
      <c r="CX167" s="43" t="str">
        <f t="shared" si="259"/>
        <v>مؤجل(ة)</v>
      </c>
      <c r="CZ167" s="51"/>
      <c r="DA167" s="46"/>
    </row>
    <row r="168" spans="2:105" ht="27.75" customHeight="1" thickBot="1">
      <c r="B168" s="1">
        <f t="shared" si="260"/>
        <v>30</v>
      </c>
      <c r="C168" s="324" t="s">
        <v>721</v>
      </c>
      <c r="D168" s="249" t="s">
        <v>722</v>
      </c>
      <c r="E168" s="47"/>
      <c r="F168" s="135"/>
      <c r="G168" s="136"/>
      <c r="H168" s="131"/>
      <c r="I168" s="132"/>
      <c r="J168" s="133"/>
      <c r="K168" s="134"/>
      <c r="L168" s="53">
        <f t="shared" si="205"/>
        <v>0</v>
      </c>
      <c r="M168" s="58">
        <f t="shared" si="206"/>
        <v>0</v>
      </c>
      <c r="N168" s="262">
        <v>9.5</v>
      </c>
      <c r="O168" s="263">
        <v>4</v>
      </c>
      <c r="P168" s="228">
        <f t="shared" si="207"/>
        <v>6.75</v>
      </c>
      <c r="Q168" s="229">
        <f t="shared" si="208"/>
        <v>0</v>
      </c>
      <c r="R168" s="262">
        <v>13.5</v>
      </c>
      <c r="S168" s="263">
        <v>6.75</v>
      </c>
      <c r="T168" s="228">
        <f t="shared" si="209"/>
        <v>10.125</v>
      </c>
      <c r="U168" s="229">
        <f t="shared" si="210"/>
        <v>6</v>
      </c>
      <c r="V168" s="262">
        <v>6.5</v>
      </c>
      <c r="W168" s="263">
        <v>2.5</v>
      </c>
      <c r="X168" s="228">
        <f t="shared" si="211"/>
        <v>4.5</v>
      </c>
      <c r="Y168" s="229">
        <f t="shared" si="212"/>
        <v>0</v>
      </c>
      <c r="Z168" s="232">
        <f t="shared" si="213"/>
        <v>7.125</v>
      </c>
      <c r="AA168" s="233">
        <f t="shared" si="214"/>
        <v>6</v>
      </c>
      <c r="AB168" s="263">
        <v>10</v>
      </c>
      <c r="AC168" s="234">
        <f t="shared" si="215"/>
        <v>10</v>
      </c>
      <c r="AD168" s="235">
        <f t="shared" si="216"/>
        <v>1</v>
      </c>
      <c r="AE168" s="262">
        <v>6.5</v>
      </c>
      <c r="AF168" s="263">
        <v>6.5</v>
      </c>
      <c r="AG168" s="228">
        <f t="shared" si="217"/>
        <v>6.5</v>
      </c>
      <c r="AH168" s="229">
        <f t="shared" si="218"/>
        <v>0</v>
      </c>
      <c r="AI168" s="262">
        <v>10.5</v>
      </c>
      <c r="AJ168" s="263">
        <v>5</v>
      </c>
      <c r="AK168" s="228">
        <f t="shared" si="219"/>
        <v>7.75</v>
      </c>
      <c r="AL168" s="229">
        <f t="shared" si="220"/>
        <v>0</v>
      </c>
      <c r="AM168" s="236">
        <f t="shared" si="221"/>
        <v>7.7</v>
      </c>
      <c r="AN168" s="237">
        <f t="shared" si="222"/>
        <v>1</v>
      </c>
      <c r="AO168" s="262">
        <v>10.5</v>
      </c>
      <c r="AP168" s="263">
        <v>3</v>
      </c>
      <c r="AQ168" s="228">
        <f t="shared" si="223"/>
        <v>6.75</v>
      </c>
      <c r="AR168" s="229">
        <f t="shared" si="224"/>
        <v>0</v>
      </c>
      <c r="AS168" s="263">
        <v>2</v>
      </c>
      <c r="AT168" s="234">
        <f t="shared" si="225"/>
        <v>2</v>
      </c>
      <c r="AU168" s="238">
        <f t="shared" si="226"/>
        <v>0</v>
      </c>
      <c r="AV168" s="236">
        <f t="shared" si="227"/>
        <v>4.375</v>
      </c>
      <c r="AW168" s="237">
        <f t="shared" si="228"/>
        <v>0</v>
      </c>
      <c r="AX168" s="263">
        <v>13</v>
      </c>
      <c r="AY168" s="263">
        <v>5.5</v>
      </c>
      <c r="AZ168" s="228">
        <f t="shared" si="229"/>
        <v>9.25</v>
      </c>
      <c r="BA168" s="229">
        <f t="shared" si="230"/>
        <v>0</v>
      </c>
      <c r="BB168" s="236">
        <f t="shared" si="231"/>
        <v>9.25</v>
      </c>
      <c r="BC168" s="237">
        <f t="shared" si="232"/>
        <v>0</v>
      </c>
      <c r="BD168" s="239">
        <f t="shared" si="233"/>
        <v>7.0892857142857144</v>
      </c>
      <c r="BE168" s="240">
        <f t="shared" si="234"/>
        <v>7</v>
      </c>
      <c r="BF168" s="263"/>
      <c r="BG168" s="263"/>
      <c r="BH168" s="264">
        <f t="shared" si="235"/>
        <v>0</v>
      </c>
      <c r="BI168" s="265">
        <f t="shared" si="236"/>
        <v>0</v>
      </c>
      <c r="BJ168" s="263"/>
      <c r="BK168" s="263"/>
      <c r="BL168" s="264">
        <f t="shared" si="237"/>
        <v>0</v>
      </c>
      <c r="BM168" s="265">
        <f t="shared" si="238"/>
        <v>0</v>
      </c>
      <c r="BN168" s="263"/>
      <c r="BO168" s="263"/>
      <c r="BP168" s="264">
        <f t="shared" si="239"/>
        <v>0</v>
      </c>
      <c r="BQ168" s="265">
        <f t="shared" si="240"/>
        <v>0</v>
      </c>
      <c r="BR168" s="266">
        <f t="shared" si="241"/>
        <v>0</v>
      </c>
      <c r="BS168" s="267">
        <f t="shared" si="242"/>
        <v>0</v>
      </c>
      <c r="BT168" s="263"/>
      <c r="BU168" s="263"/>
      <c r="BV168" s="264">
        <f t="shared" si="243"/>
        <v>0</v>
      </c>
      <c r="BW168" s="265">
        <f t="shared" si="244"/>
        <v>0</v>
      </c>
      <c r="BX168" s="263"/>
      <c r="BY168" s="263"/>
      <c r="BZ168" s="264">
        <f t="shared" si="245"/>
        <v>0</v>
      </c>
      <c r="CA168" s="265">
        <f t="shared" si="246"/>
        <v>0</v>
      </c>
      <c r="CB168" s="268">
        <f t="shared" si="247"/>
        <v>0</v>
      </c>
      <c r="CC168" s="267">
        <f t="shared" si="248"/>
        <v>0</v>
      </c>
      <c r="CD168" s="263"/>
      <c r="CE168" s="263"/>
      <c r="CF168" s="264">
        <f t="shared" si="249"/>
        <v>0</v>
      </c>
      <c r="CG168" s="265">
        <f t="shared" si="250"/>
        <v>0</v>
      </c>
      <c r="CH168" s="268">
        <f t="shared" si="251"/>
        <v>0</v>
      </c>
      <c r="CI168" s="267">
        <f t="shared" si="252"/>
        <v>0</v>
      </c>
      <c r="CJ168" s="263"/>
      <c r="CK168" s="269">
        <f t="shared" si="253"/>
        <v>0</v>
      </c>
      <c r="CL168" s="270">
        <f t="shared" si="254"/>
        <v>0</v>
      </c>
      <c r="CM168" s="268">
        <f t="shared" si="255"/>
        <v>0</v>
      </c>
      <c r="CN168" s="267">
        <f t="shared" si="256"/>
        <v>0</v>
      </c>
      <c r="CO168" s="65">
        <f t="shared" si="257"/>
        <v>0</v>
      </c>
      <c r="CP168" s="66">
        <f t="shared" si="258"/>
        <v>0</v>
      </c>
      <c r="CQ168" s="31">
        <f t="shared" si="198"/>
        <v>7.0892857142857144</v>
      </c>
      <c r="CR168" s="32">
        <f t="shared" si="199"/>
        <v>7</v>
      </c>
      <c r="CS168" s="33">
        <f t="shared" si="200"/>
        <v>0</v>
      </c>
      <c r="CT168" s="34">
        <f t="shared" si="201"/>
        <v>0</v>
      </c>
      <c r="CU168" s="67">
        <f t="shared" si="202"/>
        <v>3.5446428571428572</v>
      </c>
      <c r="CV168" s="35">
        <f t="shared" si="203"/>
        <v>7</v>
      </c>
      <c r="CW168" s="59">
        <f t="shared" si="204"/>
        <v>7</v>
      </c>
      <c r="CX168" s="43" t="str">
        <f t="shared" si="259"/>
        <v>مؤجل(ة)</v>
      </c>
      <c r="CY168" s="44"/>
      <c r="CZ168" s="50"/>
      <c r="DA168" s="46"/>
    </row>
    <row r="169" spans="2:105" ht="27.75" customHeight="1" thickBot="1">
      <c r="B169" s="1">
        <f t="shared" si="260"/>
        <v>31</v>
      </c>
      <c r="C169" s="323" t="s">
        <v>723</v>
      </c>
      <c r="D169" s="249" t="s">
        <v>724</v>
      </c>
      <c r="E169" s="47"/>
      <c r="F169" s="135"/>
      <c r="G169" s="136"/>
      <c r="H169" s="131"/>
      <c r="I169" s="132"/>
      <c r="J169" s="133"/>
      <c r="K169" s="134"/>
      <c r="L169" s="53">
        <f t="shared" si="205"/>
        <v>0</v>
      </c>
      <c r="M169" s="58">
        <f t="shared" si="206"/>
        <v>0</v>
      </c>
      <c r="N169" s="262">
        <v>11</v>
      </c>
      <c r="O169" s="263">
        <v>5.5</v>
      </c>
      <c r="P169" s="228">
        <f t="shared" si="207"/>
        <v>8.25</v>
      </c>
      <c r="Q169" s="229">
        <f t="shared" si="208"/>
        <v>0</v>
      </c>
      <c r="R169" s="262">
        <v>14</v>
      </c>
      <c r="S169" s="263">
        <v>6</v>
      </c>
      <c r="T169" s="228">
        <f t="shared" si="209"/>
        <v>10</v>
      </c>
      <c r="U169" s="229">
        <f t="shared" si="210"/>
        <v>6</v>
      </c>
      <c r="V169" s="262">
        <v>11</v>
      </c>
      <c r="W169" s="263">
        <v>3.25</v>
      </c>
      <c r="X169" s="228">
        <f t="shared" si="211"/>
        <v>7.125</v>
      </c>
      <c r="Y169" s="229">
        <f t="shared" si="212"/>
        <v>0</v>
      </c>
      <c r="Z169" s="232">
        <f t="shared" si="213"/>
        <v>8.4583333333333339</v>
      </c>
      <c r="AA169" s="233">
        <f t="shared" si="214"/>
        <v>6</v>
      </c>
      <c r="AB169" s="263">
        <v>11</v>
      </c>
      <c r="AC169" s="234">
        <f t="shared" si="215"/>
        <v>11</v>
      </c>
      <c r="AD169" s="235">
        <f t="shared" si="216"/>
        <v>1</v>
      </c>
      <c r="AE169" s="262">
        <v>10</v>
      </c>
      <c r="AF169" s="263">
        <v>10</v>
      </c>
      <c r="AG169" s="228">
        <f t="shared" si="217"/>
        <v>10</v>
      </c>
      <c r="AH169" s="229">
        <f t="shared" si="218"/>
        <v>3</v>
      </c>
      <c r="AI169" s="262">
        <v>13</v>
      </c>
      <c r="AJ169" s="263">
        <v>7</v>
      </c>
      <c r="AK169" s="228">
        <f t="shared" si="219"/>
        <v>10</v>
      </c>
      <c r="AL169" s="229">
        <f t="shared" si="220"/>
        <v>3</v>
      </c>
      <c r="AM169" s="236">
        <f t="shared" si="221"/>
        <v>10.199999999999999</v>
      </c>
      <c r="AN169" s="237">
        <f t="shared" si="222"/>
        <v>7</v>
      </c>
      <c r="AO169" s="262">
        <v>10.5</v>
      </c>
      <c r="AP169" s="263">
        <v>3</v>
      </c>
      <c r="AQ169" s="228">
        <f t="shared" si="223"/>
        <v>6.75</v>
      </c>
      <c r="AR169" s="229">
        <f t="shared" si="224"/>
        <v>0</v>
      </c>
      <c r="AS169" s="263">
        <v>8</v>
      </c>
      <c r="AT169" s="234">
        <f t="shared" si="225"/>
        <v>8</v>
      </c>
      <c r="AU169" s="238">
        <f t="shared" si="226"/>
        <v>0</v>
      </c>
      <c r="AV169" s="236">
        <f t="shared" si="227"/>
        <v>7.375</v>
      </c>
      <c r="AW169" s="237">
        <f t="shared" si="228"/>
        <v>0</v>
      </c>
      <c r="AX169" s="263">
        <v>14</v>
      </c>
      <c r="AY169" s="263">
        <v>5</v>
      </c>
      <c r="AZ169" s="228">
        <f t="shared" si="229"/>
        <v>9.5</v>
      </c>
      <c r="BA169" s="229">
        <f t="shared" si="230"/>
        <v>0</v>
      </c>
      <c r="BB169" s="236">
        <f t="shared" si="231"/>
        <v>9.5</v>
      </c>
      <c r="BC169" s="237">
        <f t="shared" si="232"/>
        <v>0</v>
      </c>
      <c r="BD169" s="239">
        <f t="shared" si="233"/>
        <v>9</v>
      </c>
      <c r="BE169" s="240">
        <f t="shared" si="234"/>
        <v>13</v>
      </c>
      <c r="BF169" s="263"/>
      <c r="BG169" s="263"/>
      <c r="BH169" s="264">
        <f t="shared" si="235"/>
        <v>0</v>
      </c>
      <c r="BI169" s="265">
        <f t="shared" si="236"/>
        <v>0</v>
      </c>
      <c r="BJ169" s="263"/>
      <c r="BK169" s="263"/>
      <c r="BL169" s="264">
        <f t="shared" si="237"/>
        <v>0</v>
      </c>
      <c r="BM169" s="265">
        <f t="shared" si="238"/>
        <v>0</v>
      </c>
      <c r="BN169" s="263"/>
      <c r="BO169" s="263"/>
      <c r="BP169" s="264">
        <f t="shared" si="239"/>
        <v>0</v>
      </c>
      <c r="BQ169" s="265">
        <f t="shared" si="240"/>
        <v>0</v>
      </c>
      <c r="BR169" s="266">
        <f t="shared" si="241"/>
        <v>0</v>
      </c>
      <c r="BS169" s="267">
        <f t="shared" si="242"/>
        <v>0</v>
      </c>
      <c r="BT169" s="263"/>
      <c r="BU169" s="263"/>
      <c r="BV169" s="264">
        <f t="shared" si="243"/>
        <v>0</v>
      </c>
      <c r="BW169" s="265">
        <f t="shared" si="244"/>
        <v>0</v>
      </c>
      <c r="BX169" s="263"/>
      <c r="BY169" s="263"/>
      <c r="BZ169" s="264">
        <f t="shared" si="245"/>
        <v>0</v>
      </c>
      <c r="CA169" s="265">
        <f t="shared" si="246"/>
        <v>0</v>
      </c>
      <c r="CB169" s="268">
        <f t="shared" si="247"/>
        <v>0</v>
      </c>
      <c r="CC169" s="267">
        <f t="shared" si="248"/>
        <v>0</v>
      </c>
      <c r="CD169" s="263"/>
      <c r="CE169" s="263"/>
      <c r="CF169" s="264">
        <f t="shared" si="249"/>
        <v>0</v>
      </c>
      <c r="CG169" s="265">
        <f t="shared" si="250"/>
        <v>0</v>
      </c>
      <c r="CH169" s="268">
        <f t="shared" si="251"/>
        <v>0</v>
      </c>
      <c r="CI169" s="267">
        <f t="shared" si="252"/>
        <v>0</v>
      </c>
      <c r="CJ169" s="263"/>
      <c r="CK169" s="269">
        <f t="shared" si="253"/>
        <v>0</v>
      </c>
      <c r="CL169" s="270">
        <f t="shared" si="254"/>
        <v>0</v>
      </c>
      <c r="CM169" s="268">
        <f t="shared" si="255"/>
        <v>0</v>
      </c>
      <c r="CN169" s="267">
        <f t="shared" si="256"/>
        <v>0</v>
      </c>
      <c r="CO169" s="65">
        <f t="shared" si="257"/>
        <v>0</v>
      </c>
      <c r="CP169" s="66">
        <f t="shared" si="258"/>
        <v>0</v>
      </c>
      <c r="CQ169" s="31">
        <f t="shared" si="198"/>
        <v>9</v>
      </c>
      <c r="CR169" s="32">
        <f t="shared" si="199"/>
        <v>13</v>
      </c>
      <c r="CS169" s="33">
        <f t="shared" si="200"/>
        <v>0</v>
      </c>
      <c r="CT169" s="34">
        <f t="shared" si="201"/>
        <v>0</v>
      </c>
      <c r="CU169" s="67">
        <f t="shared" si="202"/>
        <v>4.5</v>
      </c>
      <c r="CV169" s="35">
        <f t="shared" si="203"/>
        <v>13</v>
      </c>
      <c r="CW169" s="59">
        <f t="shared" si="204"/>
        <v>13</v>
      </c>
      <c r="CX169" s="43" t="str">
        <f t="shared" si="259"/>
        <v>مؤجل(ة)</v>
      </c>
      <c r="CY169" s="44"/>
      <c r="CZ169" s="50"/>
      <c r="DA169" s="46"/>
    </row>
    <row r="170" spans="2:105" ht="27.75" customHeight="1" thickBot="1">
      <c r="B170" s="1">
        <f t="shared" si="260"/>
        <v>32</v>
      </c>
      <c r="C170" s="324" t="s">
        <v>725</v>
      </c>
      <c r="D170" s="249" t="s">
        <v>183</v>
      </c>
      <c r="E170" s="47" t="s">
        <v>428</v>
      </c>
      <c r="F170" s="135">
        <v>34306</v>
      </c>
      <c r="G170" s="136" t="s">
        <v>746</v>
      </c>
      <c r="H170" s="131">
        <v>8</v>
      </c>
      <c r="I170" s="132">
        <v>16</v>
      </c>
      <c r="J170" s="133">
        <v>8.92</v>
      </c>
      <c r="K170" s="134">
        <v>20</v>
      </c>
      <c r="L170" s="53">
        <f t="shared" si="205"/>
        <v>8.4600000000000009</v>
      </c>
      <c r="M170" s="58">
        <f t="shared" si="206"/>
        <v>36</v>
      </c>
      <c r="N170" s="262">
        <v>10.5</v>
      </c>
      <c r="O170" s="263">
        <v>10.5</v>
      </c>
      <c r="P170" s="228">
        <f t="shared" si="207"/>
        <v>10.5</v>
      </c>
      <c r="Q170" s="229">
        <f t="shared" si="208"/>
        <v>5</v>
      </c>
      <c r="R170" s="262">
        <v>10</v>
      </c>
      <c r="S170" s="263">
        <v>10</v>
      </c>
      <c r="T170" s="228">
        <f t="shared" si="209"/>
        <v>10</v>
      </c>
      <c r="U170" s="229">
        <f t="shared" si="210"/>
        <v>6</v>
      </c>
      <c r="V170" s="262">
        <v>10</v>
      </c>
      <c r="W170" s="263">
        <v>10</v>
      </c>
      <c r="X170" s="228">
        <f t="shared" si="211"/>
        <v>10</v>
      </c>
      <c r="Y170" s="229">
        <f t="shared" si="212"/>
        <v>6</v>
      </c>
      <c r="Z170" s="232">
        <f t="shared" si="213"/>
        <v>10.166666666666666</v>
      </c>
      <c r="AA170" s="233">
        <f t="shared" si="214"/>
        <v>17</v>
      </c>
      <c r="AB170" s="263">
        <v>10.5</v>
      </c>
      <c r="AC170" s="234">
        <f t="shared" si="215"/>
        <v>10.5</v>
      </c>
      <c r="AD170" s="235">
        <f t="shared" si="216"/>
        <v>1</v>
      </c>
      <c r="AE170" s="262">
        <v>4</v>
      </c>
      <c r="AF170" s="263">
        <v>4</v>
      </c>
      <c r="AG170" s="228">
        <f t="shared" si="217"/>
        <v>4</v>
      </c>
      <c r="AH170" s="229">
        <f t="shared" si="218"/>
        <v>0</v>
      </c>
      <c r="AI170" s="262">
        <v>9</v>
      </c>
      <c r="AJ170" s="263">
        <v>1</v>
      </c>
      <c r="AK170" s="228">
        <f t="shared" si="219"/>
        <v>5</v>
      </c>
      <c r="AL170" s="229">
        <f t="shared" si="220"/>
        <v>0</v>
      </c>
      <c r="AM170" s="236">
        <f t="shared" si="221"/>
        <v>5.7</v>
      </c>
      <c r="AN170" s="237">
        <f t="shared" si="222"/>
        <v>1</v>
      </c>
      <c r="AO170" s="262">
        <v>11.5</v>
      </c>
      <c r="AP170" s="263">
        <v>11.5</v>
      </c>
      <c r="AQ170" s="228">
        <f t="shared" si="223"/>
        <v>11.5</v>
      </c>
      <c r="AR170" s="229">
        <f t="shared" si="224"/>
        <v>4</v>
      </c>
      <c r="AS170" s="263">
        <v>8.5</v>
      </c>
      <c r="AT170" s="234">
        <f t="shared" si="225"/>
        <v>8.5</v>
      </c>
      <c r="AU170" s="238">
        <f t="shared" si="226"/>
        <v>0</v>
      </c>
      <c r="AV170" s="236">
        <f t="shared" si="227"/>
        <v>10</v>
      </c>
      <c r="AW170" s="237">
        <f t="shared" si="228"/>
        <v>5</v>
      </c>
      <c r="AX170" s="263">
        <v>11.25</v>
      </c>
      <c r="AY170" s="263">
        <v>11.25</v>
      </c>
      <c r="AZ170" s="228">
        <f t="shared" si="229"/>
        <v>11.25</v>
      </c>
      <c r="BA170" s="229">
        <f t="shared" si="230"/>
        <v>1</v>
      </c>
      <c r="BB170" s="236">
        <f t="shared" si="231"/>
        <v>11.25</v>
      </c>
      <c r="BC170" s="237">
        <f t="shared" si="232"/>
        <v>1</v>
      </c>
      <c r="BD170" s="239">
        <f t="shared" si="233"/>
        <v>8.625</v>
      </c>
      <c r="BE170" s="240">
        <f t="shared" si="234"/>
        <v>24</v>
      </c>
      <c r="BF170" s="263"/>
      <c r="BG170" s="263"/>
      <c r="BH170" s="264">
        <f t="shared" si="235"/>
        <v>0</v>
      </c>
      <c r="BI170" s="265">
        <f t="shared" si="236"/>
        <v>0</v>
      </c>
      <c r="BJ170" s="263"/>
      <c r="BK170" s="263"/>
      <c r="BL170" s="264">
        <f t="shared" si="237"/>
        <v>0</v>
      </c>
      <c r="BM170" s="265">
        <f t="shared" si="238"/>
        <v>0</v>
      </c>
      <c r="BN170" s="263"/>
      <c r="BO170" s="263"/>
      <c r="BP170" s="264">
        <f t="shared" si="239"/>
        <v>0</v>
      </c>
      <c r="BQ170" s="265">
        <f t="shared" si="240"/>
        <v>0</v>
      </c>
      <c r="BR170" s="266">
        <f t="shared" si="241"/>
        <v>0</v>
      </c>
      <c r="BS170" s="267">
        <f t="shared" si="242"/>
        <v>0</v>
      </c>
      <c r="BT170" s="263"/>
      <c r="BU170" s="263"/>
      <c r="BV170" s="264">
        <f t="shared" si="243"/>
        <v>0</v>
      </c>
      <c r="BW170" s="265">
        <f t="shared" si="244"/>
        <v>0</v>
      </c>
      <c r="BX170" s="263"/>
      <c r="BY170" s="263"/>
      <c r="BZ170" s="264">
        <f t="shared" si="245"/>
        <v>0</v>
      </c>
      <c r="CA170" s="265">
        <f t="shared" si="246"/>
        <v>0</v>
      </c>
      <c r="CB170" s="268">
        <f t="shared" si="247"/>
        <v>0</v>
      </c>
      <c r="CC170" s="267">
        <f t="shared" si="248"/>
        <v>0</v>
      </c>
      <c r="CD170" s="263"/>
      <c r="CE170" s="263"/>
      <c r="CF170" s="264">
        <f t="shared" si="249"/>
        <v>0</v>
      </c>
      <c r="CG170" s="265">
        <f t="shared" si="250"/>
        <v>0</v>
      </c>
      <c r="CH170" s="268">
        <f t="shared" si="251"/>
        <v>0</v>
      </c>
      <c r="CI170" s="267">
        <f t="shared" si="252"/>
        <v>0</v>
      </c>
      <c r="CJ170" s="263"/>
      <c r="CK170" s="269">
        <f t="shared" si="253"/>
        <v>0</v>
      </c>
      <c r="CL170" s="270">
        <f t="shared" si="254"/>
        <v>0</v>
      </c>
      <c r="CM170" s="268">
        <f t="shared" si="255"/>
        <v>0</v>
      </c>
      <c r="CN170" s="267">
        <f t="shared" si="256"/>
        <v>0</v>
      </c>
      <c r="CO170" s="65">
        <f t="shared" si="257"/>
        <v>0</v>
      </c>
      <c r="CP170" s="66">
        <f t="shared" si="258"/>
        <v>0</v>
      </c>
      <c r="CQ170" s="31">
        <f t="shared" si="198"/>
        <v>8.625</v>
      </c>
      <c r="CR170" s="32">
        <f t="shared" si="199"/>
        <v>24</v>
      </c>
      <c r="CS170" s="33">
        <f t="shared" si="200"/>
        <v>0</v>
      </c>
      <c r="CT170" s="34">
        <f t="shared" si="201"/>
        <v>0</v>
      </c>
      <c r="CU170" s="67">
        <f t="shared" si="202"/>
        <v>4.3125</v>
      </c>
      <c r="CV170" s="35">
        <f t="shared" si="203"/>
        <v>24</v>
      </c>
      <c r="CW170" s="59">
        <f t="shared" si="204"/>
        <v>60</v>
      </c>
      <c r="CX170" s="43" t="str">
        <f t="shared" si="259"/>
        <v>مؤجل(ة)</v>
      </c>
      <c r="CY170" s="44"/>
      <c r="CZ170" s="50"/>
      <c r="DA170" s="46"/>
    </row>
    <row r="171" spans="2:105" ht="27.75" customHeight="1" thickBot="1">
      <c r="B171" s="1">
        <f t="shared" si="260"/>
        <v>33</v>
      </c>
      <c r="C171" s="324" t="s">
        <v>726</v>
      </c>
      <c r="D171" s="249" t="s">
        <v>727</v>
      </c>
      <c r="E171" s="47" t="s">
        <v>782</v>
      </c>
      <c r="F171" s="135">
        <v>35870</v>
      </c>
      <c r="G171" s="136" t="s">
        <v>746</v>
      </c>
      <c r="H171" s="131">
        <v>9.2799999999999994</v>
      </c>
      <c r="I171" s="132">
        <v>15</v>
      </c>
      <c r="J171" s="133">
        <v>8.6</v>
      </c>
      <c r="K171" s="134">
        <v>15</v>
      </c>
      <c r="L171" s="53">
        <f t="shared" si="205"/>
        <v>8.94</v>
      </c>
      <c r="M171" s="58">
        <f t="shared" si="206"/>
        <v>30</v>
      </c>
      <c r="N171" s="262">
        <v>9</v>
      </c>
      <c r="O171" s="263">
        <v>15</v>
      </c>
      <c r="P171" s="228">
        <f t="shared" si="207"/>
        <v>12</v>
      </c>
      <c r="Q171" s="229">
        <f t="shared" si="208"/>
        <v>5</v>
      </c>
      <c r="R171" s="262">
        <v>12</v>
      </c>
      <c r="S171" s="263">
        <v>5.75</v>
      </c>
      <c r="T171" s="228">
        <f t="shared" si="209"/>
        <v>8.875</v>
      </c>
      <c r="U171" s="229">
        <f t="shared" si="210"/>
        <v>0</v>
      </c>
      <c r="V171" s="262">
        <v>8</v>
      </c>
      <c r="W171" s="263">
        <v>2</v>
      </c>
      <c r="X171" s="228">
        <f t="shared" si="211"/>
        <v>5</v>
      </c>
      <c r="Y171" s="229">
        <f t="shared" si="212"/>
        <v>0</v>
      </c>
      <c r="Z171" s="232">
        <f t="shared" si="213"/>
        <v>8.625</v>
      </c>
      <c r="AA171" s="233">
        <f t="shared" si="214"/>
        <v>5</v>
      </c>
      <c r="AB171" s="263">
        <v>11</v>
      </c>
      <c r="AC171" s="234">
        <f t="shared" si="215"/>
        <v>11</v>
      </c>
      <c r="AD171" s="235">
        <f t="shared" si="216"/>
        <v>1</v>
      </c>
      <c r="AE171" s="262">
        <v>8</v>
      </c>
      <c r="AF171" s="263">
        <v>8</v>
      </c>
      <c r="AG171" s="228">
        <f t="shared" si="217"/>
        <v>8</v>
      </c>
      <c r="AH171" s="229">
        <f t="shared" si="218"/>
        <v>0</v>
      </c>
      <c r="AI171" s="262">
        <v>5</v>
      </c>
      <c r="AJ171" s="263">
        <v>0.5</v>
      </c>
      <c r="AK171" s="228">
        <f t="shared" si="219"/>
        <v>2.75</v>
      </c>
      <c r="AL171" s="229">
        <f t="shared" si="220"/>
        <v>0</v>
      </c>
      <c r="AM171" s="236">
        <f t="shared" si="221"/>
        <v>6.5</v>
      </c>
      <c r="AN171" s="237">
        <f t="shared" si="222"/>
        <v>1</v>
      </c>
      <c r="AO171" s="262">
        <v>10.5</v>
      </c>
      <c r="AP171" s="263">
        <v>5</v>
      </c>
      <c r="AQ171" s="228">
        <f t="shared" si="223"/>
        <v>7.75</v>
      </c>
      <c r="AR171" s="229">
        <f t="shared" si="224"/>
        <v>0</v>
      </c>
      <c r="AS171" s="263">
        <v>8.5</v>
      </c>
      <c r="AT171" s="234">
        <f t="shared" si="225"/>
        <v>8.5</v>
      </c>
      <c r="AU171" s="238">
        <f t="shared" si="226"/>
        <v>0</v>
      </c>
      <c r="AV171" s="236">
        <f t="shared" si="227"/>
        <v>8.125</v>
      </c>
      <c r="AW171" s="237">
        <f t="shared" si="228"/>
        <v>0</v>
      </c>
      <c r="AX171" s="263">
        <v>16</v>
      </c>
      <c r="AY171" s="263">
        <v>5</v>
      </c>
      <c r="AZ171" s="228">
        <f t="shared" si="229"/>
        <v>10.5</v>
      </c>
      <c r="BA171" s="229">
        <f t="shared" si="230"/>
        <v>1</v>
      </c>
      <c r="BB171" s="236">
        <f t="shared" si="231"/>
        <v>10.5</v>
      </c>
      <c r="BC171" s="237">
        <f t="shared" si="232"/>
        <v>1</v>
      </c>
      <c r="BD171" s="239">
        <f t="shared" si="233"/>
        <v>7.9285714285714288</v>
      </c>
      <c r="BE171" s="240">
        <f t="shared" si="234"/>
        <v>7</v>
      </c>
      <c r="BF171" s="263"/>
      <c r="BG171" s="263"/>
      <c r="BH171" s="264">
        <f t="shared" si="235"/>
        <v>0</v>
      </c>
      <c r="BI171" s="265">
        <f t="shared" si="236"/>
        <v>0</v>
      </c>
      <c r="BJ171" s="263"/>
      <c r="BK171" s="263"/>
      <c r="BL171" s="264">
        <f t="shared" si="237"/>
        <v>0</v>
      </c>
      <c r="BM171" s="265">
        <f t="shared" si="238"/>
        <v>0</v>
      </c>
      <c r="BN171" s="263"/>
      <c r="BO171" s="263"/>
      <c r="BP171" s="264">
        <f t="shared" si="239"/>
        <v>0</v>
      </c>
      <c r="BQ171" s="265">
        <f t="shared" si="240"/>
        <v>0</v>
      </c>
      <c r="BR171" s="266">
        <f t="shared" si="241"/>
        <v>0</v>
      </c>
      <c r="BS171" s="267">
        <f t="shared" si="242"/>
        <v>0</v>
      </c>
      <c r="BT171" s="263"/>
      <c r="BU171" s="263"/>
      <c r="BV171" s="264">
        <f t="shared" si="243"/>
        <v>0</v>
      </c>
      <c r="BW171" s="265">
        <f t="shared" si="244"/>
        <v>0</v>
      </c>
      <c r="BX171" s="263"/>
      <c r="BY171" s="263"/>
      <c r="BZ171" s="264">
        <f t="shared" si="245"/>
        <v>0</v>
      </c>
      <c r="CA171" s="265">
        <f t="shared" si="246"/>
        <v>0</v>
      </c>
      <c r="CB171" s="268">
        <f t="shared" si="247"/>
        <v>0</v>
      </c>
      <c r="CC171" s="267">
        <f t="shared" si="248"/>
        <v>0</v>
      </c>
      <c r="CD171" s="263"/>
      <c r="CE171" s="263"/>
      <c r="CF171" s="264">
        <f t="shared" si="249"/>
        <v>0</v>
      </c>
      <c r="CG171" s="265">
        <f t="shared" si="250"/>
        <v>0</v>
      </c>
      <c r="CH171" s="268">
        <f t="shared" si="251"/>
        <v>0</v>
      </c>
      <c r="CI171" s="267">
        <f t="shared" si="252"/>
        <v>0</v>
      </c>
      <c r="CJ171" s="263"/>
      <c r="CK171" s="269">
        <f t="shared" si="253"/>
        <v>0</v>
      </c>
      <c r="CL171" s="270">
        <f t="shared" si="254"/>
        <v>0</v>
      </c>
      <c r="CM171" s="268">
        <f t="shared" si="255"/>
        <v>0</v>
      </c>
      <c r="CN171" s="267">
        <f t="shared" si="256"/>
        <v>0</v>
      </c>
      <c r="CO171" s="65">
        <f t="shared" si="257"/>
        <v>0</v>
      </c>
      <c r="CP171" s="66">
        <f t="shared" si="258"/>
        <v>0</v>
      </c>
      <c r="CQ171" s="31">
        <f t="shared" si="198"/>
        <v>7.9285714285714288</v>
      </c>
      <c r="CR171" s="32">
        <f t="shared" si="199"/>
        <v>7</v>
      </c>
      <c r="CS171" s="33">
        <f t="shared" si="200"/>
        <v>0</v>
      </c>
      <c r="CT171" s="34">
        <f t="shared" si="201"/>
        <v>0</v>
      </c>
      <c r="CU171" s="67">
        <f t="shared" si="202"/>
        <v>3.9642857142857144</v>
      </c>
      <c r="CV171" s="35">
        <f t="shared" si="203"/>
        <v>7</v>
      </c>
      <c r="CW171" s="59">
        <f t="shared" si="204"/>
        <v>37</v>
      </c>
      <c r="CX171" s="43" t="str">
        <f t="shared" si="259"/>
        <v>مؤجل(ة)</v>
      </c>
      <c r="CZ171" s="51"/>
      <c r="DA171" s="46"/>
    </row>
    <row r="172" spans="2:105" ht="27.75" customHeight="1" thickBot="1">
      <c r="B172" s="1">
        <f t="shared" si="260"/>
        <v>34</v>
      </c>
      <c r="C172" s="324" t="s">
        <v>728</v>
      </c>
      <c r="D172" s="249" t="s">
        <v>729</v>
      </c>
      <c r="E172" s="47" t="s">
        <v>460</v>
      </c>
      <c r="F172" s="135">
        <v>35028</v>
      </c>
      <c r="G172" s="136" t="s">
        <v>442</v>
      </c>
      <c r="H172" s="131">
        <v>8.89</v>
      </c>
      <c r="I172" s="132">
        <v>16</v>
      </c>
      <c r="J172" s="133">
        <v>8.85</v>
      </c>
      <c r="K172" s="134">
        <v>9</v>
      </c>
      <c r="L172" s="53">
        <f t="shared" si="205"/>
        <v>8.870000000000001</v>
      </c>
      <c r="M172" s="58">
        <f t="shared" si="206"/>
        <v>25</v>
      </c>
      <c r="N172" s="262">
        <v>0.5</v>
      </c>
      <c r="O172" s="263">
        <v>3</v>
      </c>
      <c r="P172" s="228">
        <f t="shared" si="207"/>
        <v>1.75</v>
      </c>
      <c r="Q172" s="229">
        <f t="shared" si="208"/>
        <v>0</v>
      </c>
      <c r="R172" s="262">
        <v>11</v>
      </c>
      <c r="S172" s="263">
        <v>4.75</v>
      </c>
      <c r="T172" s="228">
        <f t="shared" si="209"/>
        <v>7.875</v>
      </c>
      <c r="U172" s="229">
        <f t="shared" si="210"/>
        <v>0</v>
      </c>
      <c r="V172" s="262">
        <v>7.5</v>
      </c>
      <c r="W172" s="263">
        <v>1</v>
      </c>
      <c r="X172" s="228">
        <f t="shared" si="211"/>
        <v>4.25</v>
      </c>
      <c r="Y172" s="229">
        <f t="shared" si="212"/>
        <v>0</v>
      </c>
      <c r="Z172" s="232">
        <f t="shared" si="213"/>
        <v>4.625</v>
      </c>
      <c r="AA172" s="233">
        <f t="shared" si="214"/>
        <v>0</v>
      </c>
      <c r="AB172" s="263">
        <v>4</v>
      </c>
      <c r="AC172" s="234">
        <f t="shared" si="215"/>
        <v>4</v>
      </c>
      <c r="AD172" s="235">
        <f t="shared" si="216"/>
        <v>0</v>
      </c>
      <c r="AE172" s="262">
        <v>5.5</v>
      </c>
      <c r="AF172" s="263">
        <v>5.5</v>
      </c>
      <c r="AG172" s="228">
        <f t="shared" si="217"/>
        <v>5.5</v>
      </c>
      <c r="AH172" s="229">
        <f t="shared" si="218"/>
        <v>0</v>
      </c>
      <c r="AI172" s="262">
        <v>7</v>
      </c>
      <c r="AJ172" s="263">
        <v>1</v>
      </c>
      <c r="AK172" s="228">
        <f t="shared" si="219"/>
        <v>4</v>
      </c>
      <c r="AL172" s="229">
        <f t="shared" si="220"/>
        <v>0</v>
      </c>
      <c r="AM172" s="236">
        <f t="shared" si="221"/>
        <v>4.5999999999999996</v>
      </c>
      <c r="AN172" s="237">
        <f t="shared" si="222"/>
        <v>0</v>
      </c>
      <c r="AO172" s="262">
        <v>10.5</v>
      </c>
      <c r="AP172" s="263">
        <v>5</v>
      </c>
      <c r="AQ172" s="228">
        <f t="shared" si="223"/>
        <v>7.75</v>
      </c>
      <c r="AR172" s="229">
        <f t="shared" si="224"/>
        <v>0</v>
      </c>
      <c r="AS172" s="263">
        <v>7</v>
      </c>
      <c r="AT172" s="234">
        <f t="shared" si="225"/>
        <v>7</v>
      </c>
      <c r="AU172" s="238">
        <f t="shared" si="226"/>
        <v>0</v>
      </c>
      <c r="AV172" s="236">
        <f t="shared" si="227"/>
        <v>7.375</v>
      </c>
      <c r="AW172" s="237">
        <f t="shared" si="228"/>
        <v>0</v>
      </c>
      <c r="AX172" s="263">
        <v>13</v>
      </c>
      <c r="AY172" s="263">
        <v>11.5</v>
      </c>
      <c r="AZ172" s="228">
        <f t="shared" si="229"/>
        <v>12.25</v>
      </c>
      <c r="BA172" s="229">
        <f t="shared" si="230"/>
        <v>1</v>
      </c>
      <c r="BB172" s="236">
        <f t="shared" si="231"/>
        <v>12.25</v>
      </c>
      <c r="BC172" s="237">
        <f t="shared" si="232"/>
        <v>1</v>
      </c>
      <c r="BD172" s="239">
        <f t="shared" si="233"/>
        <v>5.5535714285714288</v>
      </c>
      <c r="BE172" s="240">
        <f t="shared" si="234"/>
        <v>1</v>
      </c>
      <c r="BF172" s="263"/>
      <c r="BG172" s="263"/>
      <c r="BH172" s="264">
        <f t="shared" si="235"/>
        <v>0</v>
      </c>
      <c r="BI172" s="265">
        <f t="shared" si="236"/>
        <v>0</v>
      </c>
      <c r="BJ172" s="263"/>
      <c r="BK172" s="263"/>
      <c r="BL172" s="264">
        <f t="shared" si="237"/>
        <v>0</v>
      </c>
      <c r="BM172" s="265">
        <f t="shared" si="238"/>
        <v>0</v>
      </c>
      <c r="BN172" s="263"/>
      <c r="BO172" s="263"/>
      <c r="BP172" s="264">
        <f t="shared" si="239"/>
        <v>0</v>
      </c>
      <c r="BQ172" s="265">
        <f t="shared" si="240"/>
        <v>0</v>
      </c>
      <c r="BR172" s="266">
        <f t="shared" si="241"/>
        <v>0</v>
      </c>
      <c r="BS172" s="267">
        <f t="shared" si="242"/>
        <v>0</v>
      </c>
      <c r="BT172" s="263"/>
      <c r="BU172" s="263"/>
      <c r="BV172" s="264">
        <f t="shared" si="243"/>
        <v>0</v>
      </c>
      <c r="BW172" s="265">
        <f t="shared" si="244"/>
        <v>0</v>
      </c>
      <c r="BX172" s="263"/>
      <c r="BY172" s="263"/>
      <c r="BZ172" s="264">
        <f t="shared" si="245"/>
        <v>0</v>
      </c>
      <c r="CA172" s="265">
        <f t="shared" si="246"/>
        <v>0</v>
      </c>
      <c r="CB172" s="268">
        <f t="shared" si="247"/>
        <v>0</v>
      </c>
      <c r="CC172" s="267">
        <f t="shared" si="248"/>
        <v>0</v>
      </c>
      <c r="CD172" s="263"/>
      <c r="CE172" s="263"/>
      <c r="CF172" s="264">
        <f t="shared" si="249"/>
        <v>0</v>
      </c>
      <c r="CG172" s="265">
        <f t="shared" si="250"/>
        <v>0</v>
      </c>
      <c r="CH172" s="268">
        <f t="shared" si="251"/>
        <v>0</v>
      </c>
      <c r="CI172" s="267">
        <f t="shared" si="252"/>
        <v>0</v>
      </c>
      <c r="CJ172" s="263"/>
      <c r="CK172" s="269">
        <f t="shared" si="253"/>
        <v>0</v>
      </c>
      <c r="CL172" s="270">
        <f t="shared" si="254"/>
        <v>0</v>
      </c>
      <c r="CM172" s="268">
        <f t="shared" si="255"/>
        <v>0</v>
      </c>
      <c r="CN172" s="267">
        <f t="shared" si="256"/>
        <v>0</v>
      </c>
      <c r="CO172" s="65">
        <f t="shared" si="257"/>
        <v>0</v>
      </c>
      <c r="CP172" s="66">
        <f t="shared" si="258"/>
        <v>0</v>
      </c>
      <c r="CQ172" s="31">
        <f t="shared" si="198"/>
        <v>5.5535714285714288</v>
      </c>
      <c r="CR172" s="32">
        <f t="shared" si="199"/>
        <v>1</v>
      </c>
      <c r="CS172" s="33">
        <f t="shared" si="200"/>
        <v>0</v>
      </c>
      <c r="CT172" s="34">
        <f t="shared" si="201"/>
        <v>0</v>
      </c>
      <c r="CU172" s="67">
        <f t="shared" si="202"/>
        <v>2.7767857142857144</v>
      </c>
      <c r="CV172" s="35">
        <f t="shared" si="203"/>
        <v>1</v>
      </c>
      <c r="CW172" s="59">
        <f t="shared" si="204"/>
        <v>26</v>
      </c>
      <c r="CX172" s="43" t="str">
        <f t="shared" si="259"/>
        <v>مؤجل(ة)</v>
      </c>
      <c r="CZ172" s="51"/>
      <c r="DA172" s="46"/>
    </row>
    <row r="173" spans="2:105" ht="27.75" customHeight="1" thickBot="1">
      <c r="B173" s="1">
        <f t="shared" si="260"/>
        <v>35</v>
      </c>
      <c r="C173" s="324" t="s">
        <v>730</v>
      </c>
      <c r="D173" s="249" t="s">
        <v>731</v>
      </c>
      <c r="E173" s="47"/>
      <c r="F173" s="135"/>
      <c r="G173" s="136"/>
      <c r="H173" s="131"/>
      <c r="I173" s="132"/>
      <c r="J173" s="133"/>
      <c r="K173" s="134"/>
      <c r="L173" s="53">
        <f t="shared" si="205"/>
        <v>0</v>
      </c>
      <c r="M173" s="58">
        <f t="shared" si="206"/>
        <v>0</v>
      </c>
      <c r="N173" s="262">
        <v>16.5</v>
      </c>
      <c r="O173" s="263">
        <v>5.75</v>
      </c>
      <c r="P173" s="228">
        <f t="shared" si="207"/>
        <v>11.125</v>
      </c>
      <c r="Q173" s="229">
        <f t="shared" si="208"/>
        <v>5</v>
      </c>
      <c r="R173" s="262">
        <v>10</v>
      </c>
      <c r="S173" s="263">
        <v>7.5</v>
      </c>
      <c r="T173" s="228">
        <f t="shared" si="209"/>
        <v>8.75</v>
      </c>
      <c r="U173" s="229">
        <f t="shared" si="210"/>
        <v>0</v>
      </c>
      <c r="V173" s="262">
        <v>8</v>
      </c>
      <c r="W173" s="263">
        <v>3.75</v>
      </c>
      <c r="X173" s="228">
        <f t="shared" si="211"/>
        <v>5.875</v>
      </c>
      <c r="Y173" s="229">
        <f t="shared" si="212"/>
        <v>0</v>
      </c>
      <c r="Z173" s="232">
        <f t="shared" si="213"/>
        <v>8.5833333333333339</v>
      </c>
      <c r="AA173" s="233">
        <f t="shared" si="214"/>
        <v>5</v>
      </c>
      <c r="AB173" s="263">
        <v>15.5</v>
      </c>
      <c r="AC173" s="234">
        <f t="shared" si="215"/>
        <v>15.5</v>
      </c>
      <c r="AD173" s="235">
        <f t="shared" si="216"/>
        <v>1</v>
      </c>
      <c r="AE173" s="262">
        <v>11</v>
      </c>
      <c r="AF173" s="263">
        <v>11</v>
      </c>
      <c r="AG173" s="228">
        <f t="shared" si="217"/>
        <v>11</v>
      </c>
      <c r="AH173" s="229">
        <f t="shared" si="218"/>
        <v>3</v>
      </c>
      <c r="AI173" s="262">
        <v>10</v>
      </c>
      <c r="AJ173" s="263">
        <v>7</v>
      </c>
      <c r="AK173" s="228">
        <f t="shared" si="219"/>
        <v>8.5</v>
      </c>
      <c r="AL173" s="229">
        <f t="shared" si="220"/>
        <v>0</v>
      </c>
      <c r="AM173" s="236">
        <f t="shared" si="221"/>
        <v>10.9</v>
      </c>
      <c r="AN173" s="237">
        <f t="shared" si="222"/>
        <v>7</v>
      </c>
      <c r="AO173" s="262">
        <v>10.5</v>
      </c>
      <c r="AP173" s="263">
        <v>5</v>
      </c>
      <c r="AQ173" s="228">
        <f t="shared" si="223"/>
        <v>7.75</v>
      </c>
      <c r="AR173" s="229">
        <f t="shared" si="224"/>
        <v>0</v>
      </c>
      <c r="AS173" s="263">
        <v>11.5</v>
      </c>
      <c r="AT173" s="234">
        <f t="shared" si="225"/>
        <v>11.5</v>
      </c>
      <c r="AU173" s="238">
        <f t="shared" si="226"/>
        <v>1</v>
      </c>
      <c r="AV173" s="236">
        <f t="shared" si="227"/>
        <v>9.625</v>
      </c>
      <c r="AW173" s="237">
        <f t="shared" si="228"/>
        <v>1</v>
      </c>
      <c r="AX173" s="263">
        <v>18</v>
      </c>
      <c r="AY173" s="263">
        <v>14.5</v>
      </c>
      <c r="AZ173" s="228">
        <f t="shared" si="229"/>
        <v>16.25</v>
      </c>
      <c r="BA173" s="229">
        <f t="shared" si="230"/>
        <v>1</v>
      </c>
      <c r="BB173" s="236">
        <f t="shared" si="231"/>
        <v>16.25</v>
      </c>
      <c r="BC173" s="237">
        <f t="shared" si="232"/>
        <v>1</v>
      </c>
      <c r="BD173" s="239">
        <f t="shared" si="233"/>
        <v>10.107142857142858</v>
      </c>
      <c r="BE173" s="240">
        <f t="shared" si="234"/>
        <v>30</v>
      </c>
      <c r="BF173" s="263"/>
      <c r="BG173" s="263"/>
      <c r="BH173" s="264">
        <f t="shared" si="235"/>
        <v>0</v>
      </c>
      <c r="BI173" s="265">
        <f t="shared" si="236"/>
        <v>0</v>
      </c>
      <c r="BJ173" s="263"/>
      <c r="BK173" s="263"/>
      <c r="BL173" s="264">
        <f t="shared" si="237"/>
        <v>0</v>
      </c>
      <c r="BM173" s="265">
        <f t="shared" si="238"/>
        <v>0</v>
      </c>
      <c r="BN173" s="263"/>
      <c r="BO173" s="263"/>
      <c r="BP173" s="264">
        <f t="shared" si="239"/>
        <v>0</v>
      </c>
      <c r="BQ173" s="265">
        <f t="shared" si="240"/>
        <v>0</v>
      </c>
      <c r="BR173" s="266">
        <f t="shared" si="241"/>
        <v>0</v>
      </c>
      <c r="BS173" s="267">
        <f t="shared" si="242"/>
        <v>0</v>
      </c>
      <c r="BT173" s="263"/>
      <c r="BU173" s="263"/>
      <c r="BV173" s="264">
        <f t="shared" si="243"/>
        <v>0</v>
      </c>
      <c r="BW173" s="265">
        <f t="shared" si="244"/>
        <v>0</v>
      </c>
      <c r="BX173" s="263"/>
      <c r="BY173" s="263"/>
      <c r="BZ173" s="264">
        <f t="shared" si="245"/>
        <v>0</v>
      </c>
      <c r="CA173" s="265">
        <f t="shared" si="246"/>
        <v>0</v>
      </c>
      <c r="CB173" s="268">
        <f t="shared" si="247"/>
        <v>0</v>
      </c>
      <c r="CC173" s="267">
        <f t="shared" si="248"/>
        <v>0</v>
      </c>
      <c r="CD173" s="263"/>
      <c r="CE173" s="263"/>
      <c r="CF173" s="264">
        <f t="shared" si="249"/>
        <v>0</v>
      </c>
      <c r="CG173" s="265">
        <f t="shared" si="250"/>
        <v>0</v>
      </c>
      <c r="CH173" s="268">
        <f t="shared" si="251"/>
        <v>0</v>
      </c>
      <c r="CI173" s="267">
        <f t="shared" si="252"/>
        <v>0</v>
      </c>
      <c r="CJ173" s="263"/>
      <c r="CK173" s="269">
        <f t="shared" si="253"/>
        <v>0</v>
      </c>
      <c r="CL173" s="270">
        <f t="shared" si="254"/>
        <v>0</v>
      </c>
      <c r="CM173" s="268">
        <f t="shared" si="255"/>
        <v>0</v>
      </c>
      <c r="CN173" s="267">
        <f t="shared" si="256"/>
        <v>0</v>
      </c>
      <c r="CO173" s="65">
        <f t="shared" si="257"/>
        <v>0</v>
      </c>
      <c r="CP173" s="66">
        <f t="shared" si="258"/>
        <v>0</v>
      </c>
      <c r="CQ173" s="31">
        <f t="shared" si="198"/>
        <v>10.107142857142858</v>
      </c>
      <c r="CR173" s="32">
        <f t="shared" si="199"/>
        <v>30</v>
      </c>
      <c r="CS173" s="33">
        <f t="shared" si="200"/>
        <v>0</v>
      </c>
      <c r="CT173" s="34">
        <f t="shared" si="201"/>
        <v>0</v>
      </c>
      <c r="CU173" s="67">
        <f t="shared" si="202"/>
        <v>5.0535714285714288</v>
      </c>
      <c r="CV173" s="35">
        <f t="shared" si="203"/>
        <v>30</v>
      </c>
      <c r="CW173" s="59">
        <f t="shared" si="204"/>
        <v>30</v>
      </c>
      <c r="CX173" s="43" t="str">
        <f t="shared" si="259"/>
        <v>مؤجل(ة)</v>
      </c>
      <c r="CZ173" s="51"/>
      <c r="DA173" s="46"/>
    </row>
    <row r="174" spans="2:105" ht="27.75" customHeight="1" thickBot="1">
      <c r="B174" s="1">
        <f t="shared" si="260"/>
        <v>36</v>
      </c>
      <c r="C174" s="324" t="s">
        <v>732</v>
      </c>
      <c r="D174" s="249" t="s">
        <v>150</v>
      </c>
      <c r="E174" s="47"/>
      <c r="F174" s="135"/>
      <c r="G174" s="136"/>
      <c r="H174" s="131"/>
      <c r="I174" s="132"/>
      <c r="J174" s="133"/>
      <c r="K174" s="134"/>
      <c r="L174" s="53">
        <f t="shared" si="205"/>
        <v>0</v>
      </c>
      <c r="M174" s="58">
        <f t="shared" si="206"/>
        <v>0</v>
      </c>
      <c r="N174" s="262">
        <v>4</v>
      </c>
      <c r="O174" s="263"/>
      <c r="P174" s="228">
        <f t="shared" si="207"/>
        <v>2</v>
      </c>
      <c r="Q174" s="229">
        <f t="shared" si="208"/>
        <v>0</v>
      </c>
      <c r="R174" s="262">
        <v>11</v>
      </c>
      <c r="S174" s="263"/>
      <c r="T174" s="228">
        <f t="shared" si="209"/>
        <v>5.5</v>
      </c>
      <c r="U174" s="229">
        <f t="shared" si="210"/>
        <v>0</v>
      </c>
      <c r="V174" s="262"/>
      <c r="W174" s="263"/>
      <c r="X174" s="228">
        <f t="shared" si="211"/>
        <v>0</v>
      </c>
      <c r="Y174" s="229">
        <f t="shared" si="212"/>
        <v>0</v>
      </c>
      <c r="Z174" s="232">
        <f t="shared" si="213"/>
        <v>2.5</v>
      </c>
      <c r="AA174" s="233">
        <f t="shared" si="214"/>
        <v>0</v>
      </c>
      <c r="AB174" s="263"/>
      <c r="AC174" s="234">
        <f t="shared" si="215"/>
        <v>0</v>
      </c>
      <c r="AD174" s="235">
        <f t="shared" si="216"/>
        <v>0</v>
      </c>
      <c r="AE174" s="262"/>
      <c r="AF174" s="263"/>
      <c r="AG174" s="228">
        <f t="shared" si="217"/>
        <v>0</v>
      </c>
      <c r="AH174" s="229">
        <f t="shared" si="218"/>
        <v>0</v>
      </c>
      <c r="AI174" s="262"/>
      <c r="AJ174" s="263"/>
      <c r="AK174" s="228">
        <f t="shared" si="219"/>
        <v>0</v>
      </c>
      <c r="AL174" s="229">
        <f t="shared" si="220"/>
        <v>0</v>
      </c>
      <c r="AM174" s="236">
        <f t="shared" si="221"/>
        <v>0</v>
      </c>
      <c r="AN174" s="237">
        <f t="shared" si="222"/>
        <v>0</v>
      </c>
      <c r="AO174" s="262"/>
      <c r="AP174" s="263"/>
      <c r="AQ174" s="228">
        <f t="shared" si="223"/>
        <v>0</v>
      </c>
      <c r="AR174" s="229">
        <f t="shared" si="224"/>
        <v>0</v>
      </c>
      <c r="AS174" s="263"/>
      <c r="AT174" s="234">
        <f t="shared" si="225"/>
        <v>0</v>
      </c>
      <c r="AU174" s="238">
        <f t="shared" si="226"/>
        <v>0</v>
      </c>
      <c r="AV174" s="236">
        <f t="shared" si="227"/>
        <v>0</v>
      </c>
      <c r="AW174" s="237">
        <f t="shared" si="228"/>
        <v>0</v>
      </c>
      <c r="AX174" s="263"/>
      <c r="AY174" s="263"/>
      <c r="AZ174" s="228">
        <f t="shared" si="229"/>
        <v>0</v>
      </c>
      <c r="BA174" s="229">
        <f t="shared" si="230"/>
        <v>0</v>
      </c>
      <c r="BB174" s="236">
        <f t="shared" si="231"/>
        <v>0</v>
      </c>
      <c r="BC174" s="237">
        <f t="shared" si="232"/>
        <v>0</v>
      </c>
      <c r="BD174" s="239">
        <f t="shared" si="233"/>
        <v>1.0714285714285714</v>
      </c>
      <c r="BE174" s="240">
        <f t="shared" si="234"/>
        <v>0</v>
      </c>
      <c r="BF174" s="263"/>
      <c r="BG174" s="263"/>
      <c r="BH174" s="264">
        <f t="shared" si="235"/>
        <v>0</v>
      </c>
      <c r="BI174" s="265">
        <f t="shared" si="236"/>
        <v>0</v>
      </c>
      <c r="BJ174" s="263"/>
      <c r="BK174" s="263"/>
      <c r="BL174" s="264">
        <f t="shared" si="237"/>
        <v>0</v>
      </c>
      <c r="BM174" s="265">
        <f t="shared" si="238"/>
        <v>0</v>
      </c>
      <c r="BN174" s="263"/>
      <c r="BO174" s="263"/>
      <c r="BP174" s="264">
        <f t="shared" si="239"/>
        <v>0</v>
      </c>
      <c r="BQ174" s="265">
        <f t="shared" si="240"/>
        <v>0</v>
      </c>
      <c r="BR174" s="266">
        <f t="shared" si="241"/>
        <v>0</v>
      </c>
      <c r="BS174" s="267">
        <f t="shared" si="242"/>
        <v>0</v>
      </c>
      <c r="BT174" s="263"/>
      <c r="BU174" s="263"/>
      <c r="BV174" s="264">
        <f t="shared" si="243"/>
        <v>0</v>
      </c>
      <c r="BW174" s="265">
        <f t="shared" si="244"/>
        <v>0</v>
      </c>
      <c r="BX174" s="263"/>
      <c r="BY174" s="263"/>
      <c r="BZ174" s="264">
        <f t="shared" si="245"/>
        <v>0</v>
      </c>
      <c r="CA174" s="265">
        <f t="shared" si="246"/>
        <v>0</v>
      </c>
      <c r="CB174" s="268">
        <f t="shared" si="247"/>
        <v>0</v>
      </c>
      <c r="CC174" s="267">
        <f t="shared" si="248"/>
        <v>0</v>
      </c>
      <c r="CD174" s="263"/>
      <c r="CE174" s="263"/>
      <c r="CF174" s="264">
        <f t="shared" si="249"/>
        <v>0</v>
      </c>
      <c r="CG174" s="265">
        <f t="shared" si="250"/>
        <v>0</v>
      </c>
      <c r="CH174" s="268">
        <f t="shared" si="251"/>
        <v>0</v>
      </c>
      <c r="CI174" s="267">
        <f t="shared" si="252"/>
        <v>0</v>
      </c>
      <c r="CJ174" s="263"/>
      <c r="CK174" s="269">
        <f t="shared" si="253"/>
        <v>0</v>
      </c>
      <c r="CL174" s="270">
        <f t="shared" si="254"/>
        <v>0</v>
      </c>
      <c r="CM174" s="268">
        <f t="shared" si="255"/>
        <v>0</v>
      </c>
      <c r="CN174" s="267">
        <f t="shared" si="256"/>
        <v>0</v>
      </c>
      <c r="CO174" s="65">
        <f t="shared" si="257"/>
        <v>0</v>
      </c>
      <c r="CP174" s="66">
        <f t="shared" si="258"/>
        <v>0</v>
      </c>
      <c r="CQ174" s="31">
        <f t="shared" si="198"/>
        <v>1.0714285714285714</v>
      </c>
      <c r="CR174" s="32">
        <f t="shared" si="199"/>
        <v>0</v>
      </c>
      <c r="CS174" s="33">
        <f t="shared" si="200"/>
        <v>0</v>
      </c>
      <c r="CT174" s="34">
        <f t="shared" si="201"/>
        <v>0</v>
      </c>
      <c r="CU174" s="67">
        <f t="shared" si="202"/>
        <v>0.5357142857142857</v>
      </c>
      <c r="CV174" s="35">
        <f t="shared" si="203"/>
        <v>0</v>
      </c>
      <c r="CW174" s="59">
        <f t="shared" si="204"/>
        <v>0</v>
      </c>
      <c r="CX174" s="43" t="str">
        <f t="shared" si="259"/>
        <v>مؤجل(ة)</v>
      </c>
      <c r="CZ174" s="51"/>
      <c r="DA174" s="46"/>
    </row>
    <row r="175" spans="2:105" ht="27.75" customHeight="1" thickBot="1">
      <c r="B175" s="1">
        <f t="shared" si="260"/>
        <v>37</v>
      </c>
      <c r="C175" s="324" t="s">
        <v>733</v>
      </c>
      <c r="D175" s="249" t="s">
        <v>734</v>
      </c>
      <c r="E175" s="47" t="s">
        <v>785</v>
      </c>
      <c r="F175" s="135">
        <v>35266</v>
      </c>
      <c r="G175" s="136" t="s">
        <v>110</v>
      </c>
      <c r="H175" s="131"/>
      <c r="I175" s="132"/>
      <c r="J175" s="133"/>
      <c r="K175" s="134"/>
      <c r="L175" s="53">
        <f t="shared" si="205"/>
        <v>0</v>
      </c>
      <c r="M175" s="58">
        <f t="shared" si="206"/>
        <v>0</v>
      </c>
      <c r="N175" s="262">
        <v>3.5</v>
      </c>
      <c r="O175" s="263"/>
      <c r="P175" s="228">
        <f t="shared" si="207"/>
        <v>1.75</v>
      </c>
      <c r="Q175" s="229">
        <f t="shared" si="208"/>
        <v>0</v>
      </c>
      <c r="R175" s="262">
        <v>11</v>
      </c>
      <c r="S175" s="263"/>
      <c r="T175" s="228">
        <f t="shared" si="209"/>
        <v>5.5</v>
      </c>
      <c r="U175" s="229">
        <f t="shared" si="210"/>
        <v>0</v>
      </c>
      <c r="V175" s="262"/>
      <c r="W175" s="263"/>
      <c r="X175" s="228">
        <f t="shared" si="211"/>
        <v>0</v>
      </c>
      <c r="Y175" s="229">
        <f t="shared" si="212"/>
        <v>0</v>
      </c>
      <c r="Z175" s="232">
        <f t="shared" si="213"/>
        <v>2.4166666666666665</v>
      </c>
      <c r="AA175" s="233">
        <f t="shared" si="214"/>
        <v>0</v>
      </c>
      <c r="AB175" s="263"/>
      <c r="AC175" s="234">
        <f t="shared" si="215"/>
        <v>0</v>
      </c>
      <c r="AD175" s="235">
        <f t="shared" si="216"/>
        <v>0</v>
      </c>
      <c r="AE175" s="262"/>
      <c r="AF175" s="263"/>
      <c r="AG175" s="228">
        <f t="shared" si="217"/>
        <v>0</v>
      </c>
      <c r="AH175" s="229">
        <f t="shared" si="218"/>
        <v>0</v>
      </c>
      <c r="AI175" s="262">
        <v>6</v>
      </c>
      <c r="AJ175" s="263"/>
      <c r="AK175" s="228">
        <f t="shared" si="219"/>
        <v>3</v>
      </c>
      <c r="AL175" s="229">
        <f t="shared" si="220"/>
        <v>0</v>
      </c>
      <c r="AM175" s="236">
        <f t="shared" si="221"/>
        <v>1.2</v>
      </c>
      <c r="AN175" s="237">
        <f t="shared" si="222"/>
        <v>0</v>
      </c>
      <c r="AO175" s="262"/>
      <c r="AP175" s="263"/>
      <c r="AQ175" s="228">
        <f t="shared" si="223"/>
        <v>0</v>
      </c>
      <c r="AR175" s="229">
        <f t="shared" si="224"/>
        <v>0</v>
      </c>
      <c r="AS175" s="263"/>
      <c r="AT175" s="234">
        <f t="shared" si="225"/>
        <v>0</v>
      </c>
      <c r="AU175" s="238">
        <f t="shared" si="226"/>
        <v>0</v>
      </c>
      <c r="AV175" s="236">
        <f t="shared" si="227"/>
        <v>0</v>
      </c>
      <c r="AW175" s="237">
        <f t="shared" si="228"/>
        <v>0</v>
      </c>
      <c r="AX175" s="263"/>
      <c r="AY175" s="263"/>
      <c r="AZ175" s="228">
        <f t="shared" si="229"/>
        <v>0</v>
      </c>
      <c r="BA175" s="229">
        <f t="shared" si="230"/>
        <v>0</v>
      </c>
      <c r="BB175" s="236">
        <f t="shared" si="231"/>
        <v>0</v>
      </c>
      <c r="BC175" s="237">
        <f t="shared" si="232"/>
        <v>0</v>
      </c>
      <c r="BD175" s="239">
        <f t="shared" si="233"/>
        <v>1.4642857142857142</v>
      </c>
      <c r="BE175" s="240">
        <f t="shared" si="234"/>
        <v>0</v>
      </c>
      <c r="BF175" s="263"/>
      <c r="BG175" s="263"/>
      <c r="BH175" s="264">
        <f t="shared" si="235"/>
        <v>0</v>
      </c>
      <c r="BI175" s="265">
        <f t="shared" si="236"/>
        <v>0</v>
      </c>
      <c r="BJ175" s="263"/>
      <c r="BK175" s="263"/>
      <c r="BL175" s="264">
        <f t="shared" si="237"/>
        <v>0</v>
      </c>
      <c r="BM175" s="265">
        <f t="shared" si="238"/>
        <v>0</v>
      </c>
      <c r="BN175" s="263"/>
      <c r="BO175" s="263"/>
      <c r="BP175" s="264">
        <f t="shared" si="239"/>
        <v>0</v>
      </c>
      <c r="BQ175" s="265">
        <f t="shared" si="240"/>
        <v>0</v>
      </c>
      <c r="BR175" s="266">
        <f t="shared" si="241"/>
        <v>0</v>
      </c>
      <c r="BS175" s="267">
        <f t="shared" si="242"/>
        <v>0</v>
      </c>
      <c r="BT175" s="263"/>
      <c r="BU175" s="263"/>
      <c r="BV175" s="264">
        <f t="shared" si="243"/>
        <v>0</v>
      </c>
      <c r="BW175" s="265">
        <f t="shared" si="244"/>
        <v>0</v>
      </c>
      <c r="BX175" s="263"/>
      <c r="BY175" s="263"/>
      <c r="BZ175" s="264">
        <f t="shared" si="245"/>
        <v>0</v>
      </c>
      <c r="CA175" s="265">
        <f t="shared" si="246"/>
        <v>0</v>
      </c>
      <c r="CB175" s="268">
        <f t="shared" si="247"/>
        <v>0</v>
      </c>
      <c r="CC175" s="267">
        <f t="shared" si="248"/>
        <v>0</v>
      </c>
      <c r="CD175" s="263"/>
      <c r="CE175" s="263"/>
      <c r="CF175" s="264">
        <f t="shared" si="249"/>
        <v>0</v>
      </c>
      <c r="CG175" s="265">
        <f t="shared" si="250"/>
        <v>0</v>
      </c>
      <c r="CH175" s="268">
        <f t="shared" si="251"/>
        <v>0</v>
      </c>
      <c r="CI175" s="267">
        <f t="shared" si="252"/>
        <v>0</v>
      </c>
      <c r="CJ175" s="263"/>
      <c r="CK175" s="269">
        <f t="shared" si="253"/>
        <v>0</v>
      </c>
      <c r="CL175" s="270">
        <f t="shared" si="254"/>
        <v>0</v>
      </c>
      <c r="CM175" s="268">
        <f t="shared" si="255"/>
        <v>0</v>
      </c>
      <c r="CN175" s="267">
        <f t="shared" si="256"/>
        <v>0</v>
      </c>
      <c r="CO175" s="65">
        <f t="shared" si="257"/>
        <v>0</v>
      </c>
      <c r="CP175" s="66">
        <f t="shared" si="258"/>
        <v>0</v>
      </c>
      <c r="CQ175" s="31">
        <f t="shared" si="198"/>
        <v>1.4642857142857142</v>
      </c>
      <c r="CR175" s="32">
        <f t="shared" si="199"/>
        <v>0</v>
      </c>
      <c r="CS175" s="33">
        <f t="shared" si="200"/>
        <v>0</v>
      </c>
      <c r="CT175" s="34">
        <f t="shared" si="201"/>
        <v>0</v>
      </c>
      <c r="CU175" s="67">
        <f t="shared" si="202"/>
        <v>0.7321428571428571</v>
      </c>
      <c r="CV175" s="35">
        <f t="shared" si="203"/>
        <v>0</v>
      </c>
      <c r="CW175" s="59">
        <f t="shared" si="204"/>
        <v>0</v>
      </c>
      <c r="CX175" s="43" t="str">
        <f t="shared" si="259"/>
        <v>مؤجل(ة)</v>
      </c>
      <c r="CZ175" s="51"/>
      <c r="DA175" s="46"/>
    </row>
    <row r="176" spans="2:105" ht="27.75" customHeight="1" thickBot="1">
      <c r="B176" s="1">
        <f t="shared" si="260"/>
        <v>38</v>
      </c>
      <c r="C176" s="324" t="s">
        <v>735</v>
      </c>
      <c r="D176" s="249" t="s">
        <v>736</v>
      </c>
      <c r="E176" s="137"/>
      <c r="F176" s="135"/>
      <c r="G176" s="136"/>
      <c r="H176" s="131"/>
      <c r="I176" s="132"/>
      <c r="J176" s="133"/>
      <c r="K176" s="134"/>
      <c r="L176" s="53">
        <f t="shared" si="205"/>
        <v>0</v>
      </c>
      <c r="M176" s="58">
        <f t="shared" si="206"/>
        <v>0</v>
      </c>
      <c r="N176" s="262"/>
      <c r="O176" s="263"/>
      <c r="P176" s="228">
        <f t="shared" si="207"/>
        <v>0</v>
      </c>
      <c r="Q176" s="343">
        <f t="shared" si="208"/>
        <v>0</v>
      </c>
      <c r="R176" s="272"/>
      <c r="S176" s="263"/>
      <c r="T176" s="228">
        <f t="shared" si="209"/>
        <v>0</v>
      </c>
      <c r="U176" s="229">
        <f t="shared" si="210"/>
        <v>0</v>
      </c>
      <c r="V176" s="262"/>
      <c r="W176" s="263"/>
      <c r="X176" s="228">
        <f t="shared" si="211"/>
        <v>0</v>
      </c>
      <c r="Y176" s="229">
        <f t="shared" si="212"/>
        <v>0</v>
      </c>
      <c r="Z176" s="232">
        <f t="shared" si="213"/>
        <v>0</v>
      </c>
      <c r="AA176" s="233">
        <f t="shared" si="214"/>
        <v>0</v>
      </c>
      <c r="AB176" s="263"/>
      <c r="AC176" s="234">
        <f t="shared" si="215"/>
        <v>0</v>
      </c>
      <c r="AD176" s="235">
        <f t="shared" si="216"/>
        <v>0</v>
      </c>
      <c r="AE176" s="262"/>
      <c r="AF176" s="263"/>
      <c r="AG176" s="228">
        <f t="shared" si="217"/>
        <v>0</v>
      </c>
      <c r="AH176" s="229">
        <f t="shared" si="218"/>
        <v>0</v>
      </c>
      <c r="AI176" s="262"/>
      <c r="AJ176" s="263"/>
      <c r="AK176" s="228">
        <f t="shared" si="219"/>
        <v>0</v>
      </c>
      <c r="AL176" s="229">
        <f t="shared" si="220"/>
        <v>0</v>
      </c>
      <c r="AM176" s="236">
        <f t="shared" si="221"/>
        <v>0</v>
      </c>
      <c r="AN176" s="237">
        <f t="shared" si="222"/>
        <v>0</v>
      </c>
      <c r="AO176" s="262"/>
      <c r="AP176" s="263"/>
      <c r="AQ176" s="228">
        <f t="shared" si="223"/>
        <v>0</v>
      </c>
      <c r="AR176" s="229">
        <f t="shared" si="224"/>
        <v>0</v>
      </c>
      <c r="AS176" s="263"/>
      <c r="AT176" s="234">
        <f t="shared" si="225"/>
        <v>0</v>
      </c>
      <c r="AU176" s="238">
        <f t="shared" si="226"/>
        <v>0</v>
      </c>
      <c r="AV176" s="236">
        <f t="shared" si="227"/>
        <v>0</v>
      </c>
      <c r="AW176" s="237">
        <f t="shared" si="228"/>
        <v>0</v>
      </c>
      <c r="AX176" s="263"/>
      <c r="AY176" s="263"/>
      <c r="AZ176" s="228">
        <f t="shared" si="229"/>
        <v>0</v>
      </c>
      <c r="BA176" s="229">
        <f t="shared" si="230"/>
        <v>0</v>
      </c>
      <c r="BB176" s="236">
        <f t="shared" si="231"/>
        <v>0</v>
      </c>
      <c r="BC176" s="237">
        <f t="shared" si="232"/>
        <v>0</v>
      </c>
      <c r="BD176" s="239">
        <f t="shared" si="233"/>
        <v>0</v>
      </c>
      <c r="BE176" s="240">
        <f t="shared" si="234"/>
        <v>0</v>
      </c>
      <c r="BF176" s="263"/>
      <c r="BG176" s="263"/>
      <c r="BH176" s="264">
        <f t="shared" si="235"/>
        <v>0</v>
      </c>
      <c r="BI176" s="265">
        <f t="shared" si="236"/>
        <v>0</v>
      </c>
      <c r="BJ176" s="263"/>
      <c r="BK176" s="263"/>
      <c r="BL176" s="264">
        <f t="shared" si="237"/>
        <v>0</v>
      </c>
      <c r="BM176" s="265">
        <f t="shared" si="238"/>
        <v>0</v>
      </c>
      <c r="BN176" s="263"/>
      <c r="BO176" s="263"/>
      <c r="BP176" s="264">
        <f t="shared" si="239"/>
        <v>0</v>
      </c>
      <c r="BQ176" s="265">
        <f t="shared" si="240"/>
        <v>0</v>
      </c>
      <c r="BR176" s="266">
        <f t="shared" si="241"/>
        <v>0</v>
      </c>
      <c r="BS176" s="267">
        <f t="shared" si="242"/>
        <v>0</v>
      </c>
      <c r="BT176" s="263"/>
      <c r="BU176" s="263"/>
      <c r="BV176" s="264">
        <f t="shared" si="243"/>
        <v>0</v>
      </c>
      <c r="BW176" s="265">
        <f t="shared" si="244"/>
        <v>0</v>
      </c>
      <c r="BX176" s="263"/>
      <c r="BY176" s="263"/>
      <c r="BZ176" s="264">
        <f t="shared" si="245"/>
        <v>0</v>
      </c>
      <c r="CA176" s="265">
        <f t="shared" si="246"/>
        <v>0</v>
      </c>
      <c r="CB176" s="268">
        <f t="shared" si="247"/>
        <v>0</v>
      </c>
      <c r="CC176" s="267">
        <f t="shared" si="248"/>
        <v>0</v>
      </c>
      <c r="CD176" s="263"/>
      <c r="CE176" s="263"/>
      <c r="CF176" s="264">
        <f t="shared" si="249"/>
        <v>0</v>
      </c>
      <c r="CG176" s="265">
        <f t="shared" si="250"/>
        <v>0</v>
      </c>
      <c r="CH176" s="268">
        <f t="shared" si="251"/>
        <v>0</v>
      </c>
      <c r="CI176" s="267">
        <f t="shared" si="252"/>
        <v>0</v>
      </c>
      <c r="CJ176" s="263"/>
      <c r="CK176" s="269">
        <f t="shared" si="253"/>
        <v>0</v>
      </c>
      <c r="CL176" s="270">
        <f t="shared" si="254"/>
        <v>0</v>
      </c>
      <c r="CM176" s="268">
        <f t="shared" si="255"/>
        <v>0</v>
      </c>
      <c r="CN176" s="267">
        <f t="shared" si="256"/>
        <v>0</v>
      </c>
      <c r="CO176" s="65">
        <f t="shared" si="257"/>
        <v>0</v>
      </c>
      <c r="CP176" s="66">
        <f t="shared" si="258"/>
        <v>0</v>
      </c>
      <c r="CQ176" s="31">
        <f t="shared" si="198"/>
        <v>0</v>
      </c>
      <c r="CR176" s="32">
        <f t="shared" si="199"/>
        <v>0</v>
      </c>
      <c r="CS176" s="33">
        <f t="shared" si="200"/>
        <v>0</v>
      </c>
      <c r="CT176" s="34">
        <f t="shared" si="201"/>
        <v>0</v>
      </c>
      <c r="CU176" s="67">
        <f t="shared" si="202"/>
        <v>0</v>
      </c>
      <c r="CV176" s="35">
        <f t="shared" si="203"/>
        <v>0</v>
      </c>
      <c r="CW176" s="59">
        <f t="shared" si="204"/>
        <v>0</v>
      </c>
      <c r="CX176" s="43" t="str">
        <f t="shared" si="259"/>
        <v>مؤجل(ة)</v>
      </c>
      <c r="CY176" s="44"/>
      <c r="CZ176" s="50"/>
      <c r="DA176" s="46"/>
    </row>
    <row r="177" spans="2:102" ht="27.75" customHeight="1">
      <c r="B177" s="374" t="s">
        <v>47</v>
      </c>
      <c r="C177" s="375"/>
      <c r="D177" s="375"/>
      <c r="E177" s="376"/>
      <c r="F177" s="200"/>
      <c r="G177" s="200"/>
      <c r="H177" s="200"/>
      <c r="I177" s="200"/>
      <c r="J177" s="200"/>
      <c r="K177" s="200"/>
      <c r="L177" s="200"/>
      <c r="M177" s="200"/>
      <c r="N177" s="350" t="s">
        <v>45</v>
      </c>
      <c r="O177" s="351"/>
      <c r="P177" s="351"/>
      <c r="Q177" s="352"/>
      <c r="R177" s="350" t="s">
        <v>45</v>
      </c>
      <c r="S177" s="351"/>
      <c r="T177" s="351"/>
      <c r="U177" s="352"/>
      <c r="V177" s="350" t="s">
        <v>45</v>
      </c>
      <c r="W177" s="351"/>
      <c r="X177" s="351"/>
      <c r="Y177" s="352"/>
      <c r="Z177" s="200"/>
      <c r="AA177" s="200"/>
      <c r="AB177" s="347" t="s">
        <v>45</v>
      </c>
      <c r="AC177" s="348"/>
      <c r="AD177" s="349"/>
      <c r="AE177" s="350" t="s">
        <v>45</v>
      </c>
      <c r="AF177" s="351"/>
      <c r="AG177" s="351"/>
      <c r="AH177" s="352"/>
      <c r="AI177" s="350" t="s">
        <v>45</v>
      </c>
      <c r="AJ177" s="351"/>
      <c r="AK177" s="351"/>
      <c r="AL177" s="352"/>
      <c r="AM177" s="200"/>
      <c r="AN177" s="200"/>
      <c r="AO177" s="350" t="s">
        <v>45</v>
      </c>
      <c r="AP177" s="351"/>
      <c r="AQ177" s="351"/>
      <c r="AR177" s="352"/>
      <c r="AS177" s="347" t="s">
        <v>45</v>
      </c>
      <c r="AT177" s="348"/>
      <c r="AU177" s="349"/>
      <c r="AV177" s="200"/>
      <c r="AW177" s="200"/>
      <c r="AX177" s="350" t="s">
        <v>45</v>
      </c>
      <c r="AY177" s="351"/>
      <c r="AZ177" s="351"/>
      <c r="BA177" s="352"/>
      <c r="BB177" s="387" t="s">
        <v>46</v>
      </c>
      <c r="BC177" s="388"/>
      <c r="BD177" s="388"/>
      <c r="BE177" s="388"/>
      <c r="BF177" s="350" t="s">
        <v>45</v>
      </c>
      <c r="BG177" s="351"/>
      <c r="BH177" s="351"/>
      <c r="BI177" s="352"/>
      <c r="BJ177" s="350" t="s">
        <v>45</v>
      </c>
      <c r="BK177" s="351"/>
      <c r="BL177" s="351"/>
      <c r="BM177" s="352"/>
      <c r="BN177" s="350" t="s">
        <v>45</v>
      </c>
      <c r="BO177" s="351"/>
      <c r="BP177" s="351"/>
      <c r="BQ177" s="352"/>
      <c r="BR177" s="201"/>
      <c r="BS177" s="202"/>
      <c r="BT177" s="350" t="s">
        <v>45</v>
      </c>
      <c r="BU177" s="351"/>
      <c r="BV177" s="351"/>
      <c r="BW177" s="352"/>
      <c r="BX177" s="350" t="s">
        <v>45</v>
      </c>
      <c r="BY177" s="351"/>
      <c r="BZ177" s="351"/>
      <c r="CA177" s="352"/>
      <c r="CB177" s="203"/>
      <c r="CC177" s="202"/>
      <c r="CD177" s="350" t="s">
        <v>45</v>
      </c>
      <c r="CE177" s="351"/>
      <c r="CF177" s="351"/>
      <c r="CG177" s="352"/>
      <c r="CH177" s="219"/>
      <c r="CI177" s="220"/>
      <c r="CJ177" s="433" t="s">
        <v>45</v>
      </c>
      <c r="CK177" s="434"/>
      <c r="CL177" s="435"/>
      <c r="CM177" s="436" t="s">
        <v>46</v>
      </c>
      <c r="CN177" s="437"/>
      <c r="CO177" s="437"/>
      <c r="CP177" s="438"/>
      <c r="CQ177" s="200"/>
      <c r="CR177" s="200"/>
      <c r="CS177" s="200"/>
      <c r="CT177" s="200"/>
      <c r="CU177" s="200"/>
      <c r="CV177" s="200"/>
      <c r="CW177" s="200"/>
      <c r="CX177" s="204" t="s">
        <v>46</v>
      </c>
    </row>
    <row r="178" spans="2:102" ht="27.75" customHeight="1" thickBot="1">
      <c r="B178" s="205"/>
      <c r="C178" s="206"/>
      <c r="D178" s="206"/>
      <c r="E178" s="207"/>
      <c r="F178" s="206"/>
      <c r="G178" s="206"/>
      <c r="H178" s="206"/>
      <c r="I178" s="206"/>
      <c r="J178" s="206"/>
      <c r="K178" s="206"/>
      <c r="L178" s="206"/>
      <c r="M178" s="206"/>
      <c r="N178" s="344"/>
      <c r="O178" s="345"/>
      <c r="P178" s="345"/>
      <c r="Q178" s="346"/>
      <c r="R178" s="344"/>
      <c r="S178" s="345"/>
      <c r="T178" s="345"/>
      <c r="U178" s="346"/>
      <c r="V178" s="344"/>
      <c r="W178" s="345"/>
      <c r="X178" s="345"/>
      <c r="Y178" s="346"/>
      <c r="Z178" s="206"/>
      <c r="AA178" s="206"/>
      <c r="AB178" s="353"/>
      <c r="AC178" s="354"/>
      <c r="AD178" s="355"/>
      <c r="AE178" s="344"/>
      <c r="AF178" s="345"/>
      <c r="AG178" s="345"/>
      <c r="AH178" s="346"/>
      <c r="AI178" s="344"/>
      <c r="AJ178" s="345"/>
      <c r="AK178" s="345"/>
      <c r="AL178" s="346"/>
      <c r="AM178" s="206"/>
      <c r="AN178" s="206"/>
      <c r="AO178" s="344"/>
      <c r="AP178" s="345"/>
      <c r="AQ178" s="345"/>
      <c r="AR178" s="346"/>
      <c r="AS178" s="353"/>
      <c r="AT178" s="354"/>
      <c r="AU178" s="355"/>
      <c r="AV178" s="206"/>
      <c r="AW178" s="206"/>
      <c r="AX178" s="344"/>
      <c r="AY178" s="345"/>
      <c r="AZ178" s="345"/>
      <c r="BA178" s="346"/>
      <c r="BB178" s="208"/>
      <c r="BC178" s="209"/>
      <c r="BD178" s="209"/>
      <c r="BE178" s="210"/>
      <c r="BF178" s="344"/>
      <c r="BG178" s="345"/>
      <c r="BH178" s="345"/>
      <c r="BI178" s="346"/>
      <c r="BJ178" s="344"/>
      <c r="BK178" s="345"/>
      <c r="BL178" s="345"/>
      <c r="BM178" s="346"/>
      <c r="BN178" s="344"/>
      <c r="BO178" s="345"/>
      <c r="BP178" s="345"/>
      <c r="BQ178" s="346"/>
      <c r="BR178" s="205"/>
      <c r="BS178" s="206"/>
      <c r="BT178" s="344"/>
      <c r="BU178" s="345"/>
      <c r="BV178" s="345"/>
      <c r="BW178" s="346"/>
      <c r="BX178" s="344"/>
      <c r="BY178" s="345"/>
      <c r="BZ178" s="345"/>
      <c r="CA178" s="346"/>
      <c r="CB178" s="206"/>
      <c r="CC178" s="206"/>
      <c r="CD178" s="344"/>
      <c r="CE178" s="345"/>
      <c r="CF178" s="345"/>
      <c r="CG178" s="346"/>
      <c r="CH178" s="217"/>
      <c r="CI178" s="218"/>
      <c r="CJ178" s="442"/>
      <c r="CK178" s="443"/>
      <c r="CL178" s="444"/>
      <c r="CM178" s="212"/>
      <c r="CN178" s="213"/>
      <c r="CO178" s="213"/>
      <c r="CP178" s="214"/>
      <c r="CQ178" s="206"/>
      <c r="CR178" s="206"/>
      <c r="CS178" s="206"/>
      <c r="CT178" s="206"/>
      <c r="CU178" s="206"/>
      <c r="CV178" s="206"/>
      <c r="CW178" s="206"/>
      <c r="CX178" s="211"/>
    </row>
  </sheetData>
  <sheetProtection autoFilter="0"/>
  <sortState ref="D5:BT538">
    <sortCondition ref="D5:D538"/>
  </sortState>
  <mergeCells count="336">
    <mergeCell ref="CJ133:CL133"/>
    <mergeCell ref="CJ177:CL177"/>
    <mergeCell ref="CM177:CP177"/>
    <mergeCell ref="CJ178:CL178"/>
    <mergeCell ref="AO137:AR137"/>
    <mergeCell ref="BB137:BC137"/>
    <mergeCell ref="BD136:BE137"/>
    <mergeCell ref="AO136:AW136"/>
    <mergeCell ref="AX136:BC136"/>
    <mergeCell ref="BF136:BS136"/>
    <mergeCell ref="BT136:CC136"/>
    <mergeCell ref="AS137:AU137"/>
    <mergeCell ref="AV137:AW137"/>
    <mergeCell ref="AX137:BA137"/>
    <mergeCell ref="BR137:BS137"/>
    <mergeCell ref="BT137:BW137"/>
    <mergeCell ref="BF137:BI137"/>
    <mergeCell ref="BJ137:BM137"/>
    <mergeCell ref="BN137:BQ137"/>
    <mergeCell ref="BX137:CA137"/>
    <mergeCell ref="CB137:CC137"/>
    <mergeCell ref="CM137:CN137"/>
    <mergeCell ref="BX133:CA133"/>
    <mergeCell ref="AS133:AU133"/>
    <mergeCell ref="AO92:AW92"/>
    <mergeCell ref="AX92:BC92"/>
    <mergeCell ref="BF92:BS92"/>
    <mergeCell ref="BT92:CC92"/>
    <mergeCell ref="CD92:CI92"/>
    <mergeCell ref="CJ132:CL132"/>
    <mergeCell ref="CM132:CP132"/>
    <mergeCell ref="CJ92:CN92"/>
    <mergeCell ref="BX132:CA132"/>
    <mergeCell ref="AS132:AU132"/>
    <mergeCell ref="AX132:BA132"/>
    <mergeCell ref="BT132:BW132"/>
    <mergeCell ref="CD132:CG132"/>
    <mergeCell ref="CJ89:CL89"/>
    <mergeCell ref="AS44:AU44"/>
    <mergeCell ref="BT4:BW4"/>
    <mergeCell ref="BT43:BW43"/>
    <mergeCell ref="BT44:BW44"/>
    <mergeCell ref="BT3:CC3"/>
    <mergeCell ref="CJ3:CN3"/>
    <mergeCell ref="CJ4:CL4"/>
    <mergeCell ref="CM4:CN4"/>
    <mergeCell ref="BB43:BE43"/>
    <mergeCell ref="CJ43:CL43"/>
    <mergeCell ref="CJ44:CL44"/>
    <mergeCell ref="CM43:CP43"/>
    <mergeCell ref="BJ89:BM89"/>
    <mergeCell ref="BN89:BQ89"/>
    <mergeCell ref="BX89:CA89"/>
    <mergeCell ref="AX48:BA48"/>
    <mergeCell ref="BR48:BS48"/>
    <mergeCell ref="BT48:BW48"/>
    <mergeCell ref="CD48:CG48"/>
    <mergeCell ref="CH48:CI48"/>
    <mergeCell ref="CJ48:CL48"/>
    <mergeCell ref="BT89:BW89"/>
    <mergeCell ref="CD89:CG89"/>
    <mergeCell ref="B45:M45"/>
    <mergeCell ref="N45:BE45"/>
    <mergeCell ref="BF45:CP45"/>
    <mergeCell ref="CQ45:CX45"/>
    <mergeCell ref="AO47:AW47"/>
    <mergeCell ref="AX47:BC47"/>
    <mergeCell ref="BF47:BS47"/>
    <mergeCell ref="BT47:CC47"/>
    <mergeCell ref="CD47:CI47"/>
    <mergeCell ref="CJ47:CN47"/>
    <mergeCell ref="H47:M47"/>
    <mergeCell ref="N47:AA47"/>
    <mergeCell ref="AC47:AN47"/>
    <mergeCell ref="CO47:CP48"/>
    <mergeCell ref="H48:I48"/>
    <mergeCell ref="J48:K48"/>
    <mergeCell ref="CQ48:CR48"/>
    <mergeCell ref="BB48:BC48"/>
    <mergeCell ref="BF48:BI48"/>
    <mergeCell ref="BJ48:BM48"/>
    <mergeCell ref="CS48:CT48"/>
    <mergeCell ref="CU48:CU49"/>
    <mergeCell ref="CV48:CV49"/>
    <mergeCell ref="CM48:CN48"/>
    <mergeCell ref="H137:I137"/>
    <mergeCell ref="J137:K137"/>
    <mergeCell ref="N137:Q137"/>
    <mergeCell ref="R137:U137"/>
    <mergeCell ref="V137:Y137"/>
    <mergeCell ref="Z137:AA137"/>
    <mergeCell ref="AE137:AH137"/>
    <mergeCell ref="AI137:AL137"/>
    <mergeCell ref="AM137:AN137"/>
    <mergeCell ref="AB137:AD137"/>
    <mergeCell ref="CQ137:CR137"/>
    <mergeCell ref="CS137:CT137"/>
    <mergeCell ref="CU137:CU138"/>
    <mergeCell ref="CV137:CV138"/>
    <mergeCell ref="CW137:CW138"/>
    <mergeCell ref="CO136:CP137"/>
    <mergeCell ref="CD136:CI136"/>
    <mergeCell ref="CJ136:CN136"/>
    <mergeCell ref="CD137:CG137"/>
    <mergeCell ref="CH137:CI137"/>
    <mergeCell ref="CJ137:CL137"/>
    <mergeCell ref="H136:M136"/>
    <mergeCell ref="N136:AA136"/>
    <mergeCell ref="AC136:AN136"/>
    <mergeCell ref="B134:M134"/>
    <mergeCell ref="N134:BE134"/>
    <mergeCell ref="BF134:CP134"/>
    <mergeCell ref="CQ134:CX134"/>
    <mergeCell ref="N135:BE135"/>
    <mergeCell ref="BF135:CP135"/>
    <mergeCell ref="CQ135:CX135"/>
    <mergeCell ref="AX133:BA133"/>
    <mergeCell ref="BT133:BW133"/>
    <mergeCell ref="CD133:CG133"/>
    <mergeCell ref="BF133:BI133"/>
    <mergeCell ref="BJ133:BM133"/>
    <mergeCell ref="BN133:BQ133"/>
    <mergeCell ref="BB132:BE132"/>
    <mergeCell ref="BF132:BI132"/>
    <mergeCell ref="BJ132:BM132"/>
    <mergeCell ref="BN132:BQ132"/>
    <mergeCell ref="AE132:AH132"/>
    <mergeCell ref="AI132:AL132"/>
    <mergeCell ref="AO132:AR132"/>
    <mergeCell ref="N133:Q133"/>
    <mergeCell ref="R133:U133"/>
    <mergeCell ref="V133:Y133"/>
    <mergeCell ref="AB133:AD133"/>
    <mergeCell ref="AE133:AH133"/>
    <mergeCell ref="AI133:AL133"/>
    <mergeCell ref="AO133:AR133"/>
    <mergeCell ref="B132:E132"/>
    <mergeCell ref="N132:Q132"/>
    <mergeCell ref="R132:U132"/>
    <mergeCell ref="V132:Y132"/>
    <mergeCell ref="AB132:AD132"/>
    <mergeCell ref="CQ93:CR93"/>
    <mergeCell ref="CS93:CT93"/>
    <mergeCell ref="CU93:CU94"/>
    <mergeCell ref="CV93:CV94"/>
    <mergeCell ref="BB93:BC93"/>
    <mergeCell ref="BF93:BI93"/>
    <mergeCell ref="AE93:AH93"/>
    <mergeCell ref="AI93:AL93"/>
    <mergeCell ref="AM93:AN93"/>
    <mergeCell ref="AO93:AR93"/>
    <mergeCell ref="J93:K93"/>
    <mergeCell ref="N93:Q93"/>
    <mergeCell ref="R93:U93"/>
    <mergeCell ref="V93:Y93"/>
    <mergeCell ref="Z93:AA93"/>
    <mergeCell ref="AB93:AD93"/>
    <mergeCell ref="AS93:AU93"/>
    <mergeCell ref="AV93:AW93"/>
    <mergeCell ref="AX93:BA93"/>
    <mergeCell ref="CQ90:CX90"/>
    <mergeCell ref="N91:BE91"/>
    <mergeCell ref="BF91:CP91"/>
    <mergeCell ref="CQ91:CX91"/>
    <mergeCell ref="H92:M92"/>
    <mergeCell ref="N92:AA92"/>
    <mergeCell ref="AC92:AN92"/>
    <mergeCell ref="BD92:BE93"/>
    <mergeCell ref="CO92:CP93"/>
    <mergeCell ref="H93:I93"/>
    <mergeCell ref="CW93:CW94"/>
    <mergeCell ref="CB93:CC93"/>
    <mergeCell ref="CM93:CN93"/>
    <mergeCell ref="BJ93:BM93"/>
    <mergeCell ref="BN93:BQ93"/>
    <mergeCell ref="BX93:CA93"/>
    <mergeCell ref="B90:M90"/>
    <mergeCell ref="N90:BE90"/>
    <mergeCell ref="BF90:CP90"/>
    <mergeCell ref="BR93:BS93"/>
    <mergeCell ref="BT93:BW93"/>
    <mergeCell ref="CD93:CG93"/>
    <mergeCell ref="CH93:CI93"/>
    <mergeCell ref="CJ93:CL93"/>
    <mergeCell ref="AI89:AL89"/>
    <mergeCell ref="AO89:AR89"/>
    <mergeCell ref="BF89:BI89"/>
    <mergeCell ref="N89:Q89"/>
    <mergeCell ref="R89:U89"/>
    <mergeCell ref="V89:Y89"/>
    <mergeCell ref="AB89:AD89"/>
    <mergeCell ref="AE89:AH89"/>
    <mergeCell ref="B88:E88"/>
    <mergeCell ref="N88:Q88"/>
    <mergeCell ref="R88:U88"/>
    <mergeCell ref="V88:Y88"/>
    <mergeCell ref="AB88:AD88"/>
    <mergeCell ref="AE88:AH88"/>
    <mergeCell ref="AI88:AL88"/>
    <mergeCell ref="AO88:AR88"/>
    <mergeCell ref="BB88:BE88"/>
    <mergeCell ref="BF88:BI88"/>
    <mergeCell ref="AS89:AU89"/>
    <mergeCell ref="AX89:BA89"/>
    <mergeCell ref="AS88:AU88"/>
    <mergeCell ref="AX88:BA88"/>
    <mergeCell ref="AE48:AH48"/>
    <mergeCell ref="AI48:AL48"/>
    <mergeCell ref="AM48:AN48"/>
    <mergeCell ref="AO48:AR48"/>
    <mergeCell ref="N48:Q48"/>
    <mergeCell ref="R48:U48"/>
    <mergeCell ref="AB48:AD48"/>
    <mergeCell ref="AS48:AU48"/>
    <mergeCell ref="AV48:AW48"/>
    <mergeCell ref="Z48:AA48"/>
    <mergeCell ref="BT88:BW88"/>
    <mergeCell ref="BD47:BE48"/>
    <mergeCell ref="BN48:BQ48"/>
    <mergeCell ref="BX48:CA48"/>
    <mergeCell ref="CB48:CC48"/>
    <mergeCell ref="CW48:CW49"/>
    <mergeCell ref="BJ88:BM88"/>
    <mergeCell ref="BN88:BQ88"/>
    <mergeCell ref="BX88:CA88"/>
    <mergeCell ref="CD88:CG88"/>
    <mergeCell ref="CJ88:CL88"/>
    <mergeCell ref="CM88:CP88"/>
    <mergeCell ref="CD43:CG43"/>
    <mergeCell ref="N44:Q44"/>
    <mergeCell ref="R44:U44"/>
    <mergeCell ref="V44:Y44"/>
    <mergeCell ref="AB44:AD44"/>
    <mergeCell ref="AE44:AH44"/>
    <mergeCell ref="AI44:AL44"/>
    <mergeCell ref="AO44:AR44"/>
    <mergeCell ref="BF44:BI44"/>
    <mergeCell ref="BJ44:BM44"/>
    <mergeCell ref="BN44:BQ44"/>
    <mergeCell ref="BF43:BI43"/>
    <mergeCell ref="BJ43:BM43"/>
    <mergeCell ref="BN43:BQ43"/>
    <mergeCell ref="BX43:CA43"/>
    <mergeCell ref="AX43:BA43"/>
    <mergeCell ref="AX44:BA44"/>
    <mergeCell ref="N46:BE46"/>
    <mergeCell ref="BF46:CP46"/>
    <mergeCell ref="CQ46:CX46"/>
    <mergeCell ref="B1:M1"/>
    <mergeCell ref="B43:E43"/>
    <mergeCell ref="N43:Q43"/>
    <mergeCell ref="R43:U43"/>
    <mergeCell ref="V43:Y43"/>
    <mergeCell ref="AB43:AD43"/>
    <mergeCell ref="AE43:AH43"/>
    <mergeCell ref="AI43:AL43"/>
    <mergeCell ref="AO43:AR43"/>
    <mergeCell ref="N1:BE1"/>
    <mergeCell ref="AS43:AU43"/>
    <mergeCell ref="BF1:CP1"/>
    <mergeCell ref="CQ1:CX1"/>
    <mergeCell ref="CQ4:CR4"/>
    <mergeCell ref="CS4:CT4"/>
    <mergeCell ref="N2:BE2"/>
    <mergeCell ref="BJ4:BM4"/>
    <mergeCell ref="BX44:CA44"/>
    <mergeCell ref="CD44:CG44"/>
    <mergeCell ref="AB4:AD4"/>
    <mergeCell ref="AX4:BA4"/>
    <mergeCell ref="CU4:CU5"/>
    <mergeCell ref="N3:AA3"/>
    <mergeCell ref="CH4:CI4"/>
    <mergeCell ref="CO3:CP4"/>
    <mergeCell ref="CB4:CC4"/>
    <mergeCell ref="CV4:CV5"/>
    <mergeCell ref="CW4:CW5"/>
    <mergeCell ref="BF2:CP2"/>
    <mergeCell ref="BN4:BQ4"/>
    <mergeCell ref="CD3:CI3"/>
    <mergeCell ref="CD4:CG4"/>
    <mergeCell ref="CQ2:CX2"/>
    <mergeCell ref="B177:E177"/>
    <mergeCell ref="N177:Q177"/>
    <mergeCell ref="R177:U177"/>
    <mergeCell ref="V177:Y177"/>
    <mergeCell ref="AB177:AD177"/>
    <mergeCell ref="AE177:AH177"/>
    <mergeCell ref="AI177:AL177"/>
    <mergeCell ref="AO177:AR177"/>
    <mergeCell ref="BX4:CA4"/>
    <mergeCell ref="Z4:AA4"/>
    <mergeCell ref="AM4:AN4"/>
    <mergeCell ref="BB4:BC4"/>
    <mergeCell ref="BR4:BS4"/>
    <mergeCell ref="BD3:BE4"/>
    <mergeCell ref="R4:U4"/>
    <mergeCell ref="V4:Y4"/>
    <mergeCell ref="BB177:BE177"/>
    <mergeCell ref="BF177:BI177"/>
    <mergeCell ref="BJ177:BM177"/>
    <mergeCell ref="BN177:BQ177"/>
    <mergeCell ref="BX177:CA177"/>
    <mergeCell ref="V48:Y48"/>
    <mergeCell ref="BF3:BS3"/>
    <mergeCell ref="BF4:BI4"/>
    <mergeCell ref="H3:M3"/>
    <mergeCell ref="AE4:AH4"/>
    <mergeCell ref="AI4:AL4"/>
    <mergeCell ref="AX3:BC3"/>
    <mergeCell ref="AO4:AR4"/>
    <mergeCell ref="AO3:AW3"/>
    <mergeCell ref="H4:I4"/>
    <mergeCell ref="J4:K4"/>
    <mergeCell ref="N4:Q4"/>
    <mergeCell ref="AC3:AN3"/>
    <mergeCell ref="AV4:AW4"/>
    <mergeCell ref="AS4:AU4"/>
    <mergeCell ref="N178:Q178"/>
    <mergeCell ref="R178:U178"/>
    <mergeCell ref="V178:Y178"/>
    <mergeCell ref="AB178:AD178"/>
    <mergeCell ref="AE178:AH178"/>
    <mergeCell ref="AI178:AL178"/>
    <mergeCell ref="AO178:AR178"/>
    <mergeCell ref="BF178:BI178"/>
    <mergeCell ref="BJ178:BM178"/>
    <mergeCell ref="BN178:BQ178"/>
    <mergeCell ref="BX178:CA178"/>
    <mergeCell ref="AS177:AU177"/>
    <mergeCell ref="AX177:BA177"/>
    <mergeCell ref="BT177:BW177"/>
    <mergeCell ref="CD177:CG177"/>
    <mergeCell ref="AS178:AU178"/>
    <mergeCell ref="AX178:BA178"/>
    <mergeCell ref="BT178:BW178"/>
    <mergeCell ref="CD178:CG178"/>
  </mergeCells>
  <conditionalFormatting sqref="CH139:CH176 Z139:Z176 AM139:AM176 BB139:BB176 BR139:BR176 CB139:CB176 CM139:CM176 AV139:AV176 CH95:CH131 BR95:BR131 CB95:CB131 CM95:CM131 CH50:CH87 Z50:Z87 AM50:AM87 BB50:BB87 BR50:BR87 CB50:CB87 CM50:CM87 AV50:AV87 CH6:CH42 Z6:Z42 AM6:AM42 BB6:BB42 BR6:BR42 CB6:CB42 CM6:CM42 AV6:AV42 Z95:Z131 AV95:AV131 BB95:BB131 AM95:AM131">
    <cfRule type="cellIs" dxfId="156" priority="1564" operator="greaterThanOrEqual">
      <formula>10</formula>
    </cfRule>
  </conditionalFormatting>
  <conditionalFormatting sqref="CQ139:CQ176 CS139:CS176 BD139:BD176 CO139:CO176 CQ95:CQ131 CS95:CS131 CO95:CO131 CQ50:CQ87 CS50:CS87 BD50:BD87 CO50:CO87 CQ6:CQ42 CS6:CS42 BD6:BD42 CO6:CO42 BD95:BD131">
    <cfRule type="cellIs" dxfId="155" priority="1563" operator="greaterThanOrEqual">
      <formula>10</formula>
    </cfRule>
  </conditionalFormatting>
  <conditionalFormatting sqref="AA141:AB141 AA140:AA176 CC140:CC176 BS140:BS176 CM139:CN176 AB139:AB176 CI139:CJ176 AS139:AS176 AX139:AY176 BF139:BG176 BJ139:BK176 BN139:BO176 BT139:BU176 BX139:BY176 CD139:CE176 AA97:AB97 AA96:AA131 CC96:CC131 BS96:BS131 CM95:CN131 AB95:AB131 CI95:CJ131 AX95:AY131 BF95:BG131 BJ95:BK131 BN95:BO131 BT95:BU131 BX95:BY131 CD95:CE131 AA52:AB52 AA51:AA87 CC51:CC87 BS51:BS87 CM50:CN87 AB50:AB87 CI50:CJ87 AS50:AS87 AX50:AY87 BF50:BG87 BJ50:BK87 BN50:BO87 BT50:BU87 BX50:BY87 CD50:CE87 AA7:AA42 CC7:CC42 BS7:BS42 CM6:CN42 AB6:AB42 CI6:CJ42 AS6:AS42 AX6:AY42 BF6:BG42 BJ6:BK42 BN6:BO42 BT6:BU42 BX6:BY42 CD6:CE42 AS95:AS131">
    <cfRule type="cellIs" dxfId="154" priority="1562" operator="equal">
      <formula>18</formula>
    </cfRule>
  </conditionalFormatting>
  <conditionalFormatting sqref="CT139:CT176 CR139:CR176 BE139:BE176 CP139:CP176 CT95:CT131 CR95:CR131 BE95:BE131 CP95:CP131 CT50:CT87 CR50:CR87 BE50:BE87 CP50:CP87 CT6:CT42 CR6:CR42 BE6:BE42 CP6:CP42">
    <cfRule type="cellIs" dxfId="153" priority="1561" operator="equal">
      <formula>30</formula>
    </cfRule>
  </conditionalFormatting>
  <conditionalFormatting sqref="AN140:AN176 AN96:AN131 AN51:AN87 AN7:AN42">
    <cfRule type="cellIs" dxfId="152" priority="1560" operator="equal">
      <formula>9</formula>
    </cfRule>
  </conditionalFormatting>
  <conditionalFormatting sqref="AW140:AW176 CN139:CN176 AW96:AW131 CN95:CN131 AW51:AW87 CN50:CN87 AW7:AW42 CN6:CN42">
    <cfRule type="cellIs" dxfId="151" priority="1559" operator="equal">
      <formula>2</formula>
    </cfRule>
  </conditionalFormatting>
  <conditionalFormatting sqref="DA139:DA176 CC140:CC176 BS140:BS176 BC139:BC176 CM139:CN176 AB139:AB176 CI139:CJ176 AS139:AS176 AX139:AY176 BF139:BG176 BJ139:BK176 BN139:BO176 BT139:BU176 BX139:BY176 CD139:CE176 DA95:DA131 CC96:CC131 BS96:BS131 BC95:BC131 CM95:CN131 AB95:AB131 CI95:CJ131 AX95:AY131 BF95:BG131 BJ95:BK131 BN95:BO131 BT95:BU131 BX95:BY131 CD95:CE131 DA50:DA87 CC51:CC87 BS51:BS87 BC50:BC87 CM50:CN87 AB50:AB87 CI50:CJ87 AS50:AS87 AX50:AY87 BF50:BG87 BJ50:BK87 BN50:BO87 BT50:BU87 BX50:BY87 CD50:CE87 DA6:DA42 CC7:CC42 BS7:BS42 BC6:BC42 CM6:CN42 AB6:AB42 CI6:CJ42 AS6:AS42 AX6:AY42 BF6:BG42 BJ6:BK42 BN6:BO42 BT6:BU42 BX6:BY42 CD6:CE42 AS95:AS131">
    <cfRule type="cellIs" dxfId="150" priority="1558" operator="equal">
      <formula>1</formula>
    </cfRule>
  </conditionalFormatting>
  <conditionalFormatting sqref="CC140:CC176 CM139:CN176 AB139:AB176 CI139:CJ176 AS139:AS176 AX139:AY176 BF139:BG176 BJ139:BK176 BN139:BO176 BS139:BU176 BX139:BY176 CD139:CE176 CC96:CC131 CM95:CN131 AB95:AB131 CI95:CJ131 AX95:AY131 BF95:BG131 BJ95:BK131 BN95:BO131 BS95:BU131 BX95:BY131 CD95:CE131 CC51:CC87 CM50:CN87 AB50:AB87 CI50:CJ87 AS50:AS87 AX50:AY87 BF50:BG87 BJ50:BK87 BN50:BO87 BS50:BU87 BX50:BY87 CD50:CE87 CC7:CC42 CM6:CN42 AB6:AB42 CI6:CJ42 AS6:AS42 AX6:AY42 BF6:BG42 BJ6:BK42 BN6:BO42 BS6:BU42 BX6:BY42 CD6:CE42 AS95:AS131">
    <cfRule type="cellIs" dxfId="149" priority="1557" operator="equal">
      <formula>16</formula>
    </cfRule>
  </conditionalFormatting>
  <conditionalFormatting sqref="CC140:CC176 CM139:CN176 AB139:AB176 CI139:CJ176 AS139:AS176 AX139:AY176 BF139:BG176 BJ139:BK176 BN139:BO176 BT139:BU176 BX139:BY176 CD139:CE176 CC96:CC131 CM95:CN131 AB95:AB131 CI95:CJ131 AX95:AY131 BF95:BG131 BJ95:BK131 BN95:BO131 BT95:BU131 BX95:BY131 CD95:CE131 CC51:CC87 CM50:CN87 AB50:AB87 CI50:CJ87 AS50:AS87 AX50:AY87 BF50:BG87 BJ50:BK87 BN50:BO87 BT50:BU87 BX50:BY87 CD50:CE87 CC7:CC42 CM6:CN42 AB6:AB42 CI6:CJ42 AS6:AS42 AX6:AY42 BF6:BG42 BJ6:BK42 BN6:BO42 BT6:BU42 BX6:BY42 CD6:CE42 AS95:AS131">
    <cfRule type="cellIs" dxfId="148" priority="1556" operator="equal">
      <formula>11</formula>
    </cfRule>
  </conditionalFormatting>
  <conditionalFormatting sqref="AW140:AW176 CM139:CN176 AB139:AB176 CI139:CJ176 AS139:AS176 AX139:AY176 BF139:BG176 BJ139:BK176 BN139:BO176 BT139:BU176 BX139:BY176 CD139:CE176 AW96:AW131 CM95:CN131 AB95:AB131 CI95:CJ131 AX95:AY131 BF95:BG131 BJ95:BK131 BN95:BO131 BT95:BU131 BX95:BY131 CD95:CE131 AW51:AW87 CM50:CN87 AB50:AB87 CI50:CJ87 AS50:AS87 AX50:AY87 BF50:BG87 BJ50:BK87 BN50:BO87 BT50:BU87 BX50:BY87 CD50:CE87 AW7:AW42 CM6:CN42 AB6:AB42 CI6:CJ42 AS6:AS42 AX6:AY42 BF6:BG42 BJ6:BK42 BN6:BO42 BT6:BU42 BX6:BY42 CD6:CE42 AS95:AS131">
    <cfRule type="cellIs" dxfId="147" priority="1555" operator="equal">
      <formula>3</formula>
    </cfRule>
  </conditionalFormatting>
  <conditionalFormatting sqref="E139:G176 E95:G131 E50:G87 E6:G42">
    <cfRule type="containsBlanks" dxfId="146" priority="1552">
      <formula>LEN(TRIM(E6))=0</formula>
    </cfRule>
  </conditionalFormatting>
  <conditionalFormatting sqref="CV139:CV176 M139:M176 CV95:CV131 M95:M131 CV50:CV87 M50:M87 CV6:CV42 M6:M42">
    <cfRule type="cellIs" dxfId="145" priority="1522" operator="equal">
      <formula>60</formula>
    </cfRule>
  </conditionalFormatting>
  <conditionalFormatting sqref="CX139:CX176 CX95:CX131 CX50:CX87 CX6:CX42">
    <cfRule type="containsText" dxfId="144" priority="1521" operator="containsText" text="1">
      <formula>NOT(ISERROR(SEARCH("1",CX6)))</formula>
    </cfRule>
  </conditionalFormatting>
  <conditionalFormatting sqref="CX139:CX176 CX95:CX131 CX50:CX87 CX6:CX42">
    <cfRule type="containsText" dxfId="143" priority="1417" operator="containsText" text="الدورة1">
      <formula>NOT(ISERROR(SEARCH("الدورة1",CX6)))</formula>
    </cfRule>
    <cfRule type="containsText" dxfId="142" priority="1418" operator="containsText" text="ديون مسواة دورة1">
      <formula>NOT(ISERROR(SEARCH("ديون مسواة دورة1",CX6)))</formula>
    </cfRule>
  </conditionalFormatting>
  <conditionalFormatting sqref="CX139:CX176 CX95:CX131 CX50:CX87 CX6:CX42">
    <cfRule type="containsText" dxfId="141" priority="1416" operator="containsText" text="ديون مسواة دورة2">
      <formula>NOT(ISERROR(SEARCH("ديون مسواة دورة2",CX6)))</formula>
    </cfRule>
  </conditionalFormatting>
  <conditionalFormatting sqref="AA139:AA176 AA95:AA131 AA50:AA87 AA6:AA42">
    <cfRule type="cellIs" dxfId="140" priority="1050" operator="equal">
      <formula>17</formula>
    </cfRule>
  </conditionalFormatting>
  <conditionalFormatting sqref="CW139:CW176 CW95:CW131 CW50:CW87 CW6:CW42">
    <cfRule type="cellIs" dxfId="139" priority="1048" operator="equal">
      <formula>120</formula>
    </cfRule>
  </conditionalFormatting>
  <conditionalFormatting sqref="L139:L176 L95:L131 L50:L87 L6:L42">
    <cfRule type="cellIs" dxfId="138" priority="1047" operator="greaterThanOrEqual">
      <formula>10</formula>
    </cfRule>
  </conditionalFormatting>
  <conditionalFormatting sqref="BS140:BS176 BS96:BS131 BS51:BS87 BS7:BS42">
    <cfRule type="cellIs" dxfId="137" priority="1045" operator="equal">
      <formula>20</formula>
    </cfRule>
  </conditionalFormatting>
  <conditionalFormatting sqref="CC140:CC176 AW139:AW176 CC96:CC131 AW95:AW131 CC51:CC87 AW50:AW87 CC7:CC42 AW6:AW42">
    <cfRule type="cellIs" dxfId="136" priority="1044" operator="equal">
      <formula>5</formula>
    </cfRule>
  </conditionalFormatting>
  <conditionalFormatting sqref="CU139:CU176 CU95:CU131 CU50:CU87 CU6:CU42">
    <cfRule type="cellIs" dxfId="135" priority="1043" operator="greaterThanOrEqual">
      <formula>10</formula>
    </cfRule>
  </conditionalFormatting>
  <conditionalFormatting sqref="AN139:AN176 AN95:AN131 AN50:AN87 AN6:AN42">
    <cfRule type="cellIs" dxfId="134" priority="1042" operator="equal">
      <formula>7</formula>
    </cfRule>
  </conditionalFormatting>
  <conditionalFormatting sqref="CC139:CC176 CC95:CC131 CC50:CC87 CC6:CC42">
    <cfRule type="cellIs" dxfId="133" priority="1037" operator="equal">
      <formula>10</formula>
    </cfRule>
  </conditionalFormatting>
  <conditionalFormatting sqref="A95">
    <cfRule type="duplicateValues" dxfId="132" priority="729"/>
  </conditionalFormatting>
  <conditionalFormatting sqref="A139">
    <cfRule type="duplicateValues" dxfId="131" priority="694"/>
  </conditionalFormatting>
  <conditionalFormatting sqref="A6:A42">
    <cfRule type="duplicateValues" dxfId="130" priority="4066"/>
  </conditionalFormatting>
  <conditionalFormatting sqref="A50:A87">
    <cfRule type="duplicateValues" dxfId="129" priority="4268"/>
  </conditionalFormatting>
  <conditionalFormatting sqref="A139:A176">
    <cfRule type="duplicateValues" dxfId="128" priority="5487"/>
  </conditionalFormatting>
  <conditionalFormatting sqref="A95:A131">
    <cfRule type="duplicateValues" dxfId="127" priority="5893"/>
  </conditionalFormatting>
  <printOptions horizontalCentered="1"/>
  <pageMargins left="0" right="0" top="0.6692913385826772" bottom="0" header="0" footer="0"/>
  <pageSetup paperSize="9" scale="40" orientation="landscape" r:id="rId1"/>
  <headerFooter>
    <oddHeader>&amp;L&amp;G
&amp;C&amp;"Monotype Koufi,Gras"&amp;24جامعة باجي مختار-عنابة
كلية العلوم الإقتصادية وعلوم التسيير
قسم العلوم التجارية&amp;R&amp;G</oddHeader>
  </headerFooter>
  <rowBreaks count="3" manualBreakCount="3">
    <brk id="44" min="1" max="101" man="1"/>
    <brk id="89" min="1" max="101" man="1"/>
    <brk id="133" min="1" max="101" man="1"/>
  </rowBreaks>
  <colBreaks count="1" manualBreakCount="1">
    <brk id="1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2"/>
  <sheetViews>
    <sheetView showGridLines="0" rightToLeft="1" view="pageBreakPreview" zoomScale="75" zoomScaleSheetLayoutView="75" workbookViewId="0">
      <selection activeCell="D5" sqref="D5:L5"/>
    </sheetView>
  </sheetViews>
  <sheetFormatPr baseColWidth="10" defaultRowHeight="15"/>
  <cols>
    <col min="1" max="1" width="9.140625" customWidth="1"/>
    <col min="2" max="2" width="10" customWidth="1"/>
    <col min="3" max="3" width="16.42578125" customWidth="1"/>
    <col min="4" max="5" width="9.5703125" customWidth="1"/>
    <col min="6" max="6" width="22.28515625" customWidth="1"/>
    <col min="7" max="8" width="8.7109375" customWidth="1"/>
    <col min="9" max="10" width="9.5703125" customWidth="1"/>
    <col min="11" max="11" width="16.28515625" customWidth="1"/>
    <col min="12" max="12" width="7.5703125" customWidth="1"/>
    <col min="13" max="13" width="5.28515625" customWidth="1"/>
    <col min="14" max="14" width="14.85546875" customWidth="1"/>
    <col min="15" max="15" width="14.28515625" customWidth="1"/>
  </cols>
  <sheetData>
    <row r="1" spans="1:18" ht="23.25" customHeight="1" thickBo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445" t="s">
        <v>13</v>
      </c>
      <c r="M1" s="445"/>
      <c r="N1" s="445"/>
      <c r="O1" s="445"/>
      <c r="P1" s="2"/>
      <c r="Q1" s="2"/>
      <c r="R1" s="2"/>
    </row>
    <row r="2" spans="1:18" ht="15.75">
      <c r="A2" s="446" t="s">
        <v>14</v>
      </c>
      <c r="B2" s="446"/>
      <c r="C2" s="446"/>
      <c r="D2" s="446"/>
      <c r="E2" s="446"/>
      <c r="F2" s="3"/>
      <c r="H2" s="4"/>
      <c r="K2" s="4"/>
      <c r="L2" s="4"/>
    </row>
    <row r="3" spans="1:18" ht="15.75">
      <c r="A3" s="85" t="s">
        <v>15</v>
      </c>
      <c r="B3" s="85"/>
      <c r="C3" s="85"/>
      <c r="D3" s="85"/>
      <c r="E3" s="85"/>
      <c r="F3" s="5"/>
      <c r="H3" s="4"/>
      <c r="K3" s="4"/>
      <c r="L3" s="4"/>
      <c r="P3" s="6"/>
    </row>
    <row r="4" spans="1:18" ht="15.75">
      <c r="A4" s="85" t="s">
        <v>100</v>
      </c>
      <c r="B4" s="85"/>
      <c r="C4" s="85"/>
      <c r="D4" s="85"/>
      <c r="E4" s="85"/>
      <c r="F4" s="3"/>
      <c r="H4" s="4"/>
      <c r="K4" s="4"/>
      <c r="L4" s="4"/>
    </row>
    <row r="5" spans="1:18" s="8" customFormat="1" ht="27" customHeight="1">
      <c r="A5" s="7"/>
      <c r="B5" s="7"/>
      <c r="C5" s="7"/>
      <c r="D5" s="447" t="s">
        <v>94</v>
      </c>
      <c r="E5" s="447"/>
      <c r="F5" s="447"/>
      <c r="G5" s="447"/>
      <c r="H5" s="447"/>
      <c r="I5" s="447"/>
      <c r="J5" s="447"/>
      <c r="K5" s="447"/>
      <c r="L5" s="447"/>
      <c r="M5" s="7"/>
      <c r="N5" s="7"/>
      <c r="O5" s="7"/>
    </row>
    <row r="6" spans="1:18" ht="23.25" customHeight="1">
      <c r="A6" s="126" t="s">
        <v>101</v>
      </c>
      <c r="B6" s="126"/>
      <c r="C6" s="126"/>
      <c r="D6" s="126"/>
      <c r="E6" s="126"/>
      <c r="F6" s="126"/>
      <c r="G6" s="122"/>
      <c r="H6" s="122"/>
      <c r="I6" s="122" t="e">
        <f>IF(D31="ناجح(ة) دورة1","-الدورة الأولى-","-الدورة الثانية-")</f>
        <v>#N/A</v>
      </c>
      <c r="J6" s="86" t="s">
        <v>48</v>
      </c>
      <c r="K6" s="86"/>
      <c r="L6" s="87"/>
      <c r="M6" s="88"/>
      <c r="N6" s="89"/>
      <c r="O6" s="9"/>
    </row>
    <row r="7" spans="1:18" ht="20.25" customHeight="1">
      <c r="A7" s="476" t="s">
        <v>93</v>
      </c>
      <c r="B7" s="476"/>
      <c r="C7" s="90" t="e">
        <f>INDEX(Commerce_session1!A6:CX792,MATCH("a",Commerce_session1!A6:A792,0),3)</f>
        <v>#N/A</v>
      </c>
      <c r="D7" s="91" t="s">
        <v>92</v>
      </c>
      <c r="E7" s="448" t="e">
        <f>INDEX(Commerce_session1!A6:CX792,MATCH("a",Commerce_session1!A6:A792,0),4)</f>
        <v>#N/A</v>
      </c>
      <c r="F7" s="448" t="e">
        <f>INDEX(Commerce_session1!D6:DA178,MATCH("a",Commerce_session1!D6:D178,0),3)</f>
        <v>#N/A</v>
      </c>
      <c r="G7" s="477" t="s">
        <v>16</v>
      </c>
      <c r="H7" s="477"/>
      <c r="I7" s="477"/>
      <c r="J7" s="478" t="e">
        <f>INDEX(Commerce_session1!A6:CX792,MATCH("a",Commerce_session1!A6:A792,0),6)</f>
        <v>#N/A</v>
      </c>
      <c r="K7" s="478"/>
      <c r="L7" s="88"/>
      <c r="M7" s="92" t="s">
        <v>17</v>
      </c>
      <c r="N7" s="90" t="e">
        <f>INDEX(Commerce_session1!A6:CX792,MATCH("a",Commerce_session1!A6:A792,0),7)</f>
        <v>#N/A</v>
      </c>
      <c r="O7" s="10"/>
    </row>
    <row r="8" spans="1:18" ht="20.25" customHeight="1">
      <c r="A8" s="476" t="s">
        <v>18</v>
      </c>
      <c r="B8" s="476"/>
      <c r="C8" s="448" t="e">
        <f>INDEX(Commerce_session1!A6:CX792,MATCH("a",Commerce_session1!A6:A792,0),5)</f>
        <v>#N/A</v>
      </c>
      <c r="D8" s="448"/>
      <c r="E8" s="91"/>
      <c r="F8" s="88"/>
      <c r="G8" s="93"/>
      <c r="H8" s="88"/>
      <c r="I8" s="88"/>
      <c r="J8" s="93"/>
      <c r="K8" s="88"/>
      <c r="L8" s="88"/>
      <c r="M8" s="88"/>
      <c r="N8" s="88"/>
      <c r="O8" s="10"/>
    </row>
    <row r="9" spans="1:18" ht="20.25" customHeight="1">
      <c r="A9" s="476" t="s">
        <v>102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</row>
    <row r="10" spans="1:18" ht="20.25" customHeight="1" thickBot="1">
      <c r="A10" s="459" t="s">
        <v>19</v>
      </c>
      <c r="B10" s="459"/>
      <c r="C10" s="459"/>
      <c r="D10" s="459"/>
      <c r="E10" s="459"/>
      <c r="F10" s="459"/>
      <c r="G10" s="459"/>
      <c r="H10" s="94"/>
      <c r="I10" s="94"/>
      <c r="J10" s="95"/>
      <c r="K10" s="94"/>
      <c r="L10" s="94"/>
      <c r="M10" s="94"/>
      <c r="N10" s="94"/>
      <c r="O10" s="11"/>
    </row>
    <row r="11" spans="1:18" ht="18.75" thickBot="1">
      <c r="A11" s="460" t="s">
        <v>20</v>
      </c>
      <c r="B11" s="463" t="s">
        <v>21</v>
      </c>
      <c r="C11" s="464"/>
      <c r="D11" s="464"/>
      <c r="E11" s="464"/>
      <c r="F11" s="464" t="s">
        <v>22</v>
      </c>
      <c r="G11" s="464"/>
      <c r="H11" s="464"/>
      <c r="I11" s="465" t="s">
        <v>23</v>
      </c>
      <c r="J11" s="466"/>
      <c r="K11" s="466"/>
      <c r="L11" s="466"/>
      <c r="M11" s="466"/>
      <c r="N11" s="466"/>
      <c r="O11" s="467"/>
    </row>
    <row r="12" spans="1:18">
      <c r="A12" s="461"/>
      <c r="B12" s="468" t="s">
        <v>24</v>
      </c>
      <c r="C12" s="470" t="s">
        <v>25</v>
      </c>
      <c r="D12" s="472" t="s">
        <v>26</v>
      </c>
      <c r="E12" s="474" t="s">
        <v>27</v>
      </c>
      <c r="F12" s="479" t="s">
        <v>28</v>
      </c>
      <c r="G12" s="468" t="s">
        <v>11</v>
      </c>
      <c r="H12" s="481" t="s">
        <v>27</v>
      </c>
      <c r="I12" s="482" t="s">
        <v>29</v>
      </c>
      <c r="J12" s="483"/>
      <c r="K12" s="484" t="s">
        <v>30</v>
      </c>
      <c r="L12" s="485"/>
      <c r="M12" s="486"/>
      <c r="N12" s="455" t="s">
        <v>20</v>
      </c>
      <c r="O12" s="456"/>
    </row>
    <row r="13" spans="1:18" ht="15.75" thickBot="1">
      <c r="A13" s="462"/>
      <c r="B13" s="469"/>
      <c r="C13" s="471"/>
      <c r="D13" s="473"/>
      <c r="E13" s="475"/>
      <c r="F13" s="480"/>
      <c r="G13" s="469"/>
      <c r="H13" s="473"/>
      <c r="I13" s="106" t="s">
        <v>10</v>
      </c>
      <c r="J13" s="106" t="s">
        <v>31</v>
      </c>
      <c r="K13" s="106" t="s">
        <v>32</v>
      </c>
      <c r="L13" s="457" t="s">
        <v>33</v>
      </c>
      <c r="M13" s="458"/>
      <c r="N13" s="106" t="s">
        <v>34</v>
      </c>
      <c r="O13" s="107" t="s">
        <v>35</v>
      </c>
    </row>
    <row r="14" spans="1:18" ht="18.75" customHeight="1" thickBot="1">
      <c r="A14" s="549" t="s">
        <v>76</v>
      </c>
      <c r="B14" s="552" t="s">
        <v>36</v>
      </c>
      <c r="C14" s="555" t="s">
        <v>90</v>
      </c>
      <c r="D14" s="556">
        <v>17</v>
      </c>
      <c r="E14" s="449">
        <v>6</v>
      </c>
      <c r="F14" s="96" t="s">
        <v>54</v>
      </c>
      <c r="G14" s="70">
        <v>5</v>
      </c>
      <c r="H14" s="71">
        <v>2</v>
      </c>
      <c r="I14" s="12" t="e">
        <f>INDEX(Commerce_session1!A6:CX792,MATCH("a",Commerce_session1!A6:A792,0),16)</f>
        <v>#N/A</v>
      </c>
      <c r="J14" s="13" t="e">
        <f>INDEX(Commerce_session1!A6:CX792,MATCH("a",Commerce_session1!A6:A792,0),17)</f>
        <v>#N/A</v>
      </c>
      <c r="K14" s="452" t="e">
        <f>INDEX(Commerce_session1!A6:CX792,MATCH("a",Commerce_session1!A6:A792,0),26)</f>
        <v>#N/A</v>
      </c>
      <c r="L14" s="494" t="e">
        <f>INDEX(Commerce_session1!A6:CX792,MATCH("a",Commerce_session1!A6:A792,0),27)</f>
        <v>#N/A</v>
      </c>
      <c r="M14" s="495" t="e">
        <f>INDEX(Commerce_session1!D6:CZ44,MATCH("a",Commerce_session1!D6:D44,0),15)</f>
        <v>#N/A</v>
      </c>
      <c r="N14" s="498" t="e">
        <f>INDEX(Commerce_session1!A6:CX792,MATCH("a",Commerce_session1!A6:A792,0),95)</f>
        <v>#N/A</v>
      </c>
      <c r="O14" s="487" t="e">
        <f>INDEX(Commerce_session1!A6:CX792,MATCH("a",Commerce_session1!A6:A792,0),96)</f>
        <v>#N/A</v>
      </c>
    </row>
    <row r="15" spans="1:18" ht="18.75" customHeight="1" thickBot="1">
      <c r="A15" s="550"/>
      <c r="B15" s="553"/>
      <c r="C15" s="503"/>
      <c r="D15" s="557"/>
      <c r="E15" s="450"/>
      <c r="F15" s="97" t="s">
        <v>55</v>
      </c>
      <c r="G15" s="72">
        <v>6</v>
      </c>
      <c r="H15" s="73">
        <v>2</v>
      </c>
      <c r="I15" s="14" t="e">
        <f>INDEX(Commerce_session1!A6:CX792,MATCH("a",Commerce_session1!A6:A792,0),20)</f>
        <v>#N/A</v>
      </c>
      <c r="J15" s="15" t="e">
        <f>INDEX(Commerce_session1!A6:CX792,MATCH("a",Commerce_session1!A6:A792,0),21)</f>
        <v>#N/A</v>
      </c>
      <c r="K15" s="453" t="e">
        <f>INDEX(Commerce_session1!B6:CY44,MATCH("a",Commerce_session1!B6:B44,0),14)</f>
        <v>#N/A</v>
      </c>
      <c r="L15" s="496" t="e">
        <f>INDEX(Commerce_session1!D6:CZ44,MATCH("a",Commerce_session1!D6:D44,0),14)</f>
        <v>#N/A</v>
      </c>
      <c r="M15" s="497" t="e">
        <f>INDEX(Commerce_session1!E6:DA44,MATCH("a",Commerce_session1!E6:E44,0),14)</f>
        <v>#N/A</v>
      </c>
      <c r="N15" s="498" t="e">
        <f>INDEX(Commerce_session1!#REF!,MATCH("a",Commerce_session1!#REF!,0),62)</f>
        <v>#REF!</v>
      </c>
      <c r="O15" s="487" t="e">
        <f>INDEX(Commerce_session1!#REF!,MATCH("a",Commerce_session1!#REF!,0),62)</f>
        <v>#REF!</v>
      </c>
    </row>
    <row r="16" spans="1:18" ht="18.75" customHeight="1" thickBot="1">
      <c r="A16" s="550"/>
      <c r="B16" s="554"/>
      <c r="C16" s="504"/>
      <c r="D16" s="558"/>
      <c r="E16" s="451"/>
      <c r="F16" s="98" t="s">
        <v>56</v>
      </c>
      <c r="G16" s="74">
        <v>6</v>
      </c>
      <c r="H16" s="75">
        <v>2</v>
      </c>
      <c r="I16" s="16" t="e">
        <f>INDEX(Commerce_session1!A6:CX792,MATCH("a",Commerce_session1!A6:A792,0),24)</f>
        <v>#N/A</v>
      </c>
      <c r="J16" s="17" t="e">
        <f>INDEX(Commerce_session1!A6:CX792,MATCH("a",Commerce_session1!A6:A792,0),25)</f>
        <v>#N/A</v>
      </c>
      <c r="K16" s="454" t="e">
        <f>INDEX(Commerce_session1!B7:CY44,MATCH("a",Commerce_session1!B7:B44,0),14)</f>
        <v>#N/A</v>
      </c>
      <c r="L16" s="490" t="e">
        <f>INDEX(Commerce_session1!D7:CZ44,MATCH("a",Commerce_session1!D7:D44,0),14)</f>
        <v>#N/A</v>
      </c>
      <c r="M16" s="491" t="e">
        <f>INDEX(Commerce_session1!E7:DA44,MATCH("a",Commerce_session1!E7:E44,0),14)</f>
        <v>#N/A</v>
      </c>
      <c r="N16" s="498" t="e">
        <f>INDEX(Commerce_session1!#REF!,MATCH("a",Commerce_session1!#REF!,0),62)</f>
        <v>#REF!</v>
      </c>
      <c r="O16" s="487" t="e">
        <f>INDEX(Commerce_session1!#REF!,MATCH("a",Commerce_session1!#REF!,0),62)</f>
        <v>#REF!</v>
      </c>
    </row>
    <row r="17" spans="1:15" ht="19.5" customHeight="1" thickTop="1" thickBot="1">
      <c r="A17" s="550"/>
      <c r="B17" s="499" t="s">
        <v>37</v>
      </c>
      <c r="C17" s="502" t="s">
        <v>89</v>
      </c>
      <c r="D17" s="505">
        <v>7</v>
      </c>
      <c r="E17" s="508">
        <v>5</v>
      </c>
      <c r="F17" s="99" t="s">
        <v>83</v>
      </c>
      <c r="G17" s="76">
        <v>1</v>
      </c>
      <c r="H17" s="77">
        <v>1</v>
      </c>
      <c r="I17" s="18" t="e">
        <f>INDEX(Commerce_session1!A6:CX792,MATCH("a",Commerce_session1!A6:A792,0),29)</f>
        <v>#N/A</v>
      </c>
      <c r="J17" s="19" t="e">
        <f>INDEX(Commerce_session1!A6:CX792,MATCH("a",Commerce_session1!A6:A792,0),30)</f>
        <v>#N/A</v>
      </c>
      <c r="K17" s="509" t="e">
        <f>INDEX(Commerce_session1!A6:CX792,MATCH("a",Commerce_session1!A6:A792,0),39)</f>
        <v>#N/A</v>
      </c>
      <c r="L17" s="488" t="e">
        <f>INDEX(Commerce_session1!A6:CX792,MATCH("a",Commerce_session1!A6:A792,0),40)</f>
        <v>#N/A</v>
      </c>
      <c r="M17" s="489" t="e">
        <f>INDEX(Commerce_session1!D6:CZ44,MATCH("a",Commerce_session1!D6:D44,0),23)</f>
        <v>#N/A</v>
      </c>
      <c r="N17" s="498" t="e">
        <f>INDEX(Commerce_session1!#REF!,MATCH("a",Commerce_session1!#REF!,0),62)</f>
        <v>#REF!</v>
      </c>
      <c r="O17" s="487" t="e">
        <f>INDEX(Commerce_session1!#REF!,MATCH("a",Commerce_session1!#REF!,0),62)</f>
        <v>#REF!</v>
      </c>
    </row>
    <row r="18" spans="1:15" ht="18.75" customHeight="1" thickTop="1" thickBot="1">
      <c r="A18" s="550"/>
      <c r="B18" s="500"/>
      <c r="C18" s="503"/>
      <c r="D18" s="506"/>
      <c r="E18" s="450"/>
      <c r="F18" s="100" t="s">
        <v>99</v>
      </c>
      <c r="G18" s="78">
        <v>3</v>
      </c>
      <c r="H18" s="79">
        <v>2</v>
      </c>
      <c r="I18" s="18" t="e">
        <f>INDEX(Commerce_session1!A6:CX792,MATCH("a",Commerce_session1!A6:A792,0),33)</f>
        <v>#N/A</v>
      </c>
      <c r="J18" s="15" t="e">
        <f>INDEX(Commerce_session1!A6:CX792,MATCH("a",Commerce_session1!A6:A792,0),34)</f>
        <v>#N/A</v>
      </c>
      <c r="K18" s="510" t="e">
        <f>INDEX(Commerce_session1!B5:CY44,MATCH("a",Commerce_session1!B5:B44,0),22)</f>
        <v>#N/A</v>
      </c>
      <c r="L18" s="496" t="e">
        <f>INDEX(Commerce_session1!D5:CZ44,MATCH("a",Commerce_session1!D5:D44,0),22)</f>
        <v>#N/A</v>
      </c>
      <c r="M18" s="497" t="e">
        <f>INDEX(Commerce_session1!E5:DA44,MATCH("a",Commerce_session1!E5:E44,0),22)</f>
        <v>#N/A</v>
      </c>
      <c r="N18" s="498" t="e">
        <f>INDEX(Commerce_session1!#REF!,MATCH("a",Commerce_session1!#REF!,0),62)</f>
        <v>#REF!</v>
      </c>
      <c r="O18" s="487" t="e">
        <f>INDEX(Commerce_session1!#REF!,MATCH("a",Commerce_session1!#REF!,0),62)</f>
        <v>#REF!</v>
      </c>
    </row>
    <row r="19" spans="1:15" ht="18.75" customHeight="1" thickBot="1">
      <c r="A19" s="550"/>
      <c r="B19" s="501"/>
      <c r="C19" s="504"/>
      <c r="D19" s="507"/>
      <c r="E19" s="451"/>
      <c r="F19" s="101" t="s">
        <v>84</v>
      </c>
      <c r="G19" s="80">
        <v>3</v>
      </c>
      <c r="H19" s="81">
        <v>2</v>
      </c>
      <c r="I19" s="20" t="e">
        <f>INDEX(Commerce_session1!A6:CX792,MATCH("a",Commerce_session1!A6:A792,0),37)</f>
        <v>#N/A</v>
      </c>
      <c r="J19" s="17" t="e">
        <f>INDEX(Commerce_session1!A6:CX792,MATCH("a",Commerce_session1!A6:A792,0),38)</f>
        <v>#N/A</v>
      </c>
      <c r="K19" s="511" t="e">
        <f>INDEX(Commerce_session1!B6:CY44,MATCH("a",Commerce_session1!B6:B44,0),22)</f>
        <v>#N/A</v>
      </c>
      <c r="L19" s="490" t="e">
        <f>INDEX(Commerce_session1!D6:CZ44,MATCH("a",Commerce_session1!D6:D44,0),22)</f>
        <v>#N/A</v>
      </c>
      <c r="M19" s="491" t="e">
        <f>INDEX(Commerce_session1!E6:DA44,MATCH("a",Commerce_session1!E6:E44,0),22)</f>
        <v>#N/A</v>
      </c>
      <c r="N19" s="498" t="e">
        <f>INDEX(Commerce_session1!#REF!,MATCH("a",Commerce_session1!#REF!,0),62)</f>
        <v>#REF!</v>
      </c>
      <c r="O19" s="487" t="e">
        <f>INDEX(Commerce_session1!#REF!,MATCH("a",Commerce_session1!#REF!,0),62)</f>
        <v>#REF!</v>
      </c>
    </row>
    <row r="20" spans="1:15" ht="33.75" customHeight="1" thickTop="1" thickBot="1">
      <c r="A20" s="550"/>
      <c r="B20" s="531" t="s">
        <v>38</v>
      </c>
      <c r="C20" s="559" t="s">
        <v>50</v>
      </c>
      <c r="D20" s="520">
        <v>5</v>
      </c>
      <c r="E20" s="508">
        <v>2</v>
      </c>
      <c r="F20" s="102" t="s">
        <v>63</v>
      </c>
      <c r="G20" s="68">
        <v>4</v>
      </c>
      <c r="H20" s="69">
        <v>1</v>
      </c>
      <c r="I20" s="18" t="e">
        <f>INDEX(Commerce_session1!A6:CX792,MATCH("a",Commerce_session1!A6:A792,0),43)</f>
        <v>#N/A</v>
      </c>
      <c r="J20" s="19" t="e">
        <f>INDEX(Commerce_session1!A6:CX792,MATCH("a",Commerce_session1!A6:A792,0),44)</f>
        <v>#N/A</v>
      </c>
      <c r="K20" s="509" t="e">
        <f>INDEX(Commerce_session1!A6:CX792,MATCH("a",Commerce_session1!A6:A792,0),48)</f>
        <v>#N/A</v>
      </c>
      <c r="L20" s="488" t="e">
        <f>INDEX(Commerce_session1!A6:CX792,MATCH("a",Commerce_session1!A6:A792,0),49)</f>
        <v>#N/A</v>
      </c>
      <c r="M20" s="489" t="e">
        <f>INDEX(Commerce_session1!D6:CZ44,MATCH("a",Commerce_session1!D6:D44,0),29)</f>
        <v>#N/A</v>
      </c>
      <c r="N20" s="498" t="e">
        <f>INDEX(Commerce_session1!#REF!,MATCH("a",Commerce_session1!#REF!,0),62)</f>
        <v>#REF!</v>
      </c>
      <c r="O20" s="487" t="e">
        <f>INDEX(Commerce_session1!#REF!,MATCH("a",Commerce_session1!#REF!,0),62)</f>
        <v>#REF!</v>
      </c>
    </row>
    <row r="21" spans="1:15" ht="18.75" customHeight="1" thickBot="1">
      <c r="A21" s="550"/>
      <c r="B21" s="527"/>
      <c r="C21" s="524"/>
      <c r="D21" s="521"/>
      <c r="E21" s="451"/>
      <c r="F21" s="101" t="s">
        <v>62</v>
      </c>
      <c r="G21" s="80">
        <v>1</v>
      </c>
      <c r="H21" s="81">
        <v>1</v>
      </c>
      <c r="I21" s="16" t="e">
        <f>INDEX(Commerce_session1!A6:CX792,MATCH("a",Commerce_session1!A6:A792,0),46)</f>
        <v>#N/A</v>
      </c>
      <c r="J21" s="21" t="e">
        <f>INDEX(Commerce_session1!A6:CX792,MATCH("a",Commerce_session1!A6:A792,0),47)</f>
        <v>#N/A</v>
      </c>
      <c r="K21" s="511" t="e">
        <f>INDEX(Commerce_session1!B6:CY44,MATCH("a",Commerce_session1!B6:B44,0),28)</f>
        <v>#N/A</v>
      </c>
      <c r="L21" s="490" t="e">
        <f>INDEX(Commerce_session1!D6:CZ44,MATCH("a",Commerce_session1!D6:D44,0),28)</f>
        <v>#N/A</v>
      </c>
      <c r="M21" s="491" t="e">
        <f>INDEX(Commerce_session1!E6:DA44,MATCH("a",Commerce_session1!E6:E44,0),28)</f>
        <v>#N/A</v>
      </c>
      <c r="N21" s="498" t="e">
        <f>INDEX(Commerce_session1!#REF!,MATCH("a",Commerce_session1!#REF!,0),62)</f>
        <v>#REF!</v>
      </c>
      <c r="O21" s="487" t="e">
        <f>INDEX(Commerce_session1!#REF!,MATCH("a",Commerce_session1!#REF!,0),62)</f>
        <v>#REF!</v>
      </c>
    </row>
    <row r="22" spans="1:15" ht="20.25" customHeight="1" thickTop="1" thickBot="1">
      <c r="A22" s="551"/>
      <c r="B22" s="105" t="s">
        <v>39</v>
      </c>
      <c r="C22" s="104" t="s">
        <v>51</v>
      </c>
      <c r="D22" s="22">
        <v>1</v>
      </c>
      <c r="E22" s="23">
        <v>1</v>
      </c>
      <c r="F22" s="103" t="s">
        <v>64</v>
      </c>
      <c r="G22" s="82">
        <v>1</v>
      </c>
      <c r="H22" s="83">
        <v>1</v>
      </c>
      <c r="I22" s="20" t="e">
        <f>INDEX(Commerce_session1!A6:CX792,MATCH("a",Commerce_session1!A6:A792,0),52)</f>
        <v>#N/A</v>
      </c>
      <c r="J22" s="24" t="e">
        <f>INDEX(Commerce_session1!A6:CX792,MATCH("a",Commerce_session1!A6:A792,0),53)</f>
        <v>#N/A</v>
      </c>
      <c r="K22" s="36" t="e">
        <f>INDEX(Commerce_session1!A6:CX792,MATCH("a",Commerce_session1!A6:A792,0),54)</f>
        <v>#N/A</v>
      </c>
      <c r="L22" s="492" t="e">
        <f>INDEX(Commerce_session1!A6:CX792,MATCH("a",Commerce_session1!A6:A792,0),55)</f>
        <v>#N/A</v>
      </c>
      <c r="M22" s="493" t="e">
        <f>INDEX(Commerce_session1!D6:CZ44,MATCH("a",Commerce_session1!D6:D44,0),33)</f>
        <v>#N/A</v>
      </c>
      <c r="N22" s="498" t="e">
        <f>INDEX(Commerce_session1!#REF!,MATCH("a",Commerce_session1!#REF!,0),62)</f>
        <v>#REF!</v>
      </c>
      <c r="O22" s="487" t="e">
        <f>INDEX(Commerce_session1!#REF!,MATCH("a",Commerce_session1!#REF!,0),62)</f>
        <v>#REF!</v>
      </c>
    </row>
    <row r="23" spans="1:15" ht="19.5" customHeight="1" thickTop="1" thickBot="1">
      <c r="A23" s="516" t="s">
        <v>77</v>
      </c>
      <c r="B23" s="525" t="s">
        <v>36</v>
      </c>
      <c r="C23" s="522" t="s">
        <v>88</v>
      </c>
      <c r="D23" s="528">
        <v>16</v>
      </c>
      <c r="E23" s="449">
        <v>5</v>
      </c>
      <c r="F23" s="96" t="s">
        <v>67</v>
      </c>
      <c r="G23" s="114">
        <v>6</v>
      </c>
      <c r="H23" s="115">
        <v>2</v>
      </c>
      <c r="I23" s="18" t="e">
        <f>INDEX(Commerce_session1!A6:CX792,MATCH("a",Commerce_session1!A6:A792,0),60)</f>
        <v>#N/A</v>
      </c>
      <c r="J23" s="19" t="e">
        <f>INDEX(Commerce_session1!A6:CX792,MATCH("a",Commerce_session1!A6:A792,0),61)</f>
        <v>#N/A</v>
      </c>
      <c r="K23" s="519" t="e">
        <f>INDEX(Commerce_session1!A6:CX792,MATCH("a",Commerce_session1!A6:A792,0),70)</f>
        <v>#N/A</v>
      </c>
      <c r="L23" s="494" t="e">
        <f>INDEX(Commerce_session1!A6:CX792,MATCH("a",Commerce_session1!A6:A792,0),71)</f>
        <v>#N/A</v>
      </c>
      <c r="M23" s="495"/>
      <c r="N23" s="498" t="e">
        <f>INDEX(Commerce_session1!A6:CX792,MATCH("a",Commerce_session1!A6:A792,0),97)</f>
        <v>#N/A</v>
      </c>
      <c r="O23" s="487" t="e">
        <f>INDEX(Commerce_session1!A6:CX792,MATCH("a",Commerce_session1!A6:A792,0),98)</f>
        <v>#N/A</v>
      </c>
    </row>
    <row r="24" spans="1:15" ht="18.75" customHeight="1" thickBot="1">
      <c r="A24" s="517"/>
      <c r="B24" s="526"/>
      <c r="C24" s="523"/>
      <c r="D24" s="529"/>
      <c r="E24" s="450"/>
      <c r="F24" s="100" t="s">
        <v>68</v>
      </c>
      <c r="G24" s="116">
        <v>6</v>
      </c>
      <c r="H24" s="117">
        <v>2</v>
      </c>
      <c r="I24" s="14" t="e">
        <f>INDEX(Commerce_session1!A6:CX792,MATCH("a",Commerce_session1!A6:A792,0),64)</f>
        <v>#N/A</v>
      </c>
      <c r="J24" s="15" t="e">
        <f>INDEX(Commerce_session1!A6:CX792,MATCH("a",Commerce_session1!A6:A792,0),65)</f>
        <v>#N/A</v>
      </c>
      <c r="K24" s="510"/>
      <c r="L24" s="496"/>
      <c r="M24" s="497"/>
      <c r="N24" s="498" t="e">
        <f>INDEX(Commerce_session1!F6:DA44,MATCH("a",Commerce_session1!F6:F44,0),42)</f>
        <v>#N/A</v>
      </c>
      <c r="O24" s="487" t="e">
        <f>INDEX(Commerce_session1!G6:DA44,MATCH("a",Commerce_session1!G6:G44,0),42)</f>
        <v>#N/A</v>
      </c>
    </row>
    <row r="25" spans="1:15" ht="20.25" customHeight="1" thickBot="1">
      <c r="A25" s="517"/>
      <c r="B25" s="527"/>
      <c r="C25" s="524"/>
      <c r="D25" s="530"/>
      <c r="E25" s="451"/>
      <c r="F25" s="101" t="s">
        <v>103</v>
      </c>
      <c r="G25" s="118">
        <v>4</v>
      </c>
      <c r="H25" s="119">
        <v>1</v>
      </c>
      <c r="I25" s="127" t="e">
        <f>INDEX(Commerce_session1!A6:CX792,MATCH("a",Commerce_session1!A6:A792,0),68)</f>
        <v>#N/A</v>
      </c>
      <c r="J25" s="21" t="e">
        <f>INDEX(Commerce_session1!A6:CX792,MATCH("a",Commerce_session1!A6:A792,0),69)</f>
        <v>#N/A</v>
      </c>
      <c r="K25" s="511"/>
      <c r="L25" s="490"/>
      <c r="M25" s="491"/>
      <c r="N25" s="498" t="e">
        <f>INDEX(Commerce_session1!F7:DA44,MATCH("a",Commerce_session1!F7:F44,0),42)</f>
        <v>#N/A</v>
      </c>
      <c r="O25" s="487" t="e">
        <f>INDEX(Commerce_session1!G7:DA44,MATCH("a",Commerce_session1!G7:G44,0),42)</f>
        <v>#N/A</v>
      </c>
    </row>
    <row r="26" spans="1:15" ht="22.5" customHeight="1" thickTop="1" thickBot="1">
      <c r="A26" s="517"/>
      <c r="B26" s="531" t="s">
        <v>37</v>
      </c>
      <c r="C26" s="559" t="s">
        <v>87</v>
      </c>
      <c r="D26" s="532">
        <v>10</v>
      </c>
      <c r="E26" s="508">
        <v>4</v>
      </c>
      <c r="F26" s="128" t="s">
        <v>104</v>
      </c>
      <c r="G26" s="76">
        <v>5</v>
      </c>
      <c r="H26" s="77">
        <v>2</v>
      </c>
      <c r="I26" s="18" t="e">
        <f>INDEX(Commerce_session1!A6:CX792,MATCH("a",Commerce_session1!A6:A792,0),74)</f>
        <v>#N/A</v>
      </c>
      <c r="J26" s="19" t="e">
        <f>INDEX(Commerce_session1!A6:CX792,MATCH("a",Commerce_session1!A6:A792,0),75)</f>
        <v>#N/A</v>
      </c>
      <c r="K26" s="509" t="e">
        <f>INDEX(Commerce_session1!A6:CX792,MATCH("a",Commerce_session1!A6:A792,0),80)</f>
        <v>#N/A</v>
      </c>
      <c r="L26" s="488" t="e">
        <f>INDEX(Commerce_session1!A6:CX792,MATCH("a",Commerce_session1!A6:A792,0),81)</f>
        <v>#N/A</v>
      </c>
      <c r="M26" s="489"/>
      <c r="N26" s="498" t="e">
        <f>INDEX(Commerce_session1!E8:DA44,MATCH("a",Commerce_session1!E8:E44,0),43)</f>
        <v>#N/A</v>
      </c>
      <c r="O26" s="487" t="e">
        <f>INDEX(Commerce_session1!F8:DA44,MATCH("a",Commerce_session1!F8:F44,0),43)</f>
        <v>#N/A</v>
      </c>
    </row>
    <row r="27" spans="1:15" ht="18.75" customHeight="1" thickBot="1">
      <c r="A27" s="517"/>
      <c r="B27" s="527"/>
      <c r="C27" s="524"/>
      <c r="D27" s="530"/>
      <c r="E27" s="451"/>
      <c r="F27" s="98" t="s">
        <v>69</v>
      </c>
      <c r="G27" s="74">
        <v>5</v>
      </c>
      <c r="H27" s="75">
        <v>2</v>
      </c>
      <c r="I27" s="20" t="e">
        <f>INDEX(Commerce_session1!A6:CX792,MATCH("a",Commerce_session1!A6:A792,0),78)</f>
        <v>#N/A</v>
      </c>
      <c r="J27" s="17" t="e">
        <f>INDEX(Commerce_session1!A6:CX792,MATCH("a",Commerce_session1!A6:A792,0),79)</f>
        <v>#N/A</v>
      </c>
      <c r="K27" s="511"/>
      <c r="L27" s="490"/>
      <c r="M27" s="491"/>
      <c r="N27" s="498" t="e">
        <f>INDEX(Commerce_session1!F9:DA44,MATCH("a",Commerce_session1!F9:F44,0),42)</f>
        <v>#N/A</v>
      </c>
      <c r="O27" s="487" t="e">
        <f>INDEX(Commerce_session1!G9:DA44,MATCH("a",Commerce_session1!G9:G44,0),42)</f>
        <v>#N/A</v>
      </c>
    </row>
    <row r="28" spans="1:15" ht="18.75" customHeight="1" thickTop="1" thickBot="1">
      <c r="A28" s="517"/>
      <c r="B28" s="105" t="s">
        <v>38</v>
      </c>
      <c r="C28" s="104" t="s">
        <v>85</v>
      </c>
      <c r="D28" s="22">
        <v>3</v>
      </c>
      <c r="E28" s="23">
        <v>2</v>
      </c>
      <c r="F28" s="101" t="s">
        <v>74</v>
      </c>
      <c r="G28" s="74">
        <v>3</v>
      </c>
      <c r="H28" s="75">
        <v>2</v>
      </c>
      <c r="I28" s="20" t="e">
        <f>INDEX(Commerce_session1!A6:CX792,MATCH("a",Commerce_session1!A6:A792,0),84)</f>
        <v>#N/A</v>
      </c>
      <c r="J28" s="17" t="e">
        <f>INDEX(Commerce_session1!A6:CX792,MATCH("a",Commerce_session1!A6:A792,0),85)</f>
        <v>#N/A</v>
      </c>
      <c r="K28" s="60" t="e">
        <f>INDEX(Commerce_session1!A6:CX792,MATCH("a",Commerce_session1!A6:A792,0),86)</f>
        <v>#N/A</v>
      </c>
      <c r="L28" s="512" t="e">
        <f>INDEX(Commerce_session1!A6:CX792,MATCH("a",Commerce_session1!A6:A792,0),87)</f>
        <v>#N/A</v>
      </c>
      <c r="M28" s="513"/>
      <c r="N28" s="498" t="e">
        <f>INDEX(Commerce_session1!F11:DA44,MATCH("a",Commerce_session1!F11:F44,0),42)</f>
        <v>#N/A</v>
      </c>
      <c r="O28" s="487" t="e">
        <f>INDEX(Commerce_session1!G11:DA44,MATCH("a",Commerce_session1!G11:G44,0),42)</f>
        <v>#N/A</v>
      </c>
    </row>
    <row r="29" spans="1:15" ht="20.25" customHeight="1" thickTop="1" thickBot="1">
      <c r="A29" s="518"/>
      <c r="B29" s="105" t="s">
        <v>39</v>
      </c>
      <c r="C29" s="104" t="s">
        <v>86</v>
      </c>
      <c r="D29" s="22">
        <v>1</v>
      </c>
      <c r="E29" s="23">
        <v>1</v>
      </c>
      <c r="F29" s="103" t="s">
        <v>73</v>
      </c>
      <c r="G29" s="82">
        <v>1</v>
      </c>
      <c r="H29" s="83">
        <v>1</v>
      </c>
      <c r="I29" s="25" t="e">
        <f>INDEX(Commerce_session1!A6:CX792,MATCH("a",Commerce_session1!A6:A792,0),89)</f>
        <v>#N/A</v>
      </c>
      <c r="J29" s="26" t="e">
        <f>INDEX(Commerce_session1!A6:CX792,MATCH("a",Commerce_session1!A6:A792,0),90)</f>
        <v>#N/A</v>
      </c>
      <c r="K29" s="27" t="e">
        <f>INDEX(Commerce_session1!A6:CX792,MATCH("a",Commerce_session1!A6:A792,0),91)</f>
        <v>#N/A</v>
      </c>
      <c r="L29" s="514" t="e">
        <f>INDEX(Commerce_session1!A6:CX792,MATCH("a",Commerce_session1!A6:A792,0),92)</f>
        <v>#N/A</v>
      </c>
      <c r="M29" s="515" t="e">
        <f>INDEX(Commerce_session1!D6:CZ44,MATCH("a",Commerce_session1!D6:D44,0),61)</f>
        <v>#N/A</v>
      </c>
      <c r="N29" s="498" t="e">
        <f>INDEX(Commerce_session1!F12:DA44,MATCH("a",Commerce_session1!F12:F44,0),42)</f>
        <v>#N/A</v>
      </c>
      <c r="O29" s="487" t="e">
        <f>INDEX(Commerce_session1!G12:DA44,MATCH("a",Commerce_session1!G12:G44,0),42)</f>
        <v>#N/A</v>
      </c>
    </row>
    <row r="30" spans="1:15" ht="20.25">
      <c r="A30" s="535" t="s">
        <v>40</v>
      </c>
      <c r="B30" s="536"/>
      <c r="C30" s="537"/>
      <c r="D30" s="121" t="e">
        <f>INDEX(Commerce_session1!A6:CX792,MATCH("a",Commerce_session1!A6:A792,0),99)</f>
        <v>#N/A</v>
      </c>
      <c r="E30" s="538" t="s">
        <v>41</v>
      </c>
      <c r="F30" s="540"/>
      <c r="G30" s="120" t="e">
        <f>INDEX(Commerce_session1!A6:CX792,MATCH("a",Commerce_session1!A6:A792,0),100)</f>
        <v>#N/A</v>
      </c>
      <c r="H30" s="538" t="s">
        <v>91</v>
      </c>
      <c r="I30" s="539"/>
      <c r="J30" s="539"/>
      <c r="K30" s="540"/>
      <c r="L30" s="541" t="e">
        <f>INDEX(Commerce_session1!A6:CX792,MATCH("a",Commerce_session1!A6:A792,0),101)</f>
        <v>#N/A</v>
      </c>
      <c r="M30" s="542"/>
      <c r="N30" s="8"/>
      <c r="O30" s="8"/>
    </row>
    <row r="31" spans="1:15" ht="22.5">
      <c r="A31" s="546" t="s">
        <v>42</v>
      </c>
      <c r="B31" s="547"/>
      <c r="C31" s="548"/>
      <c r="D31" s="543" t="e">
        <f>INDEX(Commerce_session1!A6:CX792,MATCH("a",Commerce_session1!A6:A792,0),102)</f>
        <v>#N/A</v>
      </c>
      <c r="E31" s="544"/>
      <c r="F31" s="545"/>
      <c r="G31" s="108"/>
      <c r="H31" s="109"/>
      <c r="I31" s="110"/>
      <c r="J31" s="111"/>
      <c r="K31" s="110"/>
      <c r="L31" s="110"/>
      <c r="M31" s="110"/>
      <c r="N31" s="112" t="s">
        <v>43</v>
      </c>
      <c r="O31" s="28">
        <f ca="1">TODAY()</f>
        <v>43626</v>
      </c>
    </row>
    <row r="32" spans="1:15" ht="32.25" customHeight="1">
      <c r="A32" s="113" t="s">
        <v>44</v>
      </c>
      <c r="B32" s="29"/>
      <c r="C32" s="29"/>
      <c r="D32" s="533"/>
      <c r="E32" s="533"/>
      <c r="F32" s="30"/>
      <c r="G32" s="4"/>
      <c r="J32" s="4"/>
      <c r="L32" s="534" t="s">
        <v>46</v>
      </c>
      <c r="M32" s="534"/>
      <c r="N32" s="534"/>
    </row>
    <row r="33" spans="1:18" ht="23.25" customHeight="1" thickBot="1">
      <c r="A33" s="84" t="s">
        <v>12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445" t="s">
        <v>13</v>
      </c>
      <c r="M33" s="445"/>
      <c r="N33" s="445"/>
      <c r="O33" s="445"/>
      <c r="P33" s="2"/>
      <c r="Q33" s="2"/>
      <c r="R33" s="2"/>
    </row>
    <row r="34" spans="1:18" ht="15.75">
      <c r="A34" s="446" t="s">
        <v>14</v>
      </c>
      <c r="B34" s="446"/>
      <c r="C34" s="446"/>
      <c r="D34" s="446"/>
      <c r="E34" s="446"/>
      <c r="F34" s="3"/>
      <c r="H34" s="4"/>
      <c r="K34" s="4"/>
      <c r="L34" s="4"/>
    </row>
    <row r="35" spans="1:18" ht="15.75">
      <c r="A35" s="85" t="s">
        <v>15</v>
      </c>
      <c r="B35" s="85"/>
      <c r="C35" s="85"/>
      <c r="D35" s="85"/>
      <c r="E35" s="85"/>
      <c r="F35" s="5"/>
      <c r="H35" s="4"/>
      <c r="K35" s="4"/>
      <c r="L35" s="4"/>
      <c r="P35" s="6"/>
    </row>
    <row r="36" spans="1:18" ht="15.75">
      <c r="A36" s="85" t="s">
        <v>100</v>
      </c>
      <c r="B36" s="85"/>
      <c r="C36" s="85"/>
      <c r="D36" s="85"/>
      <c r="E36" s="85"/>
      <c r="F36" s="3"/>
      <c r="H36" s="4"/>
      <c r="K36" s="4"/>
      <c r="L36" s="4"/>
    </row>
    <row r="37" spans="1:18" s="8" customFormat="1" ht="27" customHeight="1">
      <c r="A37" s="7"/>
      <c r="B37" s="7"/>
      <c r="C37" s="7"/>
      <c r="D37" s="447" t="s">
        <v>94</v>
      </c>
      <c r="E37" s="447"/>
      <c r="F37" s="447"/>
      <c r="G37" s="447"/>
      <c r="H37" s="447"/>
      <c r="I37" s="447"/>
      <c r="J37" s="447"/>
      <c r="K37" s="447"/>
      <c r="L37" s="447"/>
      <c r="M37" s="7"/>
      <c r="N37" s="7"/>
      <c r="O37" s="7"/>
    </row>
    <row r="38" spans="1:18" ht="23.25" customHeight="1">
      <c r="A38" s="126" t="s">
        <v>101</v>
      </c>
      <c r="B38" s="126"/>
      <c r="C38" s="126"/>
      <c r="D38" s="126"/>
      <c r="E38" s="126"/>
      <c r="F38" s="126"/>
      <c r="G38" s="122"/>
      <c r="H38" s="122"/>
      <c r="I38" s="122" t="e">
        <f>IF(D63="ناجح(ة) دورة1","-الدورة الأولى-","-الدورة الثانية-")</f>
        <v>#N/A</v>
      </c>
      <c r="J38" s="124" t="s">
        <v>48</v>
      </c>
      <c r="K38" s="124"/>
      <c r="L38" s="87"/>
      <c r="M38" s="88"/>
      <c r="N38" s="89"/>
      <c r="O38" s="9"/>
    </row>
    <row r="39" spans="1:18" ht="20.25" customHeight="1">
      <c r="A39" s="476" t="s">
        <v>93</v>
      </c>
      <c r="B39" s="476"/>
      <c r="C39" s="90" t="e">
        <f>INDEX(Commerce_session1!A6:CX792,MATCH("B",Commerce_session1!A6:A792,0),3)</f>
        <v>#N/A</v>
      </c>
      <c r="D39" s="91" t="s">
        <v>92</v>
      </c>
      <c r="E39" s="448" t="e">
        <f>INDEX(Commerce_session1!A6:CX792,MATCH("B",Commerce_session1!A6:A792,0),4)</f>
        <v>#N/A</v>
      </c>
      <c r="F39" s="448" t="e">
        <f>INDEX(Commerce_session1!D36:DA178,MATCH("a",Commerce_session1!D36:D178,0),3)</f>
        <v>#N/A</v>
      </c>
      <c r="G39" s="477" t="s">
        <v>16</v>
      </c>
      <c r="H39" s="477"/>
      <c r="I39" s="477"/>
      <c r="J39" s="478" t="e">
        <f>INDEX(Commerce_session1!A6:CX792,MATCH("B",Commerce_session1!A6:A792,0),6)</f>
        <v>#N/A</v>
      </c>
      <c r="K39" s="478"/>
      <c r="L39" s="88"/>
      <c r="M39" s="92" t="s">
        <v>17</v>
      </c>
      <c r="N39" s="90" t="e">
        <f>INDEX(Commerce_session1!A6:CX792,MATCH("B",Commerce_session1!A6:A792,0),7)</f>
        <v>#N/A</v>
      </c>
      <c r="O39" s="10"/>
    </row>
    <row r="40" spans="1:18" ht="20.25" customHeight="1">
      <c r="A40" s="476" t="s">
        <v>18</v>
      </c>
      <c r="B40" s="476"/>
      <c r="C40" s="448" t="e">
        <f>INDEX(Commerce_session1!A6:CX792,MATCH("B",Commerce_session1!A6:A792,0),5)</f>
        <v>#N/A</v>
      </c>
      <c r="D40" s="448"/>
      <c r="E40" s="91"/>
      <c r="F40" s="88"/>
      <c r="G40" s="93"/>
      <c r="H40" s="88"/>
      <c r="I40" s="88"/>
      <c r="J40" s="93"/>
      <c r="K40" s="88"/>
      <c r="L40" s="88"/>
      <c r="M40" s="88"/>
      <c r="N40" s="88"/>
      <c r="O40" s="10"/>
    </row>
    <row r="41" spans="1:18" ht="20.25" customHeight="1">
      <c r="A41" s="476" t="s">
        <v>102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</row>
    <row r="42" spans="1:18" ht="20.25" customHeight="1" thickBot="1">
      <c r="A42" s="459" t="s">
        <v>19</v>
      </c>
      <c r="B42" s="459"/>
      <c r="C42" s="459"/>
      <c r="D42" s="459"/>
      <c r="E42" s="459"/>
      <c r="F42" s="459"/>
      <c r="G42" s="459"/>
      <c r="H42" s="94"/>
      <c r="I42" s="94"/>
      <c r="J42" s="95"/>
      <c r="K42" s="94"/>
      <c r="L42" s="94"/>
      <c r="M42" s="94"/>
      <c r="N42" s="94"/>
      <c r="O42" s="11"/>
    </row>
    <row r="43" spans="1:18" ht="18.75" thickBot="1">
      <c r="A43" s="460" t="s">
        <v>20</v>
      </c>
      <c r="B43" s="463" t="s">
        <v>21</v>
      </c>
      <c r="C43" s="464"/>
      <c r="D43" s="464"/>
      <c r="E43" s="464"/>
      <c r="F43" s="464" t="s">
        <v>22</v>
      </c>
      <c r="G43" s="464"/>
      <c r="H43" s="464"/>
      <c r="I43" s="465" t="s">
        <v>23</v>
      </c>
      <c r="J43" s="466"/>
      <c r="K43" s="466"/>
      <c r="L43" s="466"/>
      <c r="M43" s="466"/>
      <c r="N43" s="466"/>
      <c r="O43" s="467"/>
    </row>
    <row r="44" spans="1:18">
      <c r="A44" s="461"/>
      <c r="B44" s="468" t="s">
        <v>24</v>
      </c>
      <c r="C44" s="470" t="s">
        <v>25</v>
      </c>
      <c r="D44" s="472" t="s">
        <v>26</v>
      </c>
      <c r="E44" s="474" t="s">
        <v>27</v>
      </c>
      <c r="F44" s="479" t="s">
        <v>28</v>
      </c>
      <c r="G44" s="468" t="s">
        <v>11</v>
      </c>
      <c r="H44" s="481" t="s">
        <v>27</v>
      </c>
      <c r="I44" s="482" t="s">
        <v>29</v>
      </c>
      <c r="J44" s="483"/>
      <c r="K44" s="484" t="s">
        <v>30</v>
      </c>
      <c r="L44" s="485"/>
      <c r="M44" s="486"/>
      <c r="N44" s="455" t="s">
        <v>20</v>
      </c>
      <c r="O44" s="456"/>
    </row>
    <row r="45" spans="1:18" ht="15.75" thickBot="1">
      <c r="A45" s="462"/>
      <c r="B45" s="469"/>
      <c r="C45" s="471"/>
      <c r="D45" s="473"/>
      <c r="E45" s="475"/>
      <c r="F45" s="480"/>
      <c r="G45" s="469"/>
      <c r="H45" s="473"/>
      <c r="I45" s="106" t="s">
        <v>10</v>
      </c>
      <c r="J45" s="106" t="s">
        <v>31</v>
      </c>
      <c r="K45" s="106" t="s">
        <v>32</v>
      </c>
      <c r="L45" s="457" t="s">
        <v>33</v>
      </c>
      <c r="M45" s="458"/>
      <c r="N45" s="106" t="s">
        <v>34</v>
      </c>
      <c r="O45" s="107" t="s">
        <v>35</v>
      </c>
    </row>
    <row r="46" spans="1:18" ht="18.75" customHeight="1" thickBot="1">
      <c r="A46" s="549" t="s">
        <v>76</v>
      </c>
      <c r="B46" s="552" t="s">
        <v>36</v>
      </c>
      <c r="C46" s="555" t="s">
        <v>90</v>
      </c>
      <c r="D46" s="556">
        <v>17</v>
      </c>
      <c r="E46" s="449">
        <v>6</v>
      </c>
      <c r="F46" s="96" t="s">
        <v>54</v>
      </c>
      <c r="G46" s="70">
        <v>5</v>
      </c>
      <c r="H46" s="71">
        <v>2</v>
      </c>
      <c r="I46" s="12" t="e">
        <f>INDEX(Commerce_session1!A6:CX792,MATCH("B",Commerce_session1!A6:A792,0),16)</f>
        <v>#N/A</v>
      </c>
      <c r="J46" s="13" t="e">
        <f>INDEX(Commerce_session1!A6:CX792,MATCH("B",Commerce_session1!A6:A792,0),17)</f>
        <v>#N/A</v>
      </c>
      <c r="K46" s="452" t="e">
        <f>INDEX(Commerce_session1!A6:CX792,MATCH("B",Commerce_session1!A6:A792,0),26)</f>
        <v>#N/A</v>
      </c>
      <c r="L46" s="494" t="e">
        <f>INDEX(Commerce_session1!A6:CX792,MATCH("B",Commerce_session1!A6:A792,0),27)</f>
        <v>#N/A</v>
      </c>
      <c r="M46" s="495" t="e">
        <f>INDEX(Commerce_session1!D36:CZ77,MATCH("a",Commerce_session1!D36:D77,0),15)</f>
        <v>#N/A</v>
      </c>
      <c r="N46" s="498" t="e">
        <f>INDEX(Commerce_session1!A6:CX792,MATCH("B",Commerce_session1!A6:A792,0),95)</f>
        <v>#N/A</v>
      </c>
      <c r="O46" s="487" t="e">
        <f>INDEX(Commerce_session1!A6:CX792,MATCH("B",Commerce_session1!A6:A792,0),96)</f>
        <v>#N/A</v>
      </c>
    </row>
    <row r="47" spans="1:18" ht="18.75" customHeight="1" thickBot="1">
      <c r="A47" s="550"/>
      <c r="B47" s="553"/>
      <c r="C47" s="503"/>
      <c r="D47" s="557"/>
      <c r="E47" s="450"/>
      <c r="F47" s="97" t="s">
        <v>55</v>
      </c>
      <c r="G47" s="72">
        <v>6</v>
      </c>
      <c r="H47" s="73">
        <v>2</v>
      </c>
      <c r="I47" s="14" t="e">
        <f>INDEX(Commerce_session1!A6:CX792,MATCH("B",Commerce_session1!A6:A792,0),20)</f>
        <v>#N/A</v>
      </c>
      <c r="J47" s="15" t="e">
        <f>INDEX(Commerce_session1!A6:CX792,MATCH("B",Commerce_session1!A6:A792,0),21)</f>
        <v>#N/A</v>
      </c>
      <c r="K47" s="453" t="e">
        <f>INDEX(Commerce_session1!B36:CY77,MATCH("a",Commerce_session1!B36:B77,0),14)</f>
        <v>#N/A</v>
      </c>
      <c r="L47" s="496" t="e">
        <f>INDEX(Commerce_session1!D36:CZ77,MATCH("a",Commerce_session1!D36:D77,0),14)</f>
        <v>#N/A</v>
      </c>
      <c r="M47" s="497" t="e">
        <f>INDEX(Commerce_session1!E36:DA77,MATCH("a",Commerce_session1!E36:E77,0),14)</f>
        <v>#N/A</v>
      </c>
      <c r="N47" s="498" t="e">
        <f>INDEX(Commerce_session1!#REF!,MATCH("a",Commerce_session1!#REF!,0),62)</f>
        <v>#REF!</v>
      </c>
      <c r="O47" s="487" t="e">
        <f>INDEX(Commerce_session1!#REF!,MATCH("a",Commerce_session1!#REF!,0),62)</f>
        <v>#REF!</v>
      </c>
    </row>
    <row r="48" spans="1:18" ht="18.75" customHeight="1" thickBot="1">
      <c r="A48" s="550"/>
      <c r="B48" s="554"/>
      <c r="C48" s="504"/>
      <c r="D48" s="558"/>
      <c r="E48" s="451"/>
      <c r="F48" s="98" t="s">
        <v>56</v>
      </c>
      <c r="G48" s="74">
        <v>6</v>
      </c>
      <c r="H48" s="75">
        <v>2</v>
      </c>
      <c r="I48" s="16" t="e">
        <f>INDEX(Commerce_session1!A6:CX792,MATCH("B",Commerce_session1!A6:A792,0),24)</f>
        <v>#N/A</v>
      </c>
      <c r="J48" s="17" t="e">
        <f>INDEX(Commerce_session1!A6:CX792,MATCH("B",Commerce_session1!A6:A792,0),25)</f>
        <v>#N/A</v>
      </c>
      <c r="K48" s="454" t="e">
        <f>INDEX(Commerce_session1!B43:CY77,MATCH("a",Commerce_session1!B43:B77,0),14)</f>
        <v>#N/A</v>
      </c>
      <c r="L48" s="490" t="e">
        <f>INDEX(Commerce_session1!D43:CZ77,MATCH("a",Commerce_session1!D40:D77,0),14)</f>
        <v>#N/A</v>
      </c>
      <c r="M48" s="491" t="e">
        <f>INDEX(Commerce_session1!E43:DA77,MATCH("a",Commerce_session1!E43:E77,0),14)</f>
        <v>#N/A</v>
      </c>
      <c r="N48" s="498" t="e">
        <f>INDEX(Commerce_session1!#REF!,MATCH("a",Commerce_session1!#REF!,0),62)</f>
        <v>#REF!</v>
      </c>
      <c r="O48" s="487" t="e">
        <f>INDEX(Commerce_session1!#REF!,MATCH("a",Commerce_session1!#REF!,0),62)</f>
        <v>#REF!</v>
      </c>
    </row>
    <row r="49" spans="1:15" ht="19.5" customHeight="1" thickTop="1" thickBot="1">
      <c r="A49" s="550"/>
      <c r="B49" s="499" t="s">
        <v>37</v>
      </c>
      <c r="C49" s="502" t="s">
        <v>89</v>
      </c>
      <c r="D49" s="505">
        <v>7</v>
      </c>
      <c r="E49" s="508">
        <v>5</v>
      </c>
      <c r="F49" s="99" t="s">
        <v>83</v>
      </c>
      <c r="G49" s="76">
        <v>1</v>
      </c>
      <c r="H49" s="77">
        <v>1</v>
      </c>
      <c r="I49" s="18" t="e">
        <f>INDEX(Commerce_session1!A6:CX792,MATCH("B",Commerce_session1!A6:A792,0),29)</f>
        <v>#N/A</v>
      </c>
      <c r="J49" s="19" t="e">
        <f>INDEX(Commerce_session1!A6:CX792,MATCH("B",Commerce_session1!A6:A792,0),30)</f>
        <v>#N/A</v>
      </c>
      <c r="K49" s="509" t="e">
        <f>INDEX(Commerce_session1!A6:CX792,MATCH("B",Commerce_session1!A6:A792,0),39)</f>
        <v>#N/A</v>
      </c>
      <c r="L49" s="488" t="e">
        <f>INDEX(Commerce_session1!A6:CX792,MATCH("B",Commerce_session1!A6:A792,0),40)</f>
        <v>#N/A</v>
      </c>
      <c r="M49" s="489" t="e">
        <f>INDEX(Commerce_session1!D36:CZ77,MATCH("a",Commerce_session1!D36:D77,0),23)</f>
        <v>#N/A</v>
      </c>
      <c r="N49" s="498" t="e">
        <f>INDEX(Commerce_session1!#REF!,MATCH("a",Commerce_session1!#REF!,0),62)</f>
        <v>#REF!</v>
      </c>
      <c r="O49" s="487" t="e">
        <f>INDEX(Commerce_session1!#REF!,MATCH("a",Commerce_session1!#REF!,0),62)</f>
        <v>#REF!</v>
      </c>
    </row>
    <row r="50" spans="1:15" ht="18.75" customHeight="1" thickTop="1" thickBot="1">
      <c r="A50" s="550"/>
      <c r="B50" s="500"/>
      <c r="C50" s="503"/>
      <c r="D50" s="506"/>
      <c r="E50" s="450"/>
      <c r="F50" s="100" t="s">
        <v>99</v>
      </c>
      <c r="G50" s="78">
        <v>3</v>
      </c>
      <c r="H50" s="79">
        <v>2</v>
      </c>
      <c r="I50" s="18" t="e">
        <f>INDEX(Commerce_session1!A6:CX792,MATCH("B",Commerce_session1!A6:A792,0),33)</f>
        <v>#N/A</v>
      </c>
      <c r="J50" s="15" t="e">
        <f>INDEX(Commerce_session1!A6:CX792,MATCH("B",Commerce_session1!A6:A792,0),34)</f>
        <v>#N/A</v>
      </c>
      <c r="K50" s="510" t="e">
        <f>INDEX(Commerce_session1!B35:CY77,MATCH("a",Commerce_session1!B35:B77,0),22)</f>
        <v>#N/A</v>
      </c>
      <c r="L50" s="496" t="e">
        <f>INDEX(Commerce_session1!D35:CZ77,MATCH("a",Commerce_session1!D35:D77,0),22)</f>
        <v>#N/A</v>
      </c>
      <c r="M50" s="497" t="e">
        <f>INDEX(Commerce_session1!E35:DA77,MATCH("a",Commerce_session1!E35:E77,0),22)</f>
        <v>#N/A</v>
      </c>
      <c r="N50" s="498" t="e">
        <f>INDEX(Commerce_session1!#REF!,MATCH("a",Commerce_session1!#REF!,0),62)</f>
        <v>#REF!</v>
      </c>
      <c r="O50" s="487" t="e">
        <f>INDEX(Commerce_session1!#REF!,MATCH("a",Commerce_session1!#REF!,0),62)</f>
        <v>#REF!</v>
      </c>
    </row>
    <row r="51" spans="1:15" ht="18.75" customHeight="1" thickBot="1">
      <c r="A51" s="550"/>
      <c r="B51" s="501"/>
      <c r="C51" s="504"/>
      <c r="D51" s="507"/>
      <c r="E51" s="451"/>
      <c r="F51" s="101" t="s">
        <v>84</v>
      </c>
      <c r="G51" s="80">
        <v>3</v>
      </c>
      <c r="H51" s="81">
        <v>2</v>
      </c>
      <c r="I51" s="20" t="e">
        <f>INDEX(Commerce_session1!A6:CX792,MATCH("B",Commerce_session1!A6:A792,0),37)</f>
        <v>#N/A</v>
      </c>
      <c r="J51" s="17" t="e">
        <f>INDEX(Commerce_session1!A6:CX792,MATCH("B",Commerce_session1!A6:A792,0),38)</f>
        <v>#N/A</v>
      </c>
      <c r="K51" s="511" t="e">
        <f>INDEX(Commerce_session1!B36:CY77,MATCH("a",Commerce_session1!B36:B77,0),22)</f>
        <v>#N/A</v>
      </c>
      <c r="L51" s="490" t="e">
        <f>INDEX(Commerce_session1!D36:CZ77,MATCH("a",Commerce_session1!D36:D77,0),22)</f>
        <v>#N/A</v>
      </c>
      <c r="M51" s="491" t="e">
        <f>INDEX(Commerce_session1!E36:DA77,MATCH("a",Commerce_session1!E36:E77,0),22)</f>
        <v>#N/A</v>
      </c>
      <c r="N51" s="498" t="e">
        <f>INDEX(Commerce_session1!#REF!,MATCH("a",Commerce_session1!#REF!,0),62)</f>
        <v>#REF!</v>
      </c>
      <c r="O51" s="487" t="e">
        <f>INDEX(Commerce_session1!#REF!,MATCH("a",Commerce_session1!#REF!,0),62)</f>
        <v>#REF!</v>
      </c>
    </row>
    <row r="52" spans="1:15" ht="33.75" customHeight="1" thickTop="1" thickBot="1">
      <c r="A52" s="550"/>
      <c r="B52" s="531" t="s">
        <v>38</v>
      </c>
      <c r="C52" s="559" t="s">
        <v>50</v>
      </c>
      <c r="D52" s="520">
        <v>5</v>
      </c>
      <c r="E52" s="508">
        <v>2</v>
      </c>
      <c r="F52" s="102" t="s">
        <v>63</v>
      </c>
      <c r="G52" s="68">
        <v>4</v>
      </c>
      <c r="H52" s="69">
        <v>1</v>
      </c>
      <c r="I52" s="18" t="e">
        <f>INDEX(Commerce_session1!A6:CX792,MATCH("B",Commerce_session1!A6:A792,0),43)</f>
        <v>#N/A</v>
      </c>
      <c r="J52" s="19" t="e">
        <f>INDEX(Commerce_session1!A6:CX792,MATCH("B",Commerce_session1!A6:A792,0),44)</f>
        <v>#N/A</v>
      </c>
      <c r="K52" s="509" t="e">
        <f>INDEX(Commerce_session1!A6:CX792,MATCH("B",Commerce_session1!A6:A792,0),48)</f>
        <v>#N/A</v>
      </c>
      <c r="L52" s="488" t="e">
        <f>INDEX(Commerce_session1!A6:CX792,MATCH("B",Commerce_session1!A6:A792,0),49)</f>
        <v>#N/A</v>
      </c>
      <c r="M52" s="489" t="e">
        <f>INDEX(Commerce_session1!D36:CZ77,MATCH("a",Commerce_session1!D36:D77,0),29)</f>
        <v>#N/A</v>
      </c>
      <c r="N52" s="498" t="e">
        <f>INDEX(Commerce_session1!#REF!,MATCH("a",Commerce_session1!#REF!,0),62)</f>
        <v>#REF!</v>
      </c>
      <c r="O52" s="487" t="e">
        <f>INDEX(Commerce_session1!#REF!,MATCH("a",Commerce_session1!#REF!,0),62)</f>
        <v>#REF!</v>
      </c>
    </row>
    <row r="53" spans="1:15" ht="18.75" customHeight="1" thickBot="1">
      <c r="A53" s="550"/>
      <c r="B53" s="527"/>
      <c r="C53" s="524"/>
      <c r="D53" s="521"/>
      <c r="E53" s="451"/>
      <c r="F53" s="101" t="s">
        <v>62</v>
      </c>
      <c r="G53" s="80">
        <v>1</v>
      </c>
      <c r="H53" s="81">
        <v>1</v>
      </c>
      <c r="I53" s="16" t="e">
        <f>INDEX(Commerce_session1!A6:CX792,MATCH("B",Commerce_session1!A6:A792,0),46)</f>
        <v>#N/A</v>
      </c>
      <c r="J53" s="21" t="e">
        <f>INDEX(Commerce_session1!A6:CX792,MATCH("B",Commerce_session1!A6:A792,0),47)</f>
        <v>#N/A</v>
      </c>
      <c r="K53" s="511" t="e">
        <f>INDEX(Commerce_session1!B36:CY77,MATCH("a",Commerce_session1!B36:B77,0),28)</f>
        <v>#N/A</v>
      </c>
      <c r="L53" s="490" t="e">
        <f>INDEX(Commerce_session1!D36:CZ77,MATCH("a",Commerce_session1!D36:D77,0),28)</f>
        <v>#N/A</v>
      </c>
      <c r="M53" s="491" t="e">
        <f>INDEX(Commerce_session1!E36:DA77,MATCH("a",Commerce_session1!E36:E77,0),28)</f>
        <v>#N/A</v>
      </c>
      <c r="N53" s="498" t="e">
        <f>INDEX(Commerce_session1!#REF!,MATCH("a",Commerce_session1!#REF!,0),62)</f>
        <v>#REF!</v>
      </c>
      <c r="O53" s="487" t="e">
        <f>INDEX(Commerce_session1!#REF!,MATCH("a",Commerce_session1!#REF!,0),62)</f>
        <v>#REF!</v>
      </c>
    </row>
    <row r="54" spans="1:15" ht="20.25" customHeight="1" thickTop="1" thickBot="1">
      <c r="A54" s="551"/>
      <c r="B54" s="105" t="s">
        <v>39</v>
      </c>
      <c r="C54" s="104" t="s">
        <v>51</v>
      </c>
      <c r="D54" s="22">
        <v>1</v>
      </c>
      <c r="E54" s="23">
        <v>1</v>
      </c>
      <c r="F54" s="103" t="s">
        <v>64</v>
      </c>
      <c r="G54" s="82">
        <v>1</v>
      </c>
      <c r="H54" s="83">
        <v>1</v>
      </c>
      <c r="I54" s="20" t="e">
        <f>INDEX(Commerce_session1!A6:CX792,MATCH("B",Commerce_session1!A6:A792,0),52)</f>
        <v>#N/A</v>
      </c>
      <c r="J54" s="24" t="e">
        <f>INDEX(Commerce_session1!A6:CX792,MATCH("B",Commerce_session1!A6:A792,0),53)</f>
        <v>#N/A</v>
      </c>
      <c r="K54" s="36" t="e">
        <f>INDEX(Commerce_session1!A6:CX792,MATCH("B",Commerce_session1!A6:A792,0),54)</f>
        <v>#N/A</v>
      </c>
      <c r="L54" s="492" t="e">
        <f>INDEX(Commerce_session1!A6:CX792,MATCH("B",Commerce_session1!A6:A792,0),55)</f>
        <v>#N/A</v>
      </c>
      <c r="M54" s="493" t="e">
        <f>INDEX(Commerce_session1!D36:CZ77,MATCH("a",Commerce_session1!D36:D77,0),33)</f>
        <v>#N/A</v>
      </c>
      <c r="N54" s="498" t="e">
        <f>INDEX(Commerce_session1!#REF!,MATCH("a",Commerce_session1!#REF!,0),62)</f>
        <v>#REF!</v>
      </c>
      <c r="O54" s="487" t="e">
        <f>INDEX(Commerce_session1!#REF!,MATCH("a",Commerce_session1!#REF!,0),62)</f>
        <v>#REF!</v>
      </c>
    </row>
    <row r="55" spans="1:15" ht="19.5" customHeight="1" thickTop="1" thickBot="1">
      <c r="A55" s="516" t="s">
        <v>77</v>
      </c>
      <c r="B55" s="525" t="s">
        <v>36</v>
      </c>
      <c r="C55" s="522" t="s">
        <v>88</v>
      </c>
      <c r="D55" s="528">
        <v>16</v>
      </c>
      <c r="E55" s="449">
        <v>5</v>
      </c>
      <c r="F55" s="96" t="s">
        <v>67</v>
      </c>
      <c r="G55" s="114">
        <v>6</v>
      </c>
      <c r="H55" s="115">
        <v>2</v>
      </c>
      <c r="I55" s="18" t="e">
        <f>INDEX(Commerce_session1!A6:CX792,MATCH("B",Commerce_session1!A6:A792,0),60)</f>
        <v>#N/A</v>
      </c>
      <c r="J55" s="19" t="e">
        <f>INDEX(Commerce_session1!A6:CX792,MATCH("B",Commerce_session1!A6:A792,0),61)</f>
        <v>#N/A</v>
      </c>
      <c r="K55" s="519" t="e">
        <f>INDEX(Commerce_session1!A6:CX792,MATCH("B",Commerce_session1!A6:A792,0),70)</f>
        <v>#N/A</v>
      </c>
      <c r="L55" s="494" t="e">
        <f>INDEX(Commerce_session1!A6:CX792,MATCH("B",Commerce_session1!A6:A792,0),71)</f>
        <v>#N/A</v>
      </c>
      <c r="M55" s="495"/>
      <c r="N55" s="498" t="e">
        <f>INDEX(Commerce_session1!A6:CX792,MATCH("B",Commerce_session1!A6:A792,0),97)</f>
        <v>#N/A</v>
      </c>
      <c r="O55" s="487" t="e">
        <f>INDEX(Commerce_session1!A6:CX792,MATCH("B",Commerce_session1!A6:A792,0),98)</f>
        <v>#N/A</v>
      </c>
    </row>
    <row r="56" spans="1:15" ht="18.75" customHeight="1" thickBot="1">
      <c r="A56" s="517"/>
      <c r="B56" s="526"/>
      <c r="C56" s="523"/>
      <c r="D56" s="529"/>
      <c r="E56" s="450"/>
      <c r="F56" s="100" t="s">
        <v>68</v>
      </c>
      <c r="G56" s="116">
        <v>6</v>
      </c>
      <c r="H56" s="117">
        <v>2</v>
      </c>
      <c r="I56" s="14" t="e">
        <f>INDEX(Commerce_session1!A6:CX792,MATCH("B",Commerce_session1!A6:A792,0),64)</f>
        <v>#N/A</v>
      </c>
      <c r="J56" s="15" t="e">
        <f>INDEX(Commerce_session1!A6:CX792,MATCH("B",Commerce_session1!A6:A792,0),65)</f>
        <v>#N/A</v>
      </c>
      <c r="K56" s="510"/>
      <c r="L56" s="496"/>
      <c r="M56" s="497"/>
      <c r="N56" s="498" t="e">
        <f>INDEX(Commerce_session1!F36:DA77,MATCH("a",Commerce_session1!F36:F77,0),42)</f>
        <v>#N/A</v>
      </c>
      <c r="O56" s="487" t="e">
        <f>INDEX(Commerce_session1!G36:DA77,MATCH("a",Commerce_session1!G36:G77,0),42)</f>
        <v>#N/A</v>
      </c>
    </row>
    <row r="57" spans="1:15" ht="20.25" customHeight="1" thickBot="1">
      <c r="A57" s="517"/>
      <c r="B57" s="527"/>
      <c r="C57" s="524"/>
      <c r="D57" s="530"/>
      <c r="E57" s="451"/>
      <c r="F57" s="101" t="s">
        <v>103</v>
      </c>
      <c r="G57" s="118">
        <v>4</v>
      </c>
      <c r="H57" s="119">
        <v>1</v>
      </c>
      <c r="I57" s="127" t="e">
        <f>INDEX(Commerce_session1!A6:CX792,MATCH("B",Commerce_session1!A6:A792,0),68)</f>
        <v>#N/A</v>
      </c>
      <c r="J57" s="21" t="e">
        <f>INDEX(Commerce_session1!A6:CX792,MATCH("B",Commerce_session1!A6:A792,0),69)</f>
        <v>#N/A</v>
      </c>
      <c r="K57" s="511"/>
      <c r="L57" s="490"/>
      <c r="M57" s="491"/>
      <c r="N57" s="498" t="e">
        <f>INDEX(Commerce_session1!F37:DA77,MATCH("a",Commerce_session1!F37:F77,0),42)</f>
        <v>#N/A</v>
      </c>
      <c r="O57" s="487" t="e">
        <f>INDEX(Commerce_session1!G37:DA77,MATCH("a",Commerce_session1!G37:G77,0),42)</f>
        <v>#N/A</v>
      </c>
    </row>
    <row r="58" spans="1:15" ht="22.5" customHeight="1" thickTop="1" thickBot="1">
      <c r="A58" s="517"/>
      <c r="B58" s="531" t="s">
        <v>37</v>
      </c>
      <c r="C58" s="559" t="s">
        <v>87</v>
      </c>
      <c r="D58" s="532">
        <v>10</v>
      </c>
      <c r="E58" s="508">
        <v>4</v>
      </c>
      <c r="F58" s="128" t="s">
        <v>104</v>
      </c>
      <c r="G58" s="76">
        <v>5</v>
      </c>
      <c r="H58" s="77">
        <v>2</v>
      </c>
      <c r="I58" s="18" t="e">
        <f>INDEX(Commerce_session1!A6:CX792,MATCH("B",Commerce_session1!A6:A792,0),74)</f>
        <v>#N/A</v>
      </c>
      <c r="J58" s="19" t="e">
        <f>INDEX(Commerce_session1!A6:CX792,MATCH("B",Commerce_session1!A6:A792,0),75)</f>
        <v>#N/A</v>
      </c>
      <c r="K58" s="509" t="e">
        <f>INDEX(Commerce_session1!A6:CX792,MATCH("B",Commerce_session1!A6:A792,0),80)</f>
        <v>#N/A</v>
      </c>
      <c r="L58" s="488" t="e">
        <f>INDEX(Commerce_session1!A6:CX792,MATCH("B",Commerce_session1!A6:A792,0),81)</f>
        <v>#N/A</v>
      </c>
      <c r="M58" s="489"/>
      <c r="N58" s="498" t="e">
        <f>INDEX(Commerce_session1!E43:DA77,MATCH("a",Commerce_session1!E41:E77,0),43)</f>
        <v>#N/A</v>
      </c>
      <c r="O58" s="487" t="e">
        <f>INDEX(Commerce_session1!F43:DA77,MATCH("a",Commerce_session1!F41:F77,0),43)</f>
        <v>#N/A</v>
      </c>
    </row>
    <row r="59" spans="1:15" ht="18.75" customHeight="1" thickBot="1">
      <c r="A59" s="517"/>
      <c r="B59" s="527"/>
      <c r="C59" s="524"/>
      <c r="D59" s="530"/>
      <c r="E59" s="451"/>
      <c r="F59" s="98" t="s">
        <v>69</v>
      </c>
      <c r="G59" s="74">
        <v>5</v>
      </c>
      <c r="H59" s="75">
        <v>2</v>
      </c>
      <c r="I59" s="20" t="e">
        <f>INDEX(Commerce_session1!A6:CX792,MATCH("B",Commerce_session1!A6:A792,0),78)</f>
        <v>#N/A</v>
      </c>
      <c r="J59" s="17" t="e">
        <f>INDEX(Commerce_session1!A6:CX792,MATCH("B",Commerce_session1!A6:A792,0),79)</f>
        <v>#N/A</v>
      </c>
      <c r="K59" s="511"/>
      <c r="L59" s="490"/>
      <c r="M59" s="491"/>
      <c r="N59" s="498" t="e">
        <f>INDEX(Commerce_session1!F43:DA77,MATCH("a",Commerce_session1!F43:F77,0),42)</f>
        <v>#N/A</v>
      </c>
      <c r="O59" s="487" t="e">
        <f>INDEX(Commerce_session1!G43:DA77,MATCH("a",Commerce_session1!G43:G77,0),42)</f>
        <v>#N/A</v>
      </c>
    </row>
    <row r="60" spans="1:15" ht="18.75" customHeight="1" thickTop="1" thickBot="1">
      <c r="A60" s="517"/>
      <c r="B60" s="105" t="s">
        <v>38</v>
      </c>
      <c r="C60" s="104" t="s">
        <v>85</v>
      </c>
      <c r="D60" s="22">
        <v>3</v>
      </c>
      <c r="E60" s="23">
        <v>2</v>
      </c>
      <c r="F60" s="101" t="s">
        <v>74</v>
      </c>
      <c r="G60" s="74">
        <v>3</v>
      </c>
      <c r="H60" s="75">
        <v>2</v>
      </c>
      <c r="I60" s="20" t="e">
        <f>INDEX(Commerce_session1!A6:CX792,MATCH("B",Commerce_session1!A6:A792,0),84)</f>
        <v>#N/A</v>
      </c>
      <c r="J60" s="17" t="e">
        <f>INDEX(Commerce_session1!A6:CX792,MATCH("B",Commerce_session1!A6:A792,0),85)</f>
        <v>#N/A</v>
      </c>
      <c r="K60" s="123" t="e">
        <f>INDEX(Commerce_session1!A6:CX792,MATCH("B",Commerce_session1!A6:A792,0),86)</f>
        <v>#N/A</v>
      </c>
      <c r="L60" s="512" t="e">
        <f>INDEX(Commerce_session1!A6:CX792,MATCH("B",Commerce_session1!A6:A792,0),87)</f>
        <v>#N/A</v>
      </c>
      <c r="M60" s="513"/>
      <c r="N60" s="498" t="e">
        <f>INDEX(Commerce_session1!F43:DA77,MATCH("a",Commerce_session1!F43:F77,0),42)</f>
        <v>#N/A</v>
      </c>
      <c r="O60" s="487" t="e">
        <f>INDEX(Commerce_session1!G43:DA77,MATCH("a",Commerce_session1!G43:G77,0),42)</f>
        <v>#N/A</v>
      </c>
    </row>
    <row r="61" spans="1:15" ht="20.25" customHeight="1" thickTop="1" thickBot="1">
      <c r="A61" s="518"/>
      <c r="B61" s="105" t="s">
        <v>39</v>
      </c>
      <c r="C61" s="104" t="s">
        <v>86</v>
      </c>
      <c r="D61" s="22">
        <v>1</v>
      </c>
      <c r="E61" s="23">
        <v>1</v>
      </c>
      <c r="F61" s="103" t="s">
        <v>73</v>
      </c>
      <c r="G61" s="82">
        <v>1</v>
      </c>
      <c r="H61" s="83">
        <v>1</v>
      </c>
      <c r="I61" s="25" t="e">
        <f>INDEX(Commerce_session1!A6:CX792,MATCH("B",Commerce_session1!A6:A792,0),89)</f>
        <v>#N/A</v>
      </c>
      <c r="J61" s="26" t="e">
        <f>INDEX(Commerce_session1!A6:CX792,MATCH("B",Commerce_session1!A6:A792,0),90)</f>
        <v>#N/A</v>
      </c>
      <c r="K61" s="27" t="e">
        <f>INDEX(Commerce_session1!A6:CX792,MATCH("B",Commerce_session1!A6:A792,0),91)</f>
        <v>#N/A</v>
      </c>
      <c r="L61" s="514" t="e">
        <f>INDEX(Commerce_session1!A6:CX792,MATCH("B",Commerce_session1!A6:A792,0),92)</f>
        <v>#N/A</v>
      </c>
      <c r="M61" s="515" t="e">
        <f>INDEX(Commerce_session1!D36:CZ77,MATCH("a",Commerce_session1!D36:D77,0),61)</f>
        <v>#N/A</v>
      </c>
      <c r="N61" s="498" t="e">
        <f>INDEX(Commerce_session1!F43:DA77,MATCH("a",Commerce_session1!F43:F77,0),42)</f>
        <v>#N/A</v>
      </c>
      <c r="O61" s="487" t="e">
        <f>INDEX(Commerce_session1!G43:DA77,MATCH("a",Commerce_session1!G43:G77,0),42)</f>
        <v>#N/A</v>
      </c>
    </row>
    <row r="62" spans="1:15" ht="20.25">
      <c r="A62" s="535" t="s">
        <v>40</v>
      </c>
      <c r="B62" s="536"/>
      <c r="C62" s="537"/>
      <c r="D62" s="121" t="e">
        <f>INDEX(Commerce_session1!A6:CX792,MATCH("B",Commerce_session1!A6:A792,0),99)</f>
        <v>#N/A</v>
      </c>
      <c r="E62" s="538" t="s">
        <v>41</v>
      </c>
      <c r="F62" s="540"/>
      <c r="G62" s="120" t="e">
        <f>INDEX(Commerce_session1!A6:CX792,MATCH("B",Commerce_session1!A6:A792,0),100)</f>
        <v>#N/A</v>
      </c>
      <c r="H62" s="538" t="s">
        <v>91</v>
      </c>
      <c r="I62" s="539"/>
      <c r="J62" s="539"/>
      <c r="K62" s="540"/>
      <c r="L62" s="541" t="e">
        <f>INDEX(Commerce_session1!A6:CX792,MATCH("B",Commerce_session1!A6:A792,0),101)</f>
        <v>#N/A</v>
      </c>
      <c r="M62" s="542"/>
      <c r="N62" s="8"/>
      <c r="O62" s="8"/>
    </row>
    <row r="63" spans="1:15" ht="22.5">
      <c r="A63" s="546" t="s">
        <v>42</v>
      </c>
      <c r="B63" s="547"/>
      <c r="C63" s="548"/>
      <c r="D63" s="543" t="e">
        <f>INDEX(Commerce_session1!A6:CX792,MATCH("B",Commerce_session1!A6:A792,0),102)</f>
        <v>#N/A</v>
      </c>
      <c r="E63" s="544"/>
      <c r="F63" s="545"/>
      <c r="G63" s="108"/>
      <c r="H63" s="109"/>
      <c r="I63" s="110"/>
      <c r="J63" s="111"/>
      <c r="K63" s="110"/>
      <c r="L63" s="110"/>
      <c r="M63" s="110"/>
      <c r="N63" s="112" t="s">
        <v>43</v>
      </c>
      <c r="O63" s="28">
        <f ca="1">TODAY()</f>
        <v>43626</v>
      </c>
    </row>
    <row r="64" spans="1:15" ht="32.25" customHeight="1">
      <c r="A64" s="113" t="s">
        <v>44</v>
      </c>
      <c r="B64" s="29"/>
      <c r="C64" s="29"/>
      <c r="D64" s="533"/>
      <c r="E64" s="533"/>
      <c r="F64" s="30"/>
      <c r="G64" s="4"/>
      <c r="J64" s="4"/>
      <c r="L64" s="534" t="s">
        <v>46</v>
      </c>
      <c r="M64" s="534"/>
      <c r="N64" s="534"/>
    </row>
    <row r="65" spans="1:18" ht="23.25" customHeight="1" thickBot="1">
      <c r="A65" s="84" t="s">
        <v>12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445" t="s">
        <v>13</v>
      </c>
      <c r="M65" s="445"/>
      <c r="N65" s="445"/>
      <c r="O65" s="445"/>
      <c r="P65" s="2"/>
      <c r="Q65" s="2"/>
      <c r="R65" s="2"/>
    </row>
    <row r="66" spans="1:18" ht="15.75">
      <c r="A66" s="446" t="s">
        <v>14</v>
      </c>
      <c r="B66" s="446"/>
      <c r="C66" s="446"/>
      <c r="D66" s="446"/>
      <c r="E66" s="446"/>
      <c r="F66" s="3"/>
      <c r="H66" s="4"/>
      <c r="K66" s="4"/>
      <c r="L66" s="4"/>
    </row>
    <row r="67" spans="1:18" ht="15.75">
      <c r="A67" s="85" t="s">
        <v>15</v>
      </c>
      <c r="B67" s="85"/>
      <c r="C67" s="85"/>
      <c r="D67" s="85"/>
      <c r="E67" s="85"/>
      <c r="F67" s="5"/>
      <c r="H67" s="4"/>
      <c r="K67" s="4"/>
      <c r="L67" s="4"/>
      <c r="P67" s="6"/>
    </row>
    <row r="68" spans="1:18" ht="15.75">
      <c r="A68" s="85" t="s">
        <v>100</v>
      </c>
      <c r="B68" s="85"/>
      <c r="C68" s="85"/>
      <c r="D68" s="85"/>
      <c r="E68" s="85"/>
      <c r="F68" s="3"/>
      <c r="H68" s="4"/>
      <c r="K68" s="4"/>
      <c r="L68" s="4"/>
    </row>
    <row r="69" spans="1:18" s="8" customFormat="1" ht="27" customHeight="1">
      <c r="A69" s="7"/>
      <c r="B69" s="7"/>
      <c r="C69" s="7"/>
      <c r="D69" s="447" t="s">
        <v>94</v>
      </c>
      <c r="E69" s="447"/>
      <c r="F69" s="447"/>
      <c r="G69" s="447"/>
      <c r="H69" s="447"/>
      <c r="I69" s="447"/>
      <c r="J69" s="447"/>
      <c r="K69" s="447"/>
      <c r="L69" s="447"/>
      <c r="M69" s="7"/>
      <c r="N69" s="7"/>
      <c r="O69" s="7"/>
    </row>
    <row r="70" spans="1:18" ht="23.25" customHeight="1">
      <c r="A70" s="126" t="s">
        <v>101</v>
      </c>
      <c r="B70" s="126"/>
      <c r="C70" s="126"/>
      <c r="D70" s="126"/>
      <c r="E70" s="126"/>
      <c r="F70" s="126"/>
      <c r="G70" s="122"/>
      <c r="H70" s="122"/>
      <c r="I70" s="122" t="e">
        <f>IF(D95="ناجح(ة) دورة1","-الدورة الأولى-","-الدورة الثانية-")</f>
        <v>#N/A</v>
      </c>
      <c r="J70" s="124" t="s">
        <v>48</v>
      </c>
      <c r="K70" s="124"/>
      <c r="L70" s="87"/>
      <c r="M70" s="88"/>
      <c r="N70" s="89"/>
      <c r="O70" s="9"/>
    </row>
    <row r="71" spans="1:18" ht="20.25" customHeight="1">
      <c r="A71" s="476" t="s">
        <v>93</v>
      </c>
      <c r="B71" s="476"/>
      <c r="C71" s="90" t="e">
        <f>INDEX(Commerce_session1!A6:CX792,MATCH("C",Commerce_session1!A6:A792,0),3)</f>
        <v>#N/A</v>
      </c>
      <c r="D71" s="91" t="s">
        <v>92</v>
      </c>
      <c r="E71" s="448" t="e">
        <f>INDEX(Commerce_session1!A6:CX792,MATCH("C",Commerce_session1!A6:A792,0),4)</f>
        <v>#N/A</v>
      </c>
      <c r="F71" s="448" t="e">
        <f>INDEX(Commerce_session1!D67:DA178,MATCH("a",Commerce_session1!D67:D178,0),3)</f>
        <v>#N/A</v>
      </c>
      <c r="G71" s="477" t="s">
        <v>16</v>
      </c>
      <c r="H71" s="477"/>
      <c r="I71" s="477"/>
      <c r="J71" s="478" t="e">
        <f>INDEX(Commerce_session1!A6:CX792,MATCH("C",Commerce_session1!A6:A792,0),6)</f>
        <v>#N/A</v>
      </c>
      <c r="K71" s="478"/>
      <c r="L71" s="88"/>
      <c r="M71" s="92" t="s">
        <v>17</v>
      </c>
      <c r="N71" s="90" t="e">
        <f>INDEX(Commerce_session1!A6:CX792,MATCH("C",Commerce_session1!A6:A792,0),7)</f>
        <v>#N/A</v>
      </c>
      <c r="O71" s="10"/>
    </row>
    <row r="72" spans="1:18" ht="20.25" customHeight="1">
      <c r="A72" s="476" t="s">
        <v>18</v>
      </c>
      <c r="B72" s="476"/>
      <c r="C72" s="448" t="e">
        <f>INDEX(Commerce_session1!A6:CX792,MATCH("C",Commerce_session1!A6:A792,0),5)</f>
        <v>#N/A</v>
      </c>
      <c r="D72" s="448"/>
      <c r="E72" s="91"/>
      <c r="F72" s="88"/>
      <c r="G72" s="93"/>
      <c r="H72" s="88"/>
      <c r="I72" s="88"/>
      <c r="J72" s="93"/>
      <c r="K72" s="88"/>
      <c r="L72" s="88"/>
      <c r="M72" s="88"/>
      <c r="N72" s="88"/>
      <c r="O72" s="10"/>
    </row>
    <row r="73" spans="1:18" ht="20.25" customHeight="1">
      <c r="A73" s="476" t="s">
        <v>102</v>
      </c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</row>
    <row r="74" spans="1:18" ht="20.25" customHeight="1" thickBot="1">
      <c r="A74" s="459" t="s">
        <v>19</v>
      </c>
      <c r="B74" s="459"/>
      <c r="C74" s="459"/>
      <c r="D74" s="459"/>
      <c r="E74" s="459"/>
      <c r="F74" s="459"/>
      <c r="G74" s="459"/>
      <c r="H74" s="94"/>
      <c r="I74" s="94"/>
      <c r="J74" s="95"/>
      <c r="K74" s="94"/>
      <c r="L74" s="94"/>
      <c r="M74" s="94"/>
      <c r="N74" s="94"/>
      <c r="O74" s="11"/>
    </row>
    <row r="75" spans="1:18" ht="18.75" thickBot="1">
      <c r="A75" s="460" t="s">
        <v>20</v>
      </c>
      <c r="B75" s="463" t="s">
        <v>21</v>
      </c>
      <c r="C75" s="464"/>
      <c r="D75" s="464"/>
      <c r="E75" s="464"/>
      <c r="F75" s="464" t="s">
        <v>22</v>
      </c>
      <c r="G75" s="464"/>
      <c r="H75" s="464"/>
      <c r="I75" s="465" t="s">
        <v>23</v>
      </c>
      <c r="J75" s="466"/>
      <c r="K75" s="466"/>
      <c r="L75" s="466"/>
      <c r="M75" s="466"/>
      <c r="N75" s="466"/>
      <c r="O75" s="467"/>
    </row>
    <row r="76" spans="1:18">
      <c r="A76" s="461"/>
      <c r="B76" s="468" t="s">
        <v>24</v>
      </c>
      <c r="C76" s="470" t="s">
        <v>25</v>
      </c>
      <c r="D76" s="472" t="s">
        <v>26</v>
      </c>
      <c r="E76" s="474" t="s">
        <v>27</v>
      </c>
      <c r="F76" s="479" t="s">
        <v>28</v>
      </c>
      <c r="G76" s="468" t="s">
        <v>11</v>
      </c>
      <c r="H76" s="481" t="s">
        <v>27</v>
      </c>
      <c r="I76" s="482" t="s">
        <v>29</v>
      </c>
      <c r="J76" s="483"/>
      <c r="K76" s="484" t="s">
        <v>30</v>
      </c>
      <c r="L76" s="485"/>
      <c r="M76" s="486"/>
      <c r="N76" s="455" t="s">
        <v>20</v>
      </c>
      <c r="O76" s="456"/>
    </row>
    <row r="77" spans="1:18" ht="15.75" thickBot="1">
      <c r="A77" s="462"/>
      <c r="B77" s="469"/>
      <c r="C77" s="471"/>
      <c r="D77" s="473"/>
      <c r="E77" s="475"/>
      <c r="F77" s="480"/>
      <c r="G77" s="469"/>
      <c r="H77" s="473"/>
      <c r="I77" s="106" t="s">
        <v>10</v>
      </c>
      <c r="J77" s="106" t="s">
        <v>31</v>
      </c>
      <c r="K77" s="106" t="s">
        <v>32</v>
      </c>
      <c r="L77" s="457" t="s">
        <v>33</v>
      </c>
      <c r="M77" s="458"/>
      <c r="N77" s="106" t="s">
        <v>34</v>
      </c>
      <c r="O77" s="107" t="s">
        <v>35</v>
      </c>
    </row>
    <row r="78" spans="1:18" ht="18.75" customHeight="1" thickBot="1">
      <c r="A78" s="549" t="s">
        <v>76</v>
      </c>
      <c r="B78" s="552" t="s">
        <v>36</v>
      </c>
      <c r="C78" s="555" t="s">
        <v>90</v>
      </c>
      <c r="D78" s="556">
        <v>17</v>
      </c>
      <c r="E78" s="449">
        <v>6</v>
      </c>
      <c r="F78" s="96" t="s">
        <v>54</v>
      </c>
      <c r="G78" s="70">
        <v>5</v>
      </c>
      <c r="H78" s="71">
        <v>2</v>
      </c>
      <c r="I78" s="12" t="e">
        <f>INDEX(Commerce_session1!A6:CX792,MATCH("C",Commerce_session1!A6:A792,0),16)</f>
        <v>#N/A</v>
      </c>
      <c r="J78" s="13" t="e">
        <f>INDEX(Commerce_session1!A6:CX792,MATCH("C",Commerce_session1!A6:A792,0),17)</f>
        <v>#N/A</v>
      </c>
      <c r="K78" s="452" t="e">
        <f>INDEX(Commerce_session1!A6:CX792,MATCH("C",Commerce_session1!A6:A792,0),26)</f>
        <v>#N/A</v>
      </c>
      <c r="L78" s="494" t="e">
        <f>INDEX(Commerce_session1!A6:CX792,MATCH("C",Commerce_session1!A6:A792,0),27)</f>
        <v>#N/A</v>
      </c>
      <c r="M78" s="495" t="e">
        <f>INDEX(Commerce_session1!D67:CZ102,MATCH("a",Commerce_session1!D67:D102,0),15)</f>
        <v>#N/A</v>
      </c>
      <c r="N78" s="498" t="e">
        <f>INDEX(Commerce_session1!A6:CX792,MATCH("C",Commerce_session1!A6:A792,0),95)</f>
        <v>#N/A</v>
      </c>
      <c r="O78" s="487" t="e">
        <f>INDEX(Commerce_session1!A6:CX792,MATCH("C",Commerce_session1!A6:A792,0),96)</f>
        <v>#N/A</v>
      </c>
    </row>
    <row r="79" spans="1:18" ht="18.75" customHeight="1" thickBot="1">
      <c r="A79" s="550"/>
      <c r="B79" s="553"/>
      <c r="C79" s="503"/>
      <c r="D79" s="557"/>
      <c r="E79" s="450"/>
      <c r="F79" s="97" t="s">
        <v>55</v>
      </c>
      <c r="G79" s="72">
        <v>6</v>
      </c>
      <c r="H79" s="73">
        <v>2</v>
      </c>
      <c r="I79" s="14" t="e">
        <f>INDEX(Commerce_session1!A6:CX792,MATCH("C",Commerce_session1!A6:A792,0),20)</f>
        <v>#N/A</v>
      </c>
      <c r="J79" s="15" t="e">
        <f>INDEX(Commerce_session1!A6:CX792,MATCH("C",Commerce_session1!A6:A792,0),21)</f>
        <v>#N/A</v>
      </c>
      <c r="K79" s="453" t="e">
        <f>INDEX(Commerce_session1!B67:CY102,MATCH("a",Commerce_session1!B67:B102,0),14)</f>
        <v>#N/A</v>
      </c>
      <c r="L79" s="496" t="e">
        <f>INDEX(Commerce_session1!D67:CZ102,MATCH("a",Commerce_session1!D67:D102,0),14)</f>
        <v>#N/A</v>
      </c>
      <c r="M79" s="497" t="e">
        <f>INDEX(Commerce_session1!E67:DA102,MATCH("a",Commerce_session1!E67:E102,0),14)</f>
        <v>#N/A</v>
      </c>
      <c r="N79" s="498" t="e">
        <f>INDEX(Commerce_session1!#REF!,MATCH("a",Commerce_session1!#REF!,0),62)</f>
        <v>#REF!</v>
      </c>
      <c r="O79" s="487" t="e">
        <f>INDEX(Commerce_session1!#REF!,MATCH("a",Commerce_session1!#REF!,0),62)</f>
        <v>#REF!</v>
      </c>
    </row>
    <row r="80" spans="1:18" ht="18.75" customHeight="1" thickBot="1">
      <c r="A80" s="550"/>
      <c r="B80" s="554"/>
      <c r="C80" s="504"/>
      <c r="D80" s="558"/>
      <c r="E80" s="451"/>
      <c r="F80" s="98" t="s">
        <v>56</v>
      </c>
      <c r="G80" s="74">
        <v>6</v>
      </c>
      <c r="H80" s="75">
        <v>2</v>
      </c>
      <c r="I80" s="16" t="e">
        <f>INDEX(Commerce_session1!A6:CX792,MATCH("C",Commerce_session1!A6:A792,0),24)</f>
        <v>#N/A</v>
      </c>
      <c r="J80" s="17" t="e">
        <f>INDEX(Commerce_session1!A6:CX792,MATCH("C",Commerce_session1!A6:A792,0),25)</f>
        <v>#N/A</v>
      </c>
      <c r="K80" s="454" t="e">
        <f>INDEX(Commerce_session1!B69:CY102,MATCH("a",Commerce_session1!B69:B102,0),14)</f>
        <v>#N/A</v>
      </c>
      <c r="L80" s="490" t="e">
        <f>INDEX(Commerce_session1!D69:CZ102,MATCH("a",Commerce_session1!D69:D102,0),14)</f>
        <v>#N/A</v>
      </c>
      <c r="M80" s="491" t="e">
        <f>INDEX(Commerce_session1!E69:DA102,MATCH("a",Commerce_session1!E69:E102,0),14)</f>
        <v>#N/A</v>
      </c>
      <c r="N80" s="498" t="e">
        <f>INDEX(Commerce_session1!#REF!,MATCH("a",Commerce_session1!#REF!,0),62)</f>
        <v>#REF!</v>
      </c>
      <c r="O80" s="487" t="e">
        <f>INDEX(Commerce_session1!#REF!,MATCH("a",Commerce_session1!#REF!,0),62)</f>
        <v>#REF!</v>
      </c>
    </row>
    <row r="81" spans="1:15" ht="19.5" customHeight="1" thickTop="1" thickBot="1">
      <c r="A81" s="550"/>
      <c r="B81" s="499" t="s">
        <v>37</v>
      </c>
      <c r="C81" s="502" t="s">
        <v>89</v>
      </c>
      <c r="D81" s="505">
        <v>7</v>
      </c>
      <c r="E81" s="508">
        <v>5</v>
      </c>
      <c r="F81" s="99" t="s">
        <v>83</v>
      </c>
      <c r="G81" s="76">
        <v>1</v>
      </c>
      <c r="H81" s="77">
        <v>1</v>
      </c>
      <c r="I81" s="18" t="e">
        <f>INDEX(Commerce_session1!A6:CX792,MATCH("C",Commerce_session1!A6:A792,0),29)</f>
        <v>#N/A</v>
      </c>
      <c r="J81" s="19" t="e">
        <f>INDEX(Commerce_session1!A6:CX792,MATCH("C",Commerce_session1!A6:A792,0),30)</f>
        <v>#N/A</v>
      </c>
      <c r="K81" s="509" t="e">
        <f>INDEX(Commerce_session1!A6:CX792,MATCH("C",Commerce_session1!A6:A792,0),39)</f>
        <v>#N/A</v>
      </c>
      <c r="L81" s="488" t="e">
        <f>INDEX(Commerce_session1!A6:CX792,MATCH("C",Commerce_session1!A6:A792,0),40)</f>
        <v>#N/A</v>
      </c>
      <c r="M81" s="489" t="e">
        <f>INDEX(Commerce_session1!D67:CZ102,MATCH("a",Commerce_session1!D67:D102,0),23)</f>
        <v>#N/A</v>
      </c>
      <c r="N81" s="498" t="e">
        <f>INDEX(Commerce_session1!#REF!,MATCH("a",Commerce_session1!#REF!,0),62)</f>
        <v>#REF!</v>
      </c>
      <c r="O81" s="487" t="e">
        <f>INDEX(Commerce_session1!#REF!,MATCH("a",Commerce_session1!#REF!,0),62)</f>
        <v>#REF!</v>
      </c>
    </row>
    <row r="82" spans="1:15" ht="18.75" customHeight="1" thickTop="1" thickBot="1">
      <c r="A82" s="550"/>
      <c r="B82" s="500"/>
      <c r="C82" s="503"/>
      <c r="D82" s="506"/>
      <c r="E82" s="450"/>
      <c r="F82" s="100" t="s">
        <v>99</v>
      </c>
      <c r="G82" s="78">
        <v>3</v>
      </c>
      <c r="H82" s="79">
        <v>2</v>
      </c>
      <c r="I82" s="18" t="e">
        <f>INDEX(Commerce_session1!A6:CX792,MATCH("C",Commerce_session1!A6:A792,0),33)</f>
        <v>#N/A</v>
      </c>
      <c r="J82" s="15" t="e">
        <f>INDEX(Commerce_session1!A6:CX792,MATCH("C",Commerce_session1!A6:A792,0),34)</f>
        <v>#N/A</v>
      </c>
      <c r="K82" s="510" t="e">
        <f>INDEX(Commerce_session1!B66:CY102,MATCH("a",Commerce_session1!B66:B102,0),22)</f>
        <v>#N/A</v>
      </c>
      <c r="L82" s="496" t="e">
        <f>INDEX(Commerce_session1!D66:CZ102,MATCH("a",Commerce_session1!D66:D102,0),22)</f>
        <v>#N/A</v>
      </c>
      <c r="M82" s="497" t="e">
        <f>INDEX(Commerce_session1!E66:DA102,MATCH("a",Commerce_session1!E66:E102,0),22)</f>
        <v>#N/A</v>
      </c>
      <c r="N82" s="498" t="e">
        <f>INDEX(Commerce_session1!#REF!,MATCH("a",Commerce_session1!#REF!,0),62)</f>
        <v>#REF!</v>
      </c>
      <c r="O82" s="487" t="e">
        <f>INDEX(Commerce_session1!#REF!,MATCH("a",Commerce_session1!#REF!,0),62)</f>
        <v>#REF!</v>
      </c>
    </row>
    <row r="83" spans="1:15" ht="18.75" customHeight="1" thickBot="1">
      <c r="A83" s="550"/>
      <c r="B83" s="501"/>
      <c r="C83" s="504"/>
      <c r="D83" s="507"/>
      <c r="E83" s="451"/>
      <c r="F83" s="101" t="s">
        <v>84</v>
      </c>
      <c r="G83" s="80">
        <v>3</v>
      </c>
      <c r="H83" s="81">
        <v>2</v>
      </c>
      <c r="I83" s="20" t="e">
        <f>INDEX(Commerce_session1!A6:CX792,MATCH("C",Commerce_session1!A6:A792,0),37)</f>
        <v>#N/A</v>
      </c>
      <c r="J83" s="17" t="e">
        <f>INDEX(Commerce_session1!A6:CX792,MATCH("C",Commerce_session1!A6:A792,0),38)</f>
        <v>#N/A</v>
      </c>
      <c r="K83" s="511" t="e">
        <f>INDEX(Commerce_session1!B67:CY102,MATCH("a",Commerce_session1!B67:B102,0),22)</f>
        <v>#N/A</v>
      </c>
      <c r="L83" s="490" t="e">
        <f>INDEX(Commerce_session1!D67:CZ102,MATCH("a",Commerce_session1!D67:D102,0),22)</f>
        <v>#N/A</v>
      </c>
      <c r="M83" s="491" t="e">
        <f>INDEX(Commerce_session1!E67:DA102,MATCH("a",Commerce_session1!E67:E102,0),22)</f>
        <v>#N/A</v>
      </c>
      <c r="N83" s="498" t="e">
        <f>INDEX(Commerce_session1!#REF!,MATCH("a",Commerce_session1!#REF!,0),62)</f>
        <v>#REF!</v>
      </c>
      <c r="O83" s="487" t="e">
        <f>INDEX(Commerce_session1!#REF!,MATCH("a",Commerce_session1!#REF!,0),62)</f>
        <v>#REF!</v>
      </c>
    </row>
    <row r="84" spans="1:15" ht="33.75" customHeight="1" thickTop="1" thickBot="1">
      <c r="A84" s="550"/>
      <c r="B84" s="531" t="s">
        <v>38</v>
      </c>
      <c r="C84" s="559" t="s">
        <v>50</v>
      </c>
      <c r="D84" s="520">
        <v>5</v>
      </c>
      <c r="E84" s="508">
        <v>2</v>
      </c>
      <c r="F84" s="102" t="s">
        <v>63</v>
      </c>
      <c r="G84" s="68">
        <v>4</v>
      </c>
      <c r="H84" s="69">
        <v>1</v>
      </c>
      <c r="I84" s="18" t="e">
        <f>INDEX(Commerce_session1!A6:CX792,MATCH("C",Commerce_session1!A6:A792,0),43)</f>
        <v>#N/A</v>
      </c>
      <c r="J84" s="19" t="e">
        <f>INDEX(Commerce_session1!A6:CX792,MATCH("C",Commerce_session1!A6:A792,0),44)</f>
        <v>#N/A</v>
      </c>
      <c r="K84" s="509" t="e">
        <f>INDEX(Commerce_session1!A6:CX792,MATCH("C",Commerce_session1!A6:A792,0),48)</f>
        <v>#N/A</v>
      </c>
      <c r="L84" s="488" t="e">
        <f>INDEX(Commerce_session1!A6:CX792,MATCH("C",Commerce_session1!A6:A792,0),49)</f>
        <v>#N/A</v>
      </c>
      <c r="M84" s="489" t="e">
        <f>INDEX(Commerce_session1!D67:CZ102,MATCH("a",Commerce_session1!D67:D102,0),29)</f>
        <v>#N/A</v>
      </c>
      <c r="N84" s="498" t="e">
        <f>INDEX(Commerce_session1!#REF!,MATCH("a",Commerce_session1!#REF!,0),62)</f>
        <v>#REF!</v>
      </c>
      <c r="O84" s="487" t="e">
        <f>INDEX(Commerce_session1!#REF!,MATCH("a",Commerce_session1!#REF!,0),62)</f>
        <v>#REF!</v>
      </c>
    </row>
    <row r="85" spans="1:15" ht="18.75" customHeight="1" thickBot="1">
      <c r="A85" s="550"/>
      <c r="B85" s="527"/>
      <c r="C85" s="524"/>
      <c r="D85" s="521"/>
      <c r="E85" s="451"/>
      <c r="F85" s="101" t="s">
        <v>62</v>
      </c>
      <c r="G85" s="80">
        <v>1</v>
      </c>
      <c r="H85" s="81">
        <v>1</v>
      </c>
      <c r="I85" s="16" t="e">
        <f>INDEX(Commerce_session1!A6:CX792,MATCH("C",Commerce_session1!A6:A792,0),46)</f>
        <v>#N/A</v>
      </c>
      <c r="J85" s="21" t="e">
        <f>INDEX(Commerce_session1!A6:CX792,MATCH("C",Commerce_session1!A6:A792,0),47)</f>
        <v>#N/A</v>
      </c>
      <c r="K85" s="511" t="e">
        <f>INDEX(Commerce_session1!B67:CY102,MATCH("a",Commerce_session1!B67:B102,0),28)</f>
        <v>#N/A</v>
      </c>
      <c r="L85" s="490" t="e">
        <f>INDEX(Commerce_session1!D67:CZ102,MATCH("a",Commerce_session1!D67:D102,0),28)</f>
        <v>#N/A</v>
      </c>
      <c r="M85" s="491" t="e">
        <f>INDEX(Commerce_session1!E67:DA102,MATCH("a",Commerce_session1!E67:E102,0),28)</f>
        <v>#N/A</v>
      </c>
      <c r="N85" s="498" t="e">
        <f>INDEX(Commerce_session1!#REF!,MATCH("a",Commerce_session1!#REF!,0),62)</f>
        <v>#REF!</v>
      </c>
      <c r="O85" s="487" t="e">
        <f>INDEX(Commerce_session1!#REF!,MATCH("a",Commerce_session1!#REF!,0),62)</f>
        <v>#REF!</v>
      </c>
    </row>
    <row r="86" spans="1:15" ht="20.25" customHeight="1" thickTop="1" thickBot="1">
      <c r="A86" s="551"/>
      <c r="B86" s="105" t="s">
        <v>39</v>
      </c>
      <c r="C86" s="104" t="s">
        <v>51</v>
      </c>
      <c r="D86" s="22">
        <v>1</v>
      </c>
      <c r="E86" s="23">
        <v>1</v>
      </c>
      <c r="F86" s="103" t="s">
        <v>64</v>
      </c>
      <c r="G86" s="82">
        <v>1</v>
      </c>
      <c r="H86" s="83">
        <v>1</v>
      </c>
      <c r="I86" s="20" t="e">
        <f>INDEX(Commerce_session1!A6:CX792,MATCH("C",Commerce_session1!A6:A792,0),52)</f>
        <v>#N/A</v>
      </c>
      <c r="J86" s="24" t="e">
        <f>INDEX(Commerce_session1!A6:CX792,MATCH("C",Commerce_session1!A6:A792,0),53)</f>
        <v>#N/A</v>
      </c>
      <c r="K86" s="36" t="e">
        <f>INDEX(Commerce_session1!A6:CX792,MATCH("C",Commerce_session1!A6:A792,0),54)</f>
        <v>#N/A</v>
      </c>
      <c r="L86" s="492" t="e">
        <f>INDEX(Commerce_session1!A6:CX792,MATCH("C",Commerce_session1!A6:A792,0),55)</f>
        <v>#N/A</v>
      </c>
      <c r="M86" s="493" t="e">
        <f>INDEX(Commerce_session1!D67:CZ102,MATCH("a",Commerce_session1!D67:D102,0),33)</f>
        <v>#N/A</v>
      </c>
      <c r="N86" s="498" t="e">
        <f>INDEX(Commerce_session1!#REF!,MATCH("a",Commerce_session1!#REF!,0),62)</f>
        <v>#REF!</v>
      </c>
      <c r="O86" s="487" t="e">
        <f>INDEX(Commerce_session1!#REF!,MATCH("a",Commerce_session1!#REF!,0),62)</f>
        <v>#REF!</v>
      </c>
    </row>
    <row r="87" spans="1:15" ht="19.5" customHeight="1" thickTop="1" thickBot="1">
      <c r="A87" s="516" t="s">
        <v>77</v>
      </c>
      <c r="B87" s="525" t="s">
        <v>36</v>
      </c>
      <c r="C87" s="522" t="s">
        <v>88</v>
      </c>
      <c r="D87" s="528">
        <v>16</v>
      </c>
      <c r="E87" s="449">
        <v>5</v>
      </c>
      <c r="F87" s="96" t="s">
        <v>67</v>
      </c>
      <c r="G87" s="114">
        <v>6</v>
      </c>
      <c r="H87" s="115">
        <v>2</v>
      </c>
      <c r="I87" s="18" t="e">
        <f>INDEX(Commerce_session1!A6:CX792,MATCH("C",Commerce_session1!A6:A792,0),60)</f>
        <v>#N/A</v>
      </c>
      <c r="J87" s="19" t="e">
        <f>INDEX(Commerce_session1!A6:CX792,MATCH("C",Commerce_session1!A6:A792,0),61)</f>
        <v>#N/A</v>
      </c>
      <c r="K87" s="519" t="e">
        <f>INDEX(Commerce_session1!A6:CX792,MATCH("C",Commerce_session1!A6:A792,0),70)</f>
        <v>#N/A</v>
      </c>
      <c r="L87" s="494" t="e">
        <f>INDEX(Commerce_session1!A6:CX792,MATCH("C",Commerce_session1!A6:A792,0),71)</f>
        <v>#N/A</v>
      </c>
      <c r="M87" s="495"/>
      <c r="N87" s="498" t="e">
        <f>INDEX(Commerce_session1!A6:CX792,MATCH("C",Commerce_session1!A6:A792,0),97)</f>
        <v>#N/A</v>
      </c>
      <c r="O87" s="487" t="e">
        <f>INDEX(Commerce_session1!A6:CX792,MATCH("C",Commerce_session1!A6:A792,0),98)</f>
        <v>#N/A</v>
      </c>
    </row>
    <row r="88" spans="1:15" ht="18.75" customHeight="1" thickBot="1">
      <c r="A88" s="517"/>
      <c r="B88" s="526"/>
      <c r="C88" s="523"/>
      <c r="D88" s="529"/>
      <c r="E88" s="450"/>
      <c r="F88" s="100" t="s">
        <v>68</v>
      </c>
      <c r="G88" s="116">
        <v>6</v>
      </c>
      <c r="H88" s="117">
        <v>2</v>
      </c>
      <c r="I88" s="14" t="e">
        <f>INDEX(Commerce_session1!A6:CX792,MATCH("C",Commerce_session1!A6:A792,0),64)</f>
        <v>#N/A</v>
      </c>
      <c r="J88" s="15" t="e">
        <f>INDEX(Commerce_session1!A6:CX792,MATCH("C",Commerce_session1!A6:A792,0),65)</f>
        <v>#N/A</v>
      </c>
      <c r="K88" s="510"/>
      <c r="L88" s="496"/>
      <c r="M88" s="497"/>
      <c r="N88" s="498" t="e">
        <f>INDEX(Commerce_session1!F67:DA102,MATCH("a",Commerce_session1!F67:F102,0),42)</f>
        <v>#N/A</v>
      </c>
      <c r="O88" s="487" t="e">
        <f>INDEX(Commerce_session1!G67:DA102,MATCH("a",Commerce_session1!G67:G102,0),42)</f>
        <v>#N/A</v>
      </c>
    </row>
    <row r="89" spans="1:15" ht="20.25" customHeight="1" thickBot="1">
      <c r="A89" s="517"/>
      <c r="B89" s="527"/>
      <c r="C89" s="524"/>
      <c r="D89" s="530"/>
      <c r="E89" s="451"/>
      <c r="F89" s="101" t="s">
        <v>103</v>
      </c>
      <c r="G89" s="118">
        <v>4</v>
      </c>
      <c r="H89" s="119">
        <v>1</v>
      </c>
      <c r="I89" s="127" t="e">
        <f>INDEX(Commerce_session1!A6:CX792,MATCH("C",Commerce_session1!A6:A792,0),68)</f>
        <v>#N/A</v>
      </c>
      <c r="J89" s="21" t="e">
        <f>INDEX(Commerce_session1!A6:CX792,MATCH("C",Commerce_session1!A6:A792,0),69)</f>
        <v>#N/A</v>
      </c>
      <c r="K89" s="511"/>
      <c r="L89" s="490"/>
      <c r="M89" s="491"/>
      <c r="N89" s="498" t="e">
        <f>INDEX(Commerce_session1!F68:DA102,MATCH("a",Commerce_session1!F68:F102,0),42)</f>
        <v>#N/A</v>
      </c>
      <c r="O89" s="487" t="e">
        <f>INDEX(Commerce_session1!G68:DA102,MATCH("a",Commerce_session1!G68:G102,0),42)</f>
        <v>#N/A</v>
      </c>
    </row>
    <row r="90" spans="1:15" ht="22.5" customHeight="1" thickTop="1" thickBot="1">
      <c r="A90" s="517"/>
      <c r="B90" s="531" t="s">
        <v>37</v>
      </c>
      <c r="C90" s="559" t="s">
        <v>87</v>
      </c>
      <c r="D90" s="532">
        <v>10</v>
      </c>
      <c r="E90" s="508">
        <v>4</v>
      </c>
      <c r="F90" s="128" t="s">
        <v>104</v>
      </c>
      <c r="G90" s="76">
        <v>5</v>
      </c>
      <c r="H90" s="77">
        <v>2</v>
      </c>
      <c r="I90" s="18" t="e">
        <f>INDEX(Commerce_session1!A6:CX792,MATCH("C",Commerce_session1!A6:A792,0),74)</f>
        <v>#N/A</v>
      </c>
      <c r="J90" s="19" t="e">
        <f>INDEX(Commerce_session1!A6:CX792,MATCH("C",Commerce_session1!A6:A792,0),75)</f>
        <v>#N/A</v>
      </c>
      <c r="K90" s="509" t="e">
        <f>INDEX(Commerce_session1!A6:CX792,MATCH("C",Commerce_session1!A6:A792,0),80)</f>
        <v>#N/A</v>
      </c>
      <c r="L90" s="488" t="e">
        <f>INDEX(Commerce_session1!A6:CX792,MATCH("C",Commerce_session1!A6:A792,0),81)</f>
        <v>#N/A</v>
      </c>
      <c r="M90" s="489"/>
      <c r="N90" s="498" t="e">
        <f>INDEX(Commerce_session1!E70:DA102,MATCH("a",Commerce_session1!E70:E102,0),43)</f>
        <v>#N/A</v>
      </c>
      <c r="O90" s="487" t="e">
        <f>INDEX(Commerce_session1!F70:DA102,MATCH("a",Commerce_session1!F70:F102,0),43)</f>
        <v>#N/A</v>
      </c>
    </row>
    <row r="91" spans="1:15" ht="18.75" customHeight="1" thickBot="1">
      <c r="A91" s="517"/>
      <c r="B91" s="527"/>
      <c r="C91" s="524"/>
      <c r="D91" s="530"/>
      <c r="E91" s="451"/>
      <c r="F91" s="98" t="s">
        <v>69</v>
      </c>
      <c r="G91" s="74">
        <v>5</v>
      </c>
      <c r="H91" s="75">
        <v>2</v>
      </c>
      <c r="I91" s="20" t="e">
        <f>INDEX(Commerce_session1!A6:CX792,MATCH("C",Commerce_session1!A6:A792,0),78)</f>
        <v>#N/A</v>
      </c>
      <c r="J91" s="17" t="e">
        <f>INDEX(Commerce_session1!A6:CX792,MATCH("C",Commerce_session1!A6:A792,0),79)</f>
        <v>#N/A</v>
      </c>
      <c r="K91" s="511"/>
      <c r="L91" s="490"/>
      <c r="M91" s="491"/>
      <c r="N91" s="498" t="e">
        <f>INDEX(Commerce_session1!F71:DA102,MATCH("a",Commerce_session1!F71:F102,0),42)</f>
        <v>#N/A</v>
      </c>
      <c r="O91" s="487" t="e">
        <f>INDEX(Commerce_session1!G71:DA102,MATCH("a",Commerce_session1!G71:G102,0),42)</f>
        <v>#N/A</v>
      </c>
    </row>
    <row r="92" spans="1:15" ht="18.75" customHeight="1" thickTop="1" thickBot="1">
      <c r="A92" s="517"/>
      <c r="B92" s="105" t="s">
        <v>38</v>
      </c>
      <c r="C92" s="104" t="s">
        <v>85</v>
      </c>
      <c r="D92" s="22">
        <v>3</v>
      </c>
      <c r="E92" s="23">
        <v>2</v>
      </c>
      <c r="F92" s="101" t="s">
        <v>74</v>
      </c>
      <c r="G92" s="74">
        <v>3</v>
      </c>
      <c r="H92" s="75">
        <v>2</v>
      </c>
      <c r="I92" s="20" t="e">
        <f>INDEX(Commerce_session1!A6:CX792,MATCH("C",Commerce_session1!A6:A792,0),84)</f>
        <v>#N/A</v>
      </c>
      <c r="J92" s="17" t="e">
        <f>INDEX(Commerce_session1!A6:CX792,MATCH("C",Commerce_session1!A6:A792,0),85)</f>
        <v>#N/A</v>
      </c>
      <c r="K92" s="123" t="e">
        <f>INDEX(Commerce_session1!A6:CX792,MATCH("C",Commerce_session1!A6:A792,0),86)</f>
        <v>#N/A</v>
      </c>
      <c r="L92" s="512" t="e">
        <f>INDEX(Commerce_session1!A6:CX792,MATCH("C",Commerce_session1!A6:A792,0),87)</f>
        <v>#N/A</v>
      </c>
      <c r="M92" s="513"/>
      <c r="N92" s="498" t="e">
        <f>INDEX(Commerce_session1!F73:DA102,MATCH("a",Commerce_session1!F73:F102,0),42)</f>
        <v>#N/A</v>
      </c>
      <c r="O92" s="487" t="e">
        <f>INDEX(Commerce_session1!G73:DA102,MATCH("a",Commerce_session1!G73:G102,0),42)</f>
        <v>#N/A</v>
      </c>
    </row>
    <row r="93" spans="1:15" ht="20.25" customHeight="1" thickTop="1" thickBot="1">
      <c r="A93" s="518"/>
      <c r="B93" s="105" t="s">
        <v>39</v>
      </c>
      <c r="C93" s="104" t="s">
        <v>86</v>
      </c>
      <c r="D93" s="22">
        <v>1</v>
      </c>
      <c r="E93" s="23">
        <v>1</v>
      </c>
      <c r="F93" s="103" t="s">
        <v>73</v>
      </c>
      <c r="G93" s="82">
        <v>1</v>
      </c>
      <c r="H93" s="83">
        <v>1</v>
      </c>
      <c r="I93" s="25" t="e">
        <f>INDEX(Commerce_session1!A6:CX792,MATCH("C",Commerce_session1!A6:A792,0),89)</f>
        <v>#N/A</v>
      </c>
      <c r="J93" s="26" t="e">
        <f>INDEX(Commerce_session1!A6:CX792,MATCH("C",Commerce_session1!A6:A792,0),90)</f>
        <v>#N/A</v>
      </c>
      <c r="K93" s="27" t="e">
        <f>INDEX(Commerce_session1!A6:CX792,MATCH("C",Commerce_session1!A6:A792,0),91)</f>
        <v>#N/A</v>
      </c>
      <c r="L93" s="514" t="e">
        <f>INDEX(Commerce_session1!A6:CX792,MATCH("C",Commerce_session1!A6:A792,0),92)</f>
        <v>#N/A</v>
      </c>
      <c r="M93" s="515" t="e">
        <f>INDEX(Commerce_session1!D67:CZ102,MATCH("a",Commerce_session1!D67:D102,0),61)</f>
        <v>#N/A</v>
      </c>
      <c r="N93" s="498" t="e">
        <f>INDEX(Commerce_session1!F74:DA102,MATCH("a",Commerce_session1!F74:F102,0),42)</f>
        <v>#N/A</v>
      </c>
      <c r="O93" s="487" t="e">
        <f>INDEX(Commerce_session1!G74:DA102,MATCH("a",Commerce_session1!G74:G102,0),42)</f>
        <v>#N/A</v>
      </c>
    </row>
    <row r="94" spans="1:15" ht="20.25">
      <c r="A94" s="535" t="s">
        <v>40</v>
      </c>
      <c r="B94" s="536"/>
      <c r="C94" s="537"/>
      <c r="D94" s="121" t="e">
        <f>INDEX(Commerce_session1!A6:CX792,MATCH("C",Commerce_session1!A6:A792,0),99)</f>
        <v>#N/A</v>
      </c>
      <c r="E94" s="538" t="s">
        <v>41</v>
      </c>
      <c r="F94" s="540"/>
      <c r="G94" s="120" t="e">
        <f>INDEX(Commerce_session1!A6:CX792,MATCH("C",Commerce_session1!A6:A792,0),100)</f>
        <v>#N/A</v>
      </c>
      <c r="H94" s="538" t="s">
        <v>91</v>
      </c>
      <c r="I94" s="539"/>
      <c r="J94" s="539"/>
      <c r="K94" s="540"/>
      <c r="L94" s="541" t="e">
        <f>INDEX(Commerce_session1!A6:CX792,MATCH("C",Commerce_session1!A6:A792,0),101)</f>
        <v>#N/A</v>
      </c>
      <c r="M94" s="542"/>
      <c r="N94" s="8"/>
      <c r="O94" s="8"/>
    </row>
    <row r="95" spans="1:15" ht="22.5">
      <c r="A95" s="546" t="s">
        <v>42</v>
      </c>
      <c r="B95" s="547"/>
      <c r="C95" s="548"/>
      <c r="D95" s="543" t="e">
        <f>INDEX(Commerce_session1!A6:CX792,MATCH("C",Commerce_session1!A6:A792,0),102)</f>
        <v>#N/A</v>
      </c>
      <c r="E95" s="544"/>
      <c r="F95" s="545"/>
      <c r="G95" s="108"/>
      <c r="H95" s="109"/>
      <c r="I95" s="110"/>
      <c r="J95" s="111"/>
      <c r="K95" s="110"/>
      <c r="L95" s="110"/>
      <c r="M95" s="110"/>
      <c r="N95" s="112" t="s">
        <v>43</v>
      </c>
      <c r="O95" s="28">
        <f ca="1">TODAY()</f>
        <v>43626</v>
      </c>
    </row>
    <row r="96" spans="1:15" ht="32.25" customHeight="1">
      <c r="A96" s="113" t="s">
        <v>44</v>
      </c>
      <c r="B96" s="29"/>
      <c r="C96" s="29"/>
      <c r="D96" s="533"/>
      <c r="E96" s="533"/>
      <c r="F96" s="30"/>
      <c r="G96" s="4"/>
      <c r="J96" s="4"/>
      <c r="L96" s="534" t="s">
        <v>46</v>
      </c>
      <c r="M96" s="534"/>
      <c r="N96" s="534"/>
    </row>
    <row r="97" spans="1:18" ht="23.25" customHeight="1" thickBot="1">
      <c r="A97" s="84" t="s">
        <v>12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445" t="s">
        <v>13</v>
      </c>
      <c r="M97" s="445"/>
      <c r="N97" s="445"/>
      <c r="O97" s="445"/>
      <c r="P97" s="2"/>
      <c r="Q97" s="2"/>
      <c r="R97" s="2"/>
    </row>
    <row r="98" spans="1:18" ht="15.75">
      <c r="A98" s="446" t="s">
        <v>14</v>
      </c>
      <c r="B98" s="446"/>
      <c r="C98" s="446"/>
      <c r="D98" s="446"/>
      <c r="E98" s="446"/>
      <c r="F98" s="3"/>
      <c r="H98" s="4"/>
      <c r="K98" s="4"/>
      <c r="L98" s="4"/>
    </row>
    <row r="99" spans="1:18" ht="15.75">
      <c r="A99" s="85" t="s">
        <v>15</v>
      </c>
      <c r="B99" s="85"/>
      <c r="C99" s="85"/>
      <c r="D99" s="85"/>
      <c r="E99" s="85"/>
      <c r="F99" s="5"/>
      <c r="H99" s="4"/>
      <c r="K99" s="4"/>
      <c r="L99" s="4"/>
      <c r="P99" s="6"/>
    </row>
    <row r="100" spans="1:18" ht="15.75">
      <c r="A100" s="85" t="s">
        <v>100</v>
      </c>
      <c r="B100" s="85"/>
      <c r="C100" s="85"/>
      <c r="D100" s="85"/>
      <c r="E100" s="85"/>
      <c r="F100" s="3"/>
      <c r="H100" s="4"/>
      <c r="K100" s="4"/>
      <c r="L100" s="4"/>
    </row>
    <row r="101" spans="1:18" s="8" customFormat="1" ht="27" customHeight="1">
      <c r="A101" s="7"/>
      <c r="B101" s="7"/>
      <c r="C101" s="7"/>
      <c r="D101" s="447" t="s">
        <v>94</v>
      </c>
      <c r="E101" s="447"/>
      <c r="F101" s="447"/>
      <c r="G101" s="447"/>
      <c r="H101" s="447"/>
      <c r="I101" s="447"/>
      <c r="J101" s="447"/>
      <c r="K101" s="447"/>
      <c r="L101" s="447"/>
      <c r="M101" s="7"/>
      <c r="N101" s="7"/>
      <c r="O101" s="7"/>
    </row>
    <row r="102" spans="1:18" ht="23.25" customHeight="1">
      <c r="A102" s="126" t="s">
        <v>101</v>
      </c>
      <c r="B102" s="126"/>
      <c r="C102" s="126"/>
      <c r="D102" s="126"/>
      <c r="E102" s="126"/>
      <c r="F102" s="126"/>
      <c r="G102" s="122"/>
      <c r="H102" s="122"/>
      <c r="I102" s="122" t="e">
        <f>IF(D127="ناجح(ة) دورة1","-الدورة الأولى-","-الدورة الثانية-")</f>
        <v>#N/A</v>
      </c>
      <c r="J102" s="124" t="s">
        <v>48</v>
      </c>
      <c r="K102" s="124"/>
      <c r="L102" s="87"/>
      <c r="M102" s="88"/>
      <c r="N102" s="89"/>
      <c r="O102" s="9"/>
    </row>
    <row r="103" spans="1:18" ht="20.25" customHeight="1">
      <c r="A103" s="476" t="s">
        <v>93</v>
      </c>
      <c r="B103" s="476"/>
      <c r="C103" s="90" t="e">
        <f>INDEX(Commerce_session1!A6:CX792,MATCH("D",Commerce_session1!A6:A792,0),3)</f>
        <v>#N/A</v>
      </c>
      <c r="D103" s="91" t="s">
        <v>92</v>
      </c>
      <c r="E103" s="448" t="e">
        <f>INDEX(Commerce_session1!A6:CX792,MATCH("D",Commerce_session1!A6:A792,0),4)</f>
        <v>#N/A</v>
      </c>
      <c r="F103" s="448" t="e">
        <f>INDEX(Commerce_session1!D95:DA188,MATCH("a",Commerce_session1!D95:D188,0),3)</f>
        <v>#N/A</v>
      </c>
      <c r="G103" s="477" t="s">
        <v>16</v>
      </c>
      <c r="H103" s="477"/>
      <c r="I103" s="477"/>
      <c r="J103" s="478" t="e">
        <f>INDEX(Commerce_session1!A6:CX792,MATCH("D",Commerce_session1!A6:A792,0),6)</f>
        <v>#N/A</v>
      </c>
      <c r="K103" s="478"/>
      <c r="L103" s="88"/>
      <c r="M103" s="92" t="s">
        <v>17</v>
      </c>
      <c r="N103" s="90" t="e">
        <f>INDEX(Commerce_session1!A6:CX792,MATCH("D",Commerce_session1!A6:A792,0),7)</f>
        <v>#N/A</v>
      </c>
      <c r="O103" s="10"/>
    </row>
    <row r="104" spans="1:18" ht="20.25" customHeight="1">
      <c r="A104" s="476" t="s">
        <v>18</v>
      </c>
      <c r="B104" s="476"/>
      <c r="C104" s="448" t="e">
        <f>INDEX(Commerce_session1!A6:CX792,MATCH("D",Commerce_session1!A6:A792,0),5)</f>
        <v>#N/A</v>
      </c>
      <c r="D104" s="448"/>
      <c r="E104" s="91"/>
      <c r="F104" s="88"/>
      <c r="G104" s="93"/>
      <c r="H104" s="88"/>
      <c r="I104" s="88"/>
      <c r="J104" s="93"/>
      <c r="K104" s="88"/>
      <c r="L104" s="88"/>
      <c r="M104" s="88"/>
      <c r="N104" s="88"/>
      <c r="O104" s="10"/>
    </row>
    <row r="105" spans="1:18" ht="20.25" customHeight="1">
      <c r="A105" s="476" t="s">
        <v>102</v>
      </c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</row>
    <row r="106" spans="1:18" ht="20.25" customHeight="1" thickBot="1">
      <c r="A106" s="459" t="s">
        <v>19</v>
      </c>
      <c r="B106" s="459"/>
      <c r="C106" s="459"/>
      <c r="D106" s="459"/>
      <c r="E106" s="459"/>
      <c r="F106" s="459"/>
      <c r="G106" s="459"/>
      <c r="H106" s="94"/>
      <c r="I106" s="94"/>
      <c r="J106" s="95"/>
      <c r="K106" s="94"/>
      <c r="L106" s="94"/>
      <c r="M106" s="94"/>
      <c r="N106" s="94"/>
      <c r="O106" s="11"/>
    </row>
    <row r="107" spans="1:18" ht="18.75" thickBot="1">
      <c r="A107" s="460" t="s">
        <v>20</v>
      </c>
      <c r="B107" s="463" t="s">
        <v>21</v>
      </c>
      <c r="C107" s="464"/>
      <c r="D107" s="464"/>
      <c r="E107" s="464"/>
      <c r="F107" s="464" t="s">
        <v>22</v>
      </c>
      <c r="G107" s="464"/>
      <c r="H107" s="464"/>
      <c r="I107" s="465" t="s">
        <v>23</v>
      </c>
      <c r="J107" s="466"/>
      <c r="K107" s="466"/>
      <c r="L107" s="466"/>
      <c r="M107" s="466"/>
      <c r="N107" s="466"/>
      <c r="O107" s="467"/>
    </row>
    <row r="108" spans="1:18">
      <c r="A108" s="461"/>
      <c r="B108" s="468" t="s">
        <v>24</v>
      </c>
      <c r="C108" s="470" t="s">
        <v>25</v>
      </c>
      <c r="D108" s="472" t="s">
        <v>26</v>
      </c>
      <c r="E108" s="474" t="s">
        <v>27</v>
      </c>
      <c r="F108" s="479" t="s">
        <v>28</v>
      </c>
      <c r="G108" s="468" t="s">
        <v>11</v>
      </c>
      <c r="H108" s="481" t="s">
        <v>27</v>
      </c>
      <c r="I108" s="482" t="s">
        <v>29</v>
      </c>
      <c r="J108" s="483"/>
      <c r="K108" s="484" t="s">
        <v>30</v>
      </c>
      <c r="L108" s="485"/>
      <c r="M108" s="486"/>
      <c r="N108" s="455" t="s">
        <v>20</v>
      </c>
      <c r="O108" s="456"/>
    </row>
    <row r="109" spans="1:18" ht="15.75" thickBot="1">
      <c r="A109" s="462"/>
      <c r="B109" s="469"/>
      <c r="C109" s="471"/>
      <c r="D109" s="473"/>
      <c r="E109" s="475"/>
      <c r="F109" s="480"/>
      <c r="G109" s="469"/>
      <c r="H109" s="473"/>
      <c r="I109" s="106" t="s">
        <v>10</v>
      </c>
      <c r="J109" s="106" t="s">
        <v>31</v>
      </c>
      <c r="K109" s="106" t="s">
        <v>32</v>
      </c>
      <c r="L109" s="457" t="s">
        <v>33</v>
      </c>
      <c r="M109" s="458"/>
      <c r="N109" s="106" t="s">
        <v>34</v>
      </c>
      <c r="O109" s="107" t="s">
        <v>35</v>
      </c>
    </row>
    <row r="110" spans="1:18" ht="18.75" customHeight="1" thickBot="1">
      <c r="A110" s="549" t="s">
        <v>76</v>
      </c>
      <c r="B110" s="552" t="s">
        <v>36</v>
      </c>
      <c r="C110" s="555" t="s">
        <v>90</v>
      </c>
      <c r="D110" s="556">
        <v>17</v>
      </c>
      <c r="E110" s="449">
        <v>6</v>
      </c>
      <c r="F110" s="96" t="s">
        <v>54</v>
      </c>
      <c r="G110" s="70">
        <v>5</v>
      </c>
      <c r="H110" s="71">
        <v>2</v>
      </c>
      <c r="I110" s="12" t="e">
        <f>INDEX(Commerce_session1!A6:CX792,MATCH("D",Commerce_session1!A6:A792,0),16)</f>
        <v>#N/A</v>
      </c>
      <c r="J110" s="13" t="e">
        <f>INDEX(Commerce_session1!A6:CX792,MATCH("D",Commerce_session1!A6:A792,0),17)</f>
        <v>#N/A</v>
      </c>
      <c r="K110" s="452" t="e">
        <f>INDEX(Commerce_session1!A6:CX792,MATCH("D",Commerce_session1!A6:A792,0),26)</f>
        <v>#N/A</v>
      </c>
      <c r="L110" s="494" t="e">
        <f>INDEX(Commerce_session1!A6:CX792,MATCH("D",Commerce_session1!A6:A792,0),27)</f>
        <v>#N/A</v>
      </c>
      <c r="M110" s="495" t="e">
        <f>INDEX(Commerce_session1!D95:CZ133,MATCH("a",Commerce_session1!D95:D133,0),15)</f>
        <v>#N/A</v>
      </c>
      <c r="N110" s="498" t="e">
        <f>INDEX(Commerce_session1!A6:CX792,MATCH("D",Commerce_session1!A6:A792,0),95)</f>
        <v>#N/A</v>
      </c>
      <c r="O110" s="487" t="e">
        <f>INDEX(Commerce_session1!A6:CX792,MATCH("D",Commerce_session1!A6:A792,0),96)</f>
        <v>#N/A</v>
      </c>
    </row>
    <row r="111" spans="1:18" ht="18.75" customHeight="1" thickBot="1">
      <c r="A111" s="550"/>
      <c r="B111" s="553"/>
      <c r="C111" s="503"/>
      <c r="D111" s="557"/>
      <c r="E111" s="450"/>
      <c r="F111" s="97" t="s">
        <v>55</v>
      </c>
      <c r="G111" s="72">
        <v>6</v>
      </c>
      <c r="H111" s="73">
        <v>2</v>
      </c>
      <c r="I111" s="14" t="e">
        <f>INDEX(Commerce_session1!A6:CX792,MATCH("D",Commerce_session1!A6:A792,0),20)</f>
        <v>#N/A</v>
      </c>
      <c r="J111" s="15" t="e">
        <f>INDEX(Commerce_session1!A6:CX792,MATCH("D",Commerce_session1!A6:A792,0),21)</f>
        <v>#N/A</v>
      </c>
      <c r="K111" s="453" t="e">
        <f>INDEX(Commerce_session1!B95:CY133,MATCH("a",Commerce_session1!B95:B133,0),14)</f>
        <v>#N/A</v>
      </c>
      <c r="L111" s="496" t="e">
        <f>INDEX(Commerce_session1!D95:CZ133,MATCH("a",Commerce_session1!D95:D133,0),14)</f>
        <v>#N/A</v>
      </c>
      <c r="M111" s="497" t="e">
        <f>INDEX(Commerce_session1!E95:DA133,MATCH("a",Commerce_session1!E95:E133,0),14)</f>
        <v>#N/A</v>
      </c>
      <c r="N111" s="498" t="e">
        <f>INDEX(Commerce_session1!#REF!,MATCH("a",Commerce_session1!#REF!,0),62)</f>
        <v>#REF!</v>
      </c>
      <c r="O111" s="487" t="e">
        <f>INDEX(Commerce_session1!#REF!,MATCH("a",Commerce_session1!#REF!,0),62)</f>
        <v>#REF!</v>
      </c>
    </row>
    <row r="112" spans="1:18" ht="18.75" customHeight="1" thickBot="1">
      <c r="A112" s="550"/>
      <c r="B112" s="554"/>
      <c r="C112" s="504"/>
      <c r="D112" s="558"/>
      <c r="E112" s="451"/>
      <c r="F112" s="98" t="s">
        <v>56</v>
      </c>
      <c r="G112" s="74">
        <v>6</v>
      </c>
      <c r="H112" s="75">
        <v>2</v>
      </c>
      <c r="I112" s="16" t="e">
        <f>INDEX(Commerce_session1!A6:CX792,MATCH("D",Commerce_session1!A6:A792,0),24)</f>
        <v>#N/A</v>
      </c>
      <c r="J112" s="17" t="e">
        <f>INDEX(Commerce_session1!A6:CX792,MATCH("D",Commerce_session1!A6:A792,0),25)</f>
        <v>#N/A</v>
      </c>
      <c r="K112" s="454" t="e">
        <f>INDEX(Commerce_session1!B97:CY133,MATCH("a",Commerce_session1!B97:B133,0),14)</f>
        <v>#N/A</v>
      </c>
      <c r="L112" s="490" t="e">
        <f>INDEX(Commerce_session1!D97:CZ133,MATCH("a",Commerce_session1!D97:D133,0),14)</f>
        <v>#N/A</v>
      </c>
      <c r="M112" s="491" t="e">
        <f>INDEX(Commerce_session1!E97:DA133,MATCH("a",Commerce_session1!E97:E133,0),14)</f>
        <v>#N/A</v>
      </c>
      <c r="N112" s="498" t="e">
        <f>INDEX(Commerce_session1!#REF!,MATCH("a",Commerce_session1!#REF!,0),62)</f>
        <v>#REF!</v>
      </c>
      <c r="O112" s="487" t="e">
        <f>INDEX(Commerce_session1!#REF!,MATCH("a",Commerce_session1!#REF!,0),62)</f>
        <v>#REF!</v>
      </c>
    </row>
    <row r="113" spans="1:15" ht="19.5" customHeight="1" thickTop="1" thickBot="1">
      <c r="A113" s="550"/>
      <c r="B113" s="499" t="s">
        <v>37</v>
      </c>
      <c r="C113" s="502" t="s">
        <v>89</v>
      </c>
      <c r="D113" s="505">
        <v>7</v>
      </c>
      <c r="E113" s="508">
        <v>5</v>
      </c>
      <c r="F113" s="99" t="s">
        <v>83</v>
      </c>
      <c r="G113" s="76">
        <v>1</v>
      </c>
      <c r="H113" s="77">
        <v>1</v>
      </c>
      <c r="I113" s="18" t="e">
        <f>INDEX(Commerce_session1!A6:CX792,MATCH("D",Commerce_session1!A6:A792,0),29)</f>
        <v>#N/A</v>
      </c>
      <c r="J113" s="19" t="e">
        <f>INDEX(Commerce_session1!A6:CX792,MATCH("D",Commerce_session1!A6:A792,0),30)</f>
        <v>#N/A</v>
      </c>
      <c r="K113" s="509" t="e">
        <f>INDEX(Commerce_session1!A6:CX792,MATCH("D",Commerce_session1!A6:A792,0),39)</f>
        <v>#N/A</v>
      </c>
      <c r="L113" s="488" t="e">
        <f>INDEX(Commerce_session1!A6:CX792,MATCH("D",Commerce_session1!A6:A792,0),40)</f>
        <v>#N/A</v>
      </c>
      <c r="M113" s="489" t="e">
        <f>INDEX(Commerce_session1!D95:CZ133,MATCH("a",Commerce_session1!D95:D133,0),23)</f>
        <v>#N/A</v>
      </c>
      <c r="N113" s="498" t="e">
        <f>INDEX(Commerce_session1!#REF!,MATCH("a",Commerce_session1!#REF!,0),62)</f>
        <v>#REF!</v>
      </c>
      <c r="O113" s="487" t="e">
        <f>INDEX(Commerce_session1!#REF!,MATCH("a",Commerce_session1!#REF!,0),62)</f>
        <v>#REF!</v>
      </c>
    </row>
    <row r="114" spans="1:15" ht="18.75" customHeight="1" thickTop="1" thickBot="1">
      <c r="A114" s="550"/>
      <c r="B114" s="500"/>
      <c r="C114" s="503"/>
      <c r="D114" s="506"/>
      <c r="E114" s="450"/>
      <c r="F114" s="100" t="s">
        <v>99</v>
      </c>
      <c r="G114" s="78">
        <v>3</v>
      </c>
      <c r="H114" s="79">
        <v>2</v>
      </c>
      <c r="I114" s="18" t="e">
        <f>INDEX(Commerce_session1!A6:CX792,MATCH("D",Commerce_session1!A6:A792,0),33)</f>
        <v>#N/A</v>
      </c>
      <c r="J114" s="15" t="e">
        <f>INDEX(Commerce_session1!A6:CX792,MATCH("D",Commerce_session1!A6:A792,0),34)</f>
        <v>#N/A</v>
      </c>
      <c r="K114" s="510" t="e">
        <f>INDEX(Commerce_session1!B94:CY133,MATCH("a",Commerce_session1!B94:B133,0),22)</f>
        <v>#N/A</v>
      </c>
      <c r="L114" s="496" t="e">
        <f>INDEX(Commerce_session1!D94:CZ133,MATCH("a",Commerce_session1!D94:D133,0),22)</f>
        <v>#N/A</v>
      </c>
      <c r="M114" s="497" t="e">
        <f>INDEX(Commerce_session1!E94:DA133,MATCH("a",Commerce_session1!E94:E133,0),22)</f>
        <v>#N/A</v>
      </c>
      <c r="N114" s="498" t="e">
        <f>INDEX(Commerce_session1!#REF!,MATCH("a",Commerce_session1!#REF!,0),62)</f>
        <v>#REF!</v>
      </c>
      <c r="O114" s="487" t="e">
        <f>INDEX(Commerce_session1!#REF!,MATCH("a",Commerce_session1!#REF!,0),62)</f>
        <v>#REF!</v>
      </c>
    </row>
    <row r="115" spans="1:15" ht="18.75" customHeight="1" thickBot="1">
      <c r="A115" s="550"/>
      <c r="B115" s="501"/>
      <c r="C115" s="504"/>
      <c r="D115" s="507"/>
      <c r="E115" s="451"/>
      <c r="F115" s="101" t="s">
        <v>84</v>
      </c>
      <c r="G115" s="80">
        <v>3</v>
      </c>
      <c r="H115" s="81">
        <v>2</v>
      </c>
      <c r="I115" s="20" t="e">
        <f>INDEX(Commerce_session1!A6:CX792,MATCH("D",Commerce_session1!A6:A792,0),37)</f>
        <v>#N/A</v>
      </c>
      <c r="J115" s="17" t="e">
        <f>INDEX(Commerce_session1!A6:CX792,MATCH("D",Commerce_session1!A6:A792,0),38)</f>
        <v>#N/A</v>
      </c>
      <c r="K115" s="511" t="e">
        <f>INDEX(Commerce_session1!B95:CY133,MATCH("a",Commerce_session1!B95:B133,0),22)</f>
        <v>#N/A</v>
      </c>
      <c r="L115" s="490" t="e">
        <f>INDEX(Commerce_session1!D95:CZ133,MATCH("a",Commerce_session1!D95:D133,0),22)</f>
        <v>#N/A</v>
      </c>
      <c r="M115" s="491" t="e">
        <f>INDEX(Commerce_session1!E95:DA133,MATCH("a",Commerce_session1!E95:E133,0),22)</f>
        <v>#N/A</v>
      </c>
      <c r="N115" s="498" t="e">
        <f>INDEX(Commerce_session1!#REF!,MATCH("a",Commerce_session1!#REF!,0),62)</f>
        <v>#REF!</v>
      </c>
      <c r="O115" s="487" t="e">
        <f>INDEX(Commerce_session1!#REF!,MATCH("a",Commerce_session1!#REF!,0),62)</f>
        <v>#REF!</v>
      </c>
    </row>
    <row r="116" spans="1:15" ht="33.75" customHeight="1" thickTop="1" thickBot="1">
      <c r="A116" s="550"/>
      <c r="B116" s="531" t="s">
        <v>38</v>
      </c>
      <c r="C116" s="559" t="s">
        <v>50</v>
      </c>
      <c r="D116" s="520">
        <v>5</v>
      </c>
      <c r="E116" s="508">
        <v>2</v>
      </c>
      <c r="F116" s="102" t="s">
        <v>63</v>
      </c>
      <c r="G116" s="68">
        <v>4</v>
      </c>
      <c r="H116" s="69">
        <v>1</v>
      </c>
      <c r="I116" s="18" t="e">
        <f>INDEX(Commerce_session1!A6:CX792,MATCH("D",Commerce_session1!A6:A792,0),43)</f>
        <v>#N/A</v>
      </c>
      <c r="J116" s="19" t="e">
        <f>INDEX(Commerce_session1!A6:CX792,MATCH("D",Commerce_session1!A6:A792,0),44)</f>
        <v>#N/A</v>
      </c>
      <c r="K116" s="509" t="e">
        <f>INDEX(Commerce_session1!A6:CX792,MATCH("D",Commerce_session1!A6:A792,0),48)</f>
        <v>#N/A</v>
      </c>
      <c r="L116" s="488" t="e">
        <f>INDEX(Commerce_session1!A6:CX792,MATCH("D",Commerce_session1!A6:A792,0),49)</f>
        <v>#N/A</v>
      </c>
      <c r="M116" s="489" t="e">
        <f>INDEX(Commerce_session1!D95:CZ133,MATCH("a",Commerce_session1!D95:D133,0),29)</f>
        <v>#N/A</v>
      </c>
      <c r="N116" s="498" t="e">
        <f>INDEX(Commerce_session1!#REF!,MATCH("a",Commerce_session1!#REF!,0),62)</f>
        <v>#REF!</v>
      </c>
      <c r="O116" s="487" t="e">
        <f>INDEX(Commerce_session1!#REF!,MATCH("a",Commerce_session1!#REF!,0),62)</f>
        <v>#REF!</v>
      </c>
    </row>
    <row r="117" spans="1:15" ht="18.75" customHeight="1" thickBot="1">
      <c r="A117" s="550"/>
      <c r="B117" s="527"/>
      <c r="C117" s="524"/>
      <c r="D117" s="521"/>
      <c r="E117" s="451"/>
      <c r="F117" s="101" t="s">
        <v>62</v>
      </c>
      <c r="G117" s="80">
        <v>1</v>
      </c>
      <c r="H117" s="81">
        <v>1</v>
      </c>
      <c r="I117" s="16" t="e">
        <f>INDEX(Commerce_session1!A6:CX792,MATCH("D",Commerce_session1!A6:A792,0),46)</f>
        <v>#N/A</v>
      </c>
      <c r="J117" s="21" t="e">
        <f>INDEX(Commerce_session1!A6:CX792,MATCH("D",Commerce_session1!A6:A792,0),47)</f>
        <v>#N/A</v>
      </c>
      <c r="K117" s="511" t="e">
        <f>INDEX(Commerce_session1!B95:CY133,MATCH("a",Commerce_session1!B95:B133,0),28)</f>
        <v>#N/A</v>
      </c>
      <c r="L117" s="490" t="e">
        <f>INDEX(Commerce_session1!D95:CZ133,MATCH("a",Commerce_session1!D95:D133,0),28)</f>
        <v>#N/A</v>
      </c>
      <c r="M117" s="491" t="e">
        <f>INDEX(Commerce_session1!E95:DA133,MATCH("a",Commerce_session1!E95:E133,0),28)</f>
        <v>#N/A</v>
      </c>
      <c r="N117" s="498" t="e">
        <f>INDEX(Commerce_session1!#REF!,MATCH("a",Commerce_session1!#REF!,0),62)</f>
        <v>#REF!</v>
      </c>
      <c r="O117" s="487" t="e">
        <f>INDEX(Commerce_session1!#REF!,MATCH("a",Commerce_session1!#REF!,0),62)</f>
        <v>#REF!</v>
      </c>
    </row>
    <row r="118" spans="1:15" ht="20.25" customHeight="1" thickTop="1" thickBot="1">
      <c r="A118" s="551"/>
      <c r="B118" s="105" t="s">
        <v>39</v>
      </c>
      <c r="C118" s="104" t="s">
        <v>51</v>
      </c>
      <c r="D118" s="22">
        <v>1</v>
      </c>
      <c r="E118" s="23">
        <v>1</v>
      </c>
      <c r="F118" s="103" t="s">
        <v>64</v>
      </c>
      <c r="G118" s="82">
        <v>1</v>
      </c>
      <c r="H118" s="83">
        <v>1</v>
      </c>
      <c r="I118" s="20" t="e">
        <f>INDEX(Commerce_session1!A6:CX792,MATCH("D",Commerce_session1!A6:A792,0),52)</f>
        <v>#N/A</v>
      </c>
      <c r="J118" s="24" t="e">
        <f>INDEX(Commerce_session1!A6:CX792,MATCH("D",Commerce_session1!A6:A792,0),53)</f>
        <v>#N/A</v>
      </c>
      <c r="K118" s="36" t="e">
        <f>INDEX(Commerce_session1!A6:CX792,MATCH("D",Commerce_session1!A6:A792,0),54)</f>
        <v>#N/A</v>
      </c>
      <c r="L118" s="492" t="e">
        <f>INDEX(Commerce_session1!A6:CX792,MATCH("D",Commerce_session1!A6:A792,0),55)</f>
        <v>#N/A</v>
      </c>
      <c r="M118" s="493" t="e">
        <f>INDEX(Commerce_session1!D95:CZ133,MATCH("a",Commerce_session1!D95:D133,0),33)</f>
        <v>#N/A</v>
      </c>
      <c r="N118" s="498" t="e">
        <f>INDEX(Commerce_session1!#REF!,MATCH("a",Commerce_session1!#REF!,0),62)</f>
        <v>#REF!</v>
      </c>
      <c r="O118" s="487" t="e">
        <f>INDEX(Commerce_session1!#REF!,MATCH("a",Commerce_session1!#REF!,0),62)</f>
        <v>#REF!</v>
      </c>
    </row>
    <row r="119" spans="1:15" ht="19.5" customHeight="1" thickTop="1" thickBot="1">
      <c r="A119" s="516" t="s">
        <v>77</v>
      </c>
      <c r="B119" s="525" t="s">
        <v>36</v>
      </c>
      <c r="C119" s="522" t="s">
        <v>88</v>
      </c>
      <c r="D119" s="528">
        <v>16</v>
      </c>
      <c r="E119" s="449">
        <v>5</v>
      </c>
      <c r="F119" s="96" t="s">
        <v>67</v>
      </c>
      <c r="G119" s="114">
        <v>6</v>
      </c>
      <c r="H119" s="115">
        <v>2</v>
      </c>
      <c r="I119" s="18" t="e">
        <f>INDEX(Commerce_session1!A6:CX792,MATCH("D",Commerce_session1!A6:A792,0),60)</f>
        <v>#N/A</v>
      </c>
      <c r="J119" s="19" t="e">
        <f>INDEX(Commerce_session1!A6:CX792,MATCH("D",Commerce_session1!A6:A792,0),61)</f>
        <v>#N/A</v>
      </c>
      <c r="K119" s="519" t="e">
        <f>INDEX(Commerce_session1!A6:CX792,MATCH("D",Commerce_session1!A6:A792,0),70)</f>
        <v>#N/A</v>
      </c>
      <c r="L119" s="494" t="e">
        <f>INDEX(Commerce_session1!A6:CX792,MATCH("D",Commerce_session1!A6:A792,0),71)</f>
        <v>#N/A</v>
      </c>
      <c r="M119" s="495"/>
      <c r="N119" s="498" t="e">
        <f>INDEX(Commerce_session1!A6:CX792,MATCH("D",Commerce_session1!A6:A792,0),97)</f>
        <v>#N/A</v>
      </c>
      <c r="O119" s="487" t="e">
        <f>INDEX(Commerce_session1!A6:CX792,MATCH("D",Commerce_session1!A6:A792,0),98)</f>
        <v>#N/A</v>
      </c>
    </row>
    <row r="120" spans="1:15" ht="18.75" customHeight="1" thickBot="1">
      <c r="A120" s="517"/>
      <c r="B120" s="526"/>
      <c r="C120" s="523"/>
      <c r="D120" s="529"/>
      <c r="E120" s="450"/>
      <c r="F120" s="100" t="s">
        <v>68</v>
      </c>
      <c r="G120" s="116">
        <v>6</v>
      </c>
      <c r="H120" s="117">
        <v>2</v>
      </c>
      <c r="I120" s="14" t="e">
        <f>INDEX(Commerce_session1!A6:CX792,MATCH("D",Commerce_session1!A6:A792,0),64)</f>
        <v>#N/A</v>
      </c>
      <c r="J120" s="15" t="e">
        <f>INDEX(Commerce_session1!A6:CX792,MATCH("D",Commerce_session1!A6:A792,0),65)</f>
        <v>#N/A</v>
      </c>
      <c r="K120" s="510"/>
      <c r="L120" s="496"/>
      <c r="M120" s="497"/>
      <c r="N120" s="498" t="e">
        <f>INDEX(Commerce_session1!F95:DA133,MATCH("a",Commerce_session1!F95:F133,0),42)</f>
        <v>#N/A</v>
      </c>
      <c r="O120" s="487" t="e">
        <f>INDEX(Commerce_session1!G95:DA133,MATCH("a",Commerce_session1!G95:G133,0),42)</f>
        <v>#N/A</v>
      </c>
    </row>
    <row r="121" spans="1:15" ht="20.25" customHeight="1" thickBot="1">
      <c r="A121" s="517"/>
      <c r="B121" s="527"/>
      <c r="C121" s="524"/>
      <c r="D121" s="530"/>
      <c r="E121" s="451"/>
      <c r="F121" s="101" t="s">
        <v>103</v>
      </c>
      <c r="G121" s="118">
        <v>4</v>
      </c>
      <c r="H121" s="119">
        <v>1</v>
      </c>
      <c r="I121" s="127" t="e">
        <f>INDEX(Commerce_session1!A6:CX792,MATCH("D",Commerce_session1!A6:A792,0),68)</f>
        <v>#N/A</v>
      </c>
      <c r="J121" s="21" t="e">
        <f>INDEX(Commerce_session1!A6:CX792,MATCH("D",Commerce_session1!A6:A792,0),69)</f>
        <v>#N/A</v>
      </c>
      <c r="K121" s="511"/>
      <c r="L121" s="490"/>
      <c r="M121" s="491"/>
      <c r="N121" s="498" t="e">
        <f>INDEX(Commerce_session1!F96:DA133,MATCH("a",Commerce_session1!F96:F133,0),42)</f>
        <v>#N/A</v>
      </c>
      <c r="O121" s="487" t="e">
        <f>INDEX(Commerce_session1!G96:DA133,MATCH("a",Commerce_session1!G96:G133,0),42)</f>
        <v>#N/A</v>
      </c>
    </row>
    <row r="122" spans="1:15" ht="22.5" customHeight="1" thickTop="1" thickBot="1">
      <c r="A122" s="517"/>
      <c r="B122" s="531" t="s">
        <v>37</v>
      </c>
      <c r="C122" s="559" t="s">
        <v>87</v>
      </c>
      <c r="D122" s="532">
        <v>10</v>
      </c>
      <c r="E122" s="508">
        <v>4</v>
      </c>
      <c r="F122" s="128" t="s">
        <v>104</v>
      </c>
      <c r="G122" s="76">
        <v>5</v>
      </c>
      <c r="H122" s="77">
        <v>2</v>
      </c>
      <c r="I122" s="18" t="e">
        <f>INDEX(Commerce_session1!A6:CX792,MATCH("D",Commerce_session1!A6:A792,0),74)</f>
        <v>#N/A</v>
      </c>
      <c r="J122" s="19" t="e">
        <f>INDEX(Commerce_session1!A6:CX792,MATCH("D",Commerce_session1!A6:A792,0),75)</f>
        <v>#N/A</v>
      </c>
      <c r="K122" s="509" t="e">
        <f>INDEX(Commerce_session1!A6:CX792,MATCH("D",Commerce_session1!A6:A792,0),80)</f>
        <v>#N/A</v>
      </c>
      <c r="L122" s="488" t="e">
        <f>INDEX(Commerce_session1!A6:CX792,MATCH("D",Commerce_session1!A6:A792,0),81)</f>
        <v>#N/A</v>
      </c>
      <c r="M122" s="489"/>
      <c r="N122" s="498" t="e">
        <f>INDEX(Commerce_session1!E98:DA133,MATCH("a",Commerce_session1!E98:E133,0),43)</f>
        <v>#N/A</v>
      </c>
      <c r="O122" s="487" t="e">
        <f>INDEX(Commerce_session1!F98:DA133,MATCH("a",Commerce_session1!F98:F133,0),43)</f>
        <v>#N/A</v>
      </c>
    </row>
    <row r="123" spans="1:15" ht="18.75" customHeight="1" thickBot="1">
      <c r="A123" s="517"/>
      <c r="B123" s="527"/>
      <c r="C123" s="524"/>
      <c r="D123" s="530"/>
      <c r="E123" s="451"/>
      <c r="F123" s="98" t="s">
        <v>69</v>
      </c>
      <c r="G123" s="74">
        <v>5</v>
      </c>
      <c r="H123" s="75">
        <v>2</v>
      </c>
      <c r="I123" s="20" t="e">
        <f>INDEX(Commerce_session1!A6:CX792,MATCH("D",Commerce_session1!A6:A792,0),78)</f>
        <v>#N/A</v>
      </c>
      <c r="J123" s="17" t="e">
        <f>INDEX(Commerce_session1!A6:CX792,MATCH("D",Commerce_session1!A6:A792,0),79)</f>
        <v>#N/A</v>
      </c>
      <c r="K123" s="511"/>
      <c r="L123" s="490"/>
      <c r="M123" s="491"/>
      <c r="N123" s="498" t="e">
        <f>INDEX(Commerce_session1!F99:DA133,MATCH("a",Commerce_session1!F99:F133,0),42)</f>
        <v>#N/A</v>
      </c>
      <c r="O123" s="487" t="e">
        <f>INDEX(Commerce_session1!G99:DA133,MATCH("a",Commerce_session1!G99:G133,0),42)</f>
        <v>#N/A</v>
      </c>
    </row>
    <row r="124" spans="1:15" ht="18.75" customHeight="1" thickTop="1" thickBot="1">
      <c r="A124" s="517"/>
      <c r="B124" s="105" t="s">
        <v>38</v>
      </c>
      <c r="C124" s="104" t="s">
        <v>85</v>
      </c>
      <c r="D124" s="22">
        <v>3</v>
      </c>
      <c r="E124" s="23">
        <v>2</v>
      </c>
      <c r="F124" s="101" t="s">
        <v>74</v>
      </c>
      <c r="G124" s="74">
        <v>3</v>
      </c>
      <c r="H124" s="75">
        <v>2</v>
      </c>
      <c r="I124" s="20" t="e">
        <f>INDEX(Commerce_session1!A6:CX792,MATCH("D",Commerce_session1!A6:A792,0),84)</f>
        <v>#N/A</v>
      </c>
      <c r="J124" s="17" t="e">
        <f>INDEX(Commerce_session1!A6:CX792,MATCH("D",Commerce_session1!A6:A792,0),85)</f>
        <v>#N/A</v>
      </c>
      <c r="K124" s="123" t="e">
        <f>INDEX(Commerce_session1!A6:CX792,MATCH("D",Commerce_session1!A6:A792,0),86)</f>
        <v>#N/A</v>
      </c>
      <c r="L124" s="512" t="e">
        <f>INDEX(Commerce_session1!A6:CX792,MATCH("D",Commerce_session1!A6:A792,0),87)</f>
        <v>#N/A</v>
      </c>
      <c r="M124" s="513"/>
      <c r="N124" s="498" t="e">
        <f>INDEX(Commerce_session1!F100:DA133,MATCH("a",Commerce_session1!F100:F133,0),42)</f>
        <v>#N/A</v>
      </c>
      <c r="O124" s="487" t="e">
        <f>INDEX(Commerce_session1!G100:DA133,MATCH("a",Commerce_session1!G100:G133,0),42)</f>
        <v>#N/A</v>
      </c>
    </row>
    <row r="125" spans="1:15" ht="20.25" customHeight="1" thickTop="1" thickBot="1">
      <c r="A125" s="518"/>
      <c r="B125" s="105" t="s">
        <v>39</v>
      </c>
      <c r="C125" s="104" t="s">
        <v>86</v>
      </c>
      <c r="D125" s="22">
        <v>1</v>
      </c>
      <c r="E125" s="23">
        <v>1</v>
      </c>
      <c r="F125" s="103" t="s">
        <v>73</v>
      </c>
      <c r="G125" s="82">
        <v>1</v>
      </c>
      <c r="H125" s="83">
        <v>1</v>
      </c>
      <c r="I125" s="25" t="e">
        <f>INDEX(Commerce_session1!A6:CX792,MATCH("D",Commerce_session1!A6:A792,0),89)</f>
        <v>#N/A</v>
      </c>
      <c r="J125" s="26" t="e">
        <f>INDEX(Commerce_session1!A6:CX792,MATCH("D",Commerce_session1!A6:A792,0),90)</f>
        <v>#N/A</v>
      </c>
      <c r="K125" s="27" t="e">
        <f>INDEX(Commerce_session1!A6:CX792,MATCH("D",Commerce_session1!A6:A792,0),91)</f>
        <v>#N/A</v>
      </c>
      <c r="L125" s="514" t="e">
        <f>INDEX(Commerce_session1!A6:CX792,MATCH("D",Commerce_session1!A6:A792,0),92)</f>
        <v>#N/A</v>
      </c>
      <c r="M125" s="515" t="e">
        <f>INDEX(Commerce_session1!D95:CZ133,MATCH("a",Commerce_session1!D95:D133,0),61)</f>
        <v>#N/A</v>
      </c>
      <c r="N125" s="498" t="e">
        <f>INDEX(Commerce_session1!F100:DA133,MATCH("a",Commerce_session1!F100:F133,0),42)</f>
        <v>#N/A</v>
      </c>
      <c r="O125" s="487" t="e">
        <f>INDEX(Commerce_session1!G100:DA133,MATCH("a",Commerce_session1!G100:G133,0),42)</f>
        <v>#N/A</v>
      </c>
    </row>
    <row r="126" spans="1:15" ht="20.25">
      <c r="A126" s="535" t="s">
        <v>40</v>
      </c>
      <c r="B126" s="536"/>
      <c r="C126" s="537"/>
      <c r="D126" s="121" t="e">
        <f>INDEX(Commerce_session1!A6:CX792,MATCH("D",Commerce_session1!A6:A792,0),99)</f>
        <v>#N/A</v>
      </c>
      <c r="E126" s="538" t="s">
        <v>41</v>
      </c>
      <c r="F126" s="540"/>
      <c r="G126" s="120" t="e">
        <f>INDEX(Commerce_session1!A6:CX792,MATCH("D",Commerce_session1!A6:A792,0),100)</f>
        <v>#N/A</v>
      </c>
      <c r="H126" s="538" t="s">
        <v>91</v>
      </c>
      <c r="I126" s="539"/>
      <c r="J126" s="539"/>
      <c r="K126" s="540"/>
      <c r="L126" s="541" t="e">
        <f>INDEX(Commerce_session1!A6:CX792,MATCH("D",Commerce_session1!A6:A792,0),101)</f>
        <v>#N/A</v>
      </c>
      <c r="M126" s="542"/>
      <c r="N126" s="8"/>
      <c r="O126" s="8"/>
    </row>
    <row r="127" spans="1:15" ht="22.5">
      <c r="A127" s="546" t="s">
        <v>42</v>
      </c>
      <c r="B127" s="547"/>
      <c r="C127" s="548"/>
      <c r="D127" s="543" t="e">
        <f>INDEX(Commerce_session1!A6:CX792,MATCH("D",Commerce_session1!A6:A792,0),102)</f>
        <v>#N/A</v>
      </c>
      <c r="E127" s="544"/>
      <c r="F127" s="545"/>
      <c r="G127" s="108"/>
      <c r="H127" s="109"/>
      <c r="I127" s="110"/>
      <c r="J127" s="111"/>
      <c r="K127" s="110"/>
      <c r="L127" s="110"/>
      <c r="M127" s="110"/>
      <c r="N127" s="112" t="s">
        <v>43</v>
      </c>
      <c r="O127" s="28">
        <f ca="1">TODAY()</f>
        <v>43626</v>
      </c>
    </row>
    <row r="128" spans="1:15" ht="32.25" customHeight="1">
      <c r="A128" s="113" t="s">
        <v>44</v>
      </c>
      <c r="B128" s="29"/>
      <c r="C128" s="29"/>
      <c r="D128" s="533"/>
      <c r="E128" s="533"/>
      <c r="F128" s="30"/>
      <c r="G128" s="4"/>
      <c r="J128" s="4"/>
      <c r="L128" s="534" t="s">
        <v>46</v>
      </c>
      <c r="M128" s="534"/>
      <c r="N128" s="534"/>
    </row>
    <row r="129" spans="1:18" ht="23.25" customHeight="1" thickBot="1">
      <c r="A129" s="84" t="s">
        <v>12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445" t="s">
        <v>13</v>
      </c>
      <c r="M129" s="445"/>
      <c r="N129" s="445"/>
      <c r="O129" s="445"/>
      <c r="P129" s="2"/>
      <c r="Q129" s="2"/>
      <c r="R129" s="2"/>
    </row>
    <row r="130" spans="1:18" ht="15.75">
      <c r="A130" s="446" t="s">
        <v>14</v>
      </c>
      <c r="B130" s="446"/>
      <c r="C130" s="446"/>
      <c r="D130" s="446"/>
      <c r="E130" s="446"/>
      <c r="F130" s="3"/>
      <c r="H130" s="4"/>
      <c r="K130" s="4"/>
      <c r="L130" s="4"/>
    </row>
    <row r="131" spans="1:18" ht="15.75">
      <c r="A131" s="85" t="s">
        <v>15</v>
      </c>
      <c r="B131" s="85"/>
      <c r="C131" s="85"/>
      <c r="D131" s="85"/>
      <c r="E131" s="85"/>
      <c r="F131" s="5"/>
      <c r="H131" s="4"/>
      <c r="K131" s="4"/>
      <c r="L131" s="4"/>
      <c r="P131" s="6"/>
    </row>
    <row r="132" spans="1:18" ht="15.75">
      <c r="A132" s="85" t="s">
        <v>100</v>
      </c>
      <c r="B132" s="85"/>
      <c r="C132" s="85"/>
      <c r="D132" s="85"/>
      <c r="E132" s="85"/>
      <c r="F132" s="3"/>
      <c r="H132" s="4"/>
      <c r="K132" s="4"/>
      <c r="L132" s="4"/>
    </row>
    <row r="133" spans="1:18" s="8" customFormat="1" ht="27" customHeight="1">
      <c r="A133" s="7"/>
      <c r="B133" s="7"/>
      <c r="C133" s="7"/>
      <c r="D133" s="447" t="s">
        <v>94</v>
      </c>
      <c r="E133" s="447"/>
      <c r="F133" s="447"/>
      <c r="G133" s="447"/>
      <c r="H133" s="447"/>
      <c r="I133" s="447"/>
      <c r="J133" s="447"/>
      <c r="K133" s="447"/>
      <c r="L133" s="447"/>
      <c r="M133" s="7"/>
      <c r="N133" s="7"/>
      <c r="O133" s="7"/>
    </row>
    <row r="134" spans="1:18" ht="23.25" customHeight="1">
      <c r="A134" s="126" t="s">
        <v>101</v>
      </c>
      <c r="B134" s="126"/>
      <c r="C134" s="126"/>
      <c r="D134" s="126"/>
      <c r="E134" s="126"/>
      <c r="F134" s="126"/>
      <c r="G134" s="122"/>
      <c r="H134" s="122"/>
      <c r="I134" s="122" t="e">
        <f>IF(D159="ناجح(ة) دورة1","-الدورة الأولى-","-الدورة الثانية-")</f>
        <v>#N/A</v>
      </c>
      <c r="J134" s="124" t="s">
        <v>48</v>
      </c>
      <c r="K134" s="124"/>
      <c r="L134" s="87"/>
      <c r="M134" s="88"/>
      <c r="N134" s="89"/>
      <c r="O134" s="9"/>
    </row>
    <row r="135" spans="1:18" ht="20.25" customHeight="1">
      <c r="A135" s="476" t="s">
        <v>93</v>
      </c>
      <c r="B135" s="476"/>
      <c r="C135" s="90" t="e">
        <f>INDEX(Commerce_session1!A6:CX792,MATCH("E",Commerce_session1!A6:A792,0),3)</f>
        <v>#N/A</v>
      </c>
      <c r="D135" s="91" t="s">
        <v>92</v>
      </c>
      <c r="E135" s="448" t="e">
        <f>INDEX(Commerce_session1!A6:CX792,MATCH("E",Commerce_session1!A6:A792,0),4)</f>
        <v>#N/A</v>
      </c>
      <c r="F135" s="448" t="e">
        <f>INDEX(Commerce_session1!D132:DA220,MATCH("a",Commerce_session1!D132:D220,0),3)</f>
        <v>#N/A</v>
      </c>
      <c r="G135" s="477" t="s">
        <v>16</v>
      </c>
      <c r="H135" s="477"/>
      <c r="I135" s="477"/>
      <c r="J135" s="478" t="e">
        <f>INDEX(Commerce_session1!A6:CX792,MATCH("E",Commerce_session1!A6:A792,0),6)</f>
        <v>#N/A</v>
      </c>
      <c r="K135" s="478"/>
      <c r="L135" s="88"/>
      <c r="M135" s="92" t="s">
        <v>17</v>
      </c>
      <c r="N135" s="90" t="e">
        <f>INDEX(Commerce_session1!A6:CX792,MATCH("E",Commerce_session1!A6:A792,0),7)</f>
        <v>#N/A</v>
      </c>
      <c r="O135" s="10"/>
    </row>
    <row r="136" spans="1:18" ht="20.25" customHeight="1">
      <c r="A136" s="476" t="s">
        <v>18</v>
      </c>
      <c r="B136" s="476"/>
      <c r="C136" s="448" t="e">
        <f>INDEX(Commerce_session1!A6:CX792,MATCH("E",Commerce_session1!A6:A792,0),5)</f>
        <v>#N/A</v>
      </c>
      <c r="D136" s="448"/>
      <c r="E136" s="91"/>
      <c r="F136" s="88"/>
      <c r="G136" s="93"/>
      <c r="H136" s="88"/>
      <c r="I136" s="88"/>
      <c r="J136" s="93"/>
      <c r="K136" s="88"/>
      <c r="L136" s="88"/>
      <c r="M136" s="88"/>
      <c r="N136" s="88"/>
      <c r="O136" s="10"/>
    </row>
    <row r="137" spans="1:18" ht="20.25" customHeight="1">
      <c r="A137" s="476" t="s">
        <v>102</v>
      </c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</row>
    <row r="138" spans="1:18" ht="20.25" customHeight="1" thickBot="1">
      <c r="A138" s="459" t="s">
        <v>19</v>
      </c>
      <c r="B138" s="459"/>
      <c r="C138" s="459"/>
      <c r="D138" s="459"/>
      <c r="E138" s="459"/>
      <c r="F138" s="459"/>
      <c r="G138" s="459"/>
      <c r="H138" s="94"/>
      <c r="I138" s="94"/>
      <c r="J138" s="95"/>
      <c r="K138" s="94"/>
      <c r="L138" s="94"/>
      <c r="M138" s="94"/>
      <c r="N138" s="94"/>
      <c r="O138" s="11"/>
    </row>
    <row r="139" spans="1:18" ht="18.75" thickBot="1">
      <c r="A139" s="460" t="s">
        <v>20</v>
      </c>
      <c r="B139" s="463" t="s">
        <v>21</v>
      </c>
      <c r="C139" s="464"/>
      <c r="D139" s="464"/>
      <c r="E139" s="464"/>
      <c r="F139" s="464" t="s">
        <v>22</v>
      </c>
      <c r="G139" s="464"/>
      <c r="H139" s="464"/>
      <c r="I139" s="465" t="s">
        <v>23</v>
      </c>
      <c r="J139" s="466"/>
      <c r="K139" s="466"/>
      <c r="L139" s="466"/>
      <c r="M139" s="466"/>
      <c r="N139" s="466"/>
      <c r="O139" s="467"/>
    </row>
    <row r="140" spans="1:18">
      <c r="A140" s="461"/>
      <c r="B140" s="468" t="s">
        <v>24</v>
      </c>
      <c r="C140" s="470" t="s">
        <v>25</v>
      </c>
      <c r="D140" s="472" t="s">
        <v>26</v>
      </c>
      <c r="E140" s="474" t="s">
        <v>27</v>
      </c>
      <c r="F140" s="479" t="s">
        <v>28</v>
      </c>
      <c r="G140" s="468" t="s">
        <v>11</v>
      </c>
      <c r="H140" s="481" t="s">
        <v>27</v>
      </c>
      <c r="I140" s="482" t="s">
        <v>29</v>
      </c>
      <c r="J140" s="483"/>
      <c r="K140" s="484" t="s">
        <v>30</v>
      </c>
      <c r="L140" s="485"/>
      <c r="M140" s="486"/>
      <c r="N140" s="455" t="s">
        <v>20</v>
      </c>
      <c r="O140" s="456"/>
    </row>
    <row r="141" spans="1:18" ht="15.75" thickBot="1">
      <c r="A141" s="462"/>
      <c r="B141" s="469"/>
      <c r="C141" s="471"/>
      <c r="D141" s="473"/>
      <c r="E141" s="475"/>
      <c r="F141" s="480"/>
      <c r="G141" s="469"/>
      <c r="H141" s="473"/>
      <c r="I141" s="106" t="s">
        <v>10</v>
      </c>
      <c r="J141" s="106" t="s">
        <v>31</v>
      </c>
      <c r="K141" s="106" t="s">
        <v>32</v>
      </c>
      <c r="L141" s="457" t="s">
        <v>33</v>
      </c>
      <c r="M141" s="458"/>
      <c r="N141" s="106" t="s">
        <v>34</v>
      </c>
      <c r="O141" s="107" t="s">
        <v>35</v>
      </c>
    </row>
    <row r="142" spans="1:18" ht="18.75" customHeight="1" thickBot="1">
      <c r="A142" s="549" t="s">
        <v>76</v>
      </c>
      <c r="B142" s="552" t="s">
        <v>36</v>
      </c>
      <c r="C142" s="555" t="s">
        <v>90</v>
      </c>
      <c r="D142" s="556">
        <v>17</v>
      </c>
      <c r="E142" s="449">
        <v>6</v>
      </c>
      <c r="F142" s="96" t="s">
        <v>54</v>
      </c>
      <c r="G142" s="70">
        <v>5</v>
      </c>
      <c r="H142" s="71">
        <v>2</v>
      </c>
      <c r="I142" s="12" t="e">
        <f>INDEX(Commerce_session1!A6:CX792,MATCH("E",Commerce_session1!A6:A792,0),16)</f>
        <v>#N/A</v>
      </c>
      <c r="J142" s="13" t="e">
        <f>INDEX(Commerce_session1!A6:CX792,MATCH("E",Commerce_session1!A6:A792,0),17)</f>
        <v>#N/A</v>
      </c>
      <c r="K142" s="452" t="e">
        <f>INDEX(Commerce_session1!A6:CX792,MATCH("E",Commerce_session1!A6:A792,0),26)</f>
        <v>#N/A</v>
      </c>
      <c r="L142" s="494" t="e">
        <f>INDEX(Commerce_session1!A6:CX792,MATCH("E",Commerce_session1!A6:A792,0),27)</f>
        <v>#N/A</v>
      </c>
      <c r="M142" s="495" t="e">
        <f>INDEX(Commerce_session1!D132:CZ175,MATCH("a",Commerce_session1!D132:D175,0),15)</f>
        <v>#N/A</v>
      </c>
      <c r="N142" s="498" t="e">
        <f>INDEX(Commerce_session1!A6:CX792,MATCH("E",Commerce_session1!A6:A792,0),95)</f>
        <v>#N/A</v>
      </c>
      <c r="O142" s="487" t="e">
        <f>INDEX(Commerce_session1!A6:CX792,MATCH("E",Commerce_session1!A6:A792,0),96)</f>
        <v>#N/A</v>
      </c>
    </row>
    <row r="143" spans="1:18" ht="18.75" customHeight="1" thickBot="1">
      <c r="A143" s="550"/>
      <c r="B143" s="553"/>
      <c r="C143" s="503"/>
      <c r="D143" s="557"/>
      <c r="E143" s="450"/>
      <c r="F143" s="97" t="s">
        <v>55</v>
      </c>
      <c r="G143" s="72">
        <v>6</v>
      </c>
      <c r="H143" s="73">
        <v>2</v>
      </c>
      <c r="I143" s="14" t="e">
        <f>INDEX(Commerce_session1!A6:CX792,MATCH("E",Commerce_session1!A6:A792,0),20)</f>
        <v>#N/A</v>
      </c>
      <c r="J143" s="15" t="e">
        <f>INDEX(Commerce_session1!A6:CX792,MATCH("E",Commerce_session1!A6:A792,0),21)</f>
        <v>#N/A</v>
      </c>
      <c r="K143" s="453" t="e">
        <f>INDEX(Commerce_session1!B132:CY175,MATCH("a",Commerce_session1!B132:B175,0),14)</f>
        <v>#N/A</v>
      </c>
      <c r="L143" s="496" t="e">
        <f>INDEX(Commerce_session1!D132:CZ175,MATCH("a",Commerce_session1!D132:D175,0),14)</f>
        <v>#N/A</v>
      </c>
      <c r="M143" s="497" t="e">
        <f>INDEX(Commerce_session1!E132:DA175,MATCH("a",Commerce_session1!E132:E175,0),14)</f>
        <v>#N/A</v>
      </c>
      <c r="N143" s="498" t="e">
        <f>INDEX(Commerce_session1!#REF!,MATCH("a",Commerce_session1!#REF!,0),62)</f>
        <v>#REF!</v>
      </c>
      <c r="O143" s="487" t="e">
        <f>INDEX(Commerce_session1!#REF!,MATCH("a",Commerce_session1!#REF!,0),62)</f>
        <v>#REF!</v>
      </c>
    </row>
    <row r="144" spans="1:18" ht="18.75" customHeight="1" thickBot="1">
      <c r="A144" s="550"/>
      <c r="B144" s="554"/>
      <c r="C144" s="504"/>
      <c r="D144" s="558"/>
      <c r="E144" s="451"/>
      <c r="F144" s="98" t="s">
        <v>56</v>
      </c>
      <c r="G144" s="74">
        <v>6</v>
      </c>
      <c r="H144" s="75">
        <v>2</v>
      </c>
      <c r="I144" s="16" t="e">
        <f>INDEX(Commerce_session1!A6:CX792,MATCH("E",Commerce_session1!A6:A792,0),24)</f>
        <v>#N/A</v>
      </c>
      <c r="J144" s="17" t="e">
        <f>INDEX(Commerce_session1!A6:CX792,MATCH("E",Commerce_session1!A6:A792,0),25)</f>
        <v>#N/A</v>
      </c>
      <c r="K144" s="454" t="e">
        <f>INDEX(Commerce_session1!B132:CY175,MATCH("a",Commerce_session1!B132:B175,0),14)</f>
        <v>#N/A</v>
      </c>
      <c r="L144" s="490" t="e">
        <f>INDEX(Commerce_session1!D132:CZ175,MATCH("a",Commerce_session1!D132:D175,0),14)</f>
        <v>#N/A</v>
      </c>
      <c r="M144" s="491" t="e">
        <f>INDEX(Commerce_session1!E132:DA175,MATCH("a",Commerce_session1!E132:E175,0),14)</f>
        <v>#N/A</v>
      </c>
      <c r="N144" s="498" t="e">
        <f>INDEX(Commerce_session1!#REF!,MATCH("a",Commerce_session1!#REF!,0),62)</f>
        <v>#REF!</v>
      </c>
      <c r="O144" s="487" t="e">
        <f>INDEX(Commerce_session1!#REF!,MATCH("a",Commerce_session1!#REF!,0),62)</f>
        <v>#REF!</v>
      </c>
    </row>
    <row r="145" spans="1:15" ht="19.5" customHeight="1" thickTop="1" thickBot="1">
      <c r="A145" s="550"/>
      <c r="B145" s="499" t="s">
        <v>37</v>
      </c>
      <c r="C145" s="502" t="s">
        <v>89</v>
      </c>
      <c r="D145" s="505">
        <v>7</v>
      </c>
      <c r="E145" s="508">
        <v>5</v>
      </c>
      <c r="F145" s="99" t="s">
        <v>83</v>
      </c>
      <c r="G145" s="76">
        <v>1</v>
      </c>
      <c r="H145" s="77">
        <v>1</v>
      </c>
      <c r="I145" s="18" t="e">
        <f>INDEX(Commerce_session1!A6:CX792,MATCH("E",Commerce_session1!A6:A792,0),29)</f>
        <v>#N/A</v>
      </c>
      <c r="J145" s="19" t="e">
        <f>INDEX(Commerce_session1!A6:CX792,MATCH("E",Commerce_session1!A6:A792,0),30)</f>
        <v>#N/A</v>
      </c>
      <c r="K145" s="509" t="e">
        <f>INDEX(Commerce_session1!A6:CX792,MATCH("E",Commerce_session1!A6:A792,0),39)</f>
        <v>#N/A</v>
      </c>
      <c r="L145" s="488" t="e">
        <f>INDEX(Commerce_session1!A6:CX792,MATCH("E",Commerce_session1!A6:A792,0),40)</f>
        <v>#N/A</v>
      </c>
      <c r="M145" s="489" t="e">
        <f>INDEX(Commerce_session1!D132:CZ175,MATCH("a",Commerce_session1!D132:D175,0),23)</f>
        <v>#N/A</v>
      </c>
      <c r="N145" s="498" t="e">
        <f>INDEX(Commerce_session1!#REF!,MATCH("a",Commerce_session1!#REF!,0),62)</f>
        <v>#REF!</v>
      </c>
      <c r="O145" s="487" t="e">
        <f>INDEX(Commerce_session1!#REF!,MATCH("a",Commerce_session1!#REF!,0),62)</f>
        <v>#REF!</v>
      </c>
    </row>
    <row r="146" spans="1:15" ht="18.75" customHeight="1" thickTop="1" thickBot="1">
      <c r="A146" s="550"/>
      <c r="B146" s="500"/>
      <c r="C146" s="503"/>
      <c r="D146" s="506"/>
      <c r="E146" s="450"/>
      <c r="F146" s="100" t="s">
        <v>99</v>
      </c>
      <c r="G146" s="78">
        <v>3</v>
      </c>
      <c r="H146" s="79">
        <v>2</v>
      </c>
      <c r="I146" s="18" t="e">
        <f>INDEX(Commerce_session1!A6:CX792,MATCH("E",Commerce_session1!A6:A792,0),33)</f>
        <v>#N/A</v>
      </c>
      <c r="J146" s="15" t="e">
        <f>INDEX(Commerce_session1!A6:CX792,MATCH("E",Commerce_session1!A6:A792,0),34)</f>
        <v>#N/A</v>
      </c>
      <c r="K146" s="510" t="e">
        <f>INDEX(Commerce_session1!B132:CY175,MATCH("a",Commerce_session1!B132:B175,0),22)</f>
        <v>#N/A</v>
      </c>
      <c r="L146" s="496" t="e">
        <f>INDEX(Commerce_session1!D132:CZ175,MATCH("a",Commerce_session1!D132:D175,0),22)</f>
        <v>#N/A</v>
      </c>
      <c r="M146" s="497" t="e">
        <f>INDEX(Commerce_session1!E132:DA175,MATCH("a",Commerce_session1!E132:E175,0),22)</f>
        <v>#N/A</v>
      </c>
      <c r="N146" s="498" t="e">
        <f>INDEX(Commerce_session1!#REF!,MATCH("a",Commerce_session1!#REF!,0),62)</f>
        <v>#REF!</v>
      </c>
      <c r="O146" s="487" t="e">
        <f>INDEX(Commerce_session1!#REF!,MATCH("a",Commerce_session1!#REF!,0),62)</f>
        <v>#REF!</v>
      </c>
    </row>
    <row r="147" spans="1:15" ht="18.75" customHeight="1" thickBot="1">
      <c r="A147" s="550"/>
      <c r="B147" s="501"/>
      <c r="C147" s="504"/>
      <c r="D147" s="507"/>
      <c r="E147" s="451"/>
      <c r="F147" s="101" t="s">
        <v>84</v>
      </c>
      <c r="G147" s="80">
        <v>3</v>
      </c>
      <c r="H147" s="81">
        <v>2</v>
      </c>
      <c r="I147" s="20" t="e">
        <f>INDEX(Commerce_session1!A6:CX792,MATCH("E",Commerce_session1!A6:A792,0),37)</f>
        <v>#N/A</v>
      </c>
      <c r="J147" s="17" t="e">
        <f>INDEX(Commerce_session1!A6:CX792,MATCH("E",Commerce_session1!A6:A792,0),38)</f>
        <v>#N/A</v>
      </c>
      <c r="K147" s="511" t="e">
        <f>INDEX(Commerce_session1!B132:CY175,MATCH("a",Commerce_session1!B132:B175,0),22)</f>
        <v>#N/A</v>
      </c>
      <c r="L147" s="490" t="e">
        <f>INDEX(Commerce_session1!D132:CZ175,MATCH("a",Commerce_session1!D132:D175,0),22)</f>
        <v>#N/A</v>
      </c>
      <c r="M147" s="491" t="e">
        <f>INDEX(Commerce_session1!E132:DA175,MATCH("a",Commerce_session1!E132:E175,0),22)</f>
        <v>#N/A</v>
      </c>
      <c r="N147" s="498" t="e">
        <f>INDEX(Commerce_session1!#REF!,MATCH("a",Commerce_session1!#REF!,0),62)</f>
        <v>#REF!</v>
      </c>
      <c r="O147" s="487" t="e">
        <f>INDEX(Commerce_session1!#REF!,MATCH("a",Commerce_session1!#REF!,0),62)</f>
        <v>#REF!</v>
      </c>
    </row>
    <row r="148" spans="1:15" ht="33.75" customHeight="1" thickTop="1" thickBot="1">
      <c r="A148" s="550"/>
      <c r="B148" s="531" t="s">
        <v>38</v>
      </c>
      <c r="C148" s="559" t="s">
        <v>50</v>
      </c>
      <c r="D148" s="520">
        <v>5</v>
      </c>
      <c r="E148" s="508">
        <v>2</v>
      </c>
      <c r="F148" s="102" t="s">
        <v>63</v>
      </c>
      <c r="G148" s="68">
        <v>4</v>
      </c>
      <c r="H148" s="69">
        <v>1</v>
      </c>
      <c r="I148" s="18" t="e">
        <f>INDEX(Commerce_session1!A6:CX792,MATCH("E",Commerce_session1!A6:A792,0),43)</f>
        <v>#N/A</v>
      </c>
      <c r="J148" s="19" t="e">
        <f>INDEX(Commerce_session1!A6:CX792,MATCH("E",Commerce_session1!A6:A792,0),44)</f>
        <v>#N/A</v>
      </c>
      <c r="K148" s="509" t="e">
        <f>INDEX(Commerce_session1!A6:CX792,MATCH("E",Commerce_session1!A6:A792,0),48)</f>
        <v>#N/A</v>
      </c>
      <c r="L148" s="488" t="e">
        <f>INDEX(Commerce_session1!A6:CX792,MATCH("E",Commerce_session1!A6:A792,0),49)</f>
        <v>#N/A</v>
      </c>
      <c r="M148" s="489" t="e">
        <f>INDEX(Commerce_session1!D132:CZ175,MATCH("a",Commerce_session1!D132:D175,0),29)</f>
        <v>#N/A</v>
      </c>
      <c r="N148" s="498" t="e">
        <f>INDEX(Commerce_session1!#REF!,MATCH("a",Commerce_session1!#REF!,0),62)</f>
        <v>#REF!</v>
      </c>
      <c r="O148" s="487" t="e">
        <f>INDEX(Commerce_session1!#REF!,MATCH("a",Commerce_session1!#REF!,0),62)</f>
        <v>#REF!</v>
      </c>
    </row>
    <row r="149" spans="1:15" ht="18.75" customHeight="1" thickBot="1">
      <c r="A149" s="550"/>
      <c r="B149" s="527"/>
      <c r="C149" s="524"/>
      <c r="D149" s="521"/>
      <c r="E149" s="451"/>
      <c r="F149" s="101" t="s">
        <v>62</v>
      </c>
      <c r="G149" s="80">
        <v>1</v>
      </c>
      <c r="H149" s="81">
        <v>1</v>
      </c>
      <c r="I149" s="16" t="e">
        <f>INDEX(Commerce_session1!A6:CX792,MATCH("E",Commerce_session1!A6:A792,0),46)</f>
        <v>#N/A</v>
      </c>
      <c r="J149" s="21" t="e">
        <f>INDEX(Commerce_session1!A6:CX792,MATCH("E",Commerce_session1!A6:A792,0),47)</f>
        <v>#N/A</v>
      </c>
      <c r="K149" s="511" t="e">
        <f>INDEX(Commerce_session1!B132:CY175,MATCH("a",Commerce_session1!B132:B175,0),28)</f>
        <v>#N/A</v>
      </c>
      <c r="L149" s="490" t="e">
        <f>INDEX(Commerce_session1!D132:CZ175,MATCH("a",Commerce_session1!D132:D175,0),28)</f>
        <v>#N/A</v>
      </c>
      <c r="M149" s="491" t="e">
        <f>INDEX(Commerce_session1!E132:DA175,MATCH("a",Commerce_session1!E132:E175,0),28)</f>
        <v>#N/A</v>
      </c>
      <c r="N149" s="498" t="e">
        <f>INDEX(Commerce_session1!#REF!,MATCH("a",Commerce_session1!#REF!,0),62)</f>
        <v>#REF!</v>
      </c>
      <c r="O149" s="487" t="e">
        <f>INDEX(Commerce_session1!#REF!,MATCH("a",Commerce_session1!#REF!,0),62)</f>
        <v>#REF!</v>
      </c>
    </row>
    <row r="150" spans="1:15" ht="20.25" customHeight="1" thickTop="1" thickBot="1">
      <c r="A150" s="551"/>
      <c r="B150" s="105" t="s">
        <v>39</v>
      </c>
      <c r="C150" s="104" t="s">
        <v>51</v>
      </c>
      <c r="D150" s="22">
        <v>1</v>
      </c>
      <c r="E150" s="23">
        <v>1</v>
      </c>
      <c r="F150" s="103" t="s">
        <v>64</v>
      </c>
      <c r="G150" s="82">
        <v>1</v>
      </c>
      <c r="H150" s="83">
        <v>1</v>
      </c>
      <c r="I150" s="20" t="e">
        <f>INDEX(Commerce_session1!A6:CX792,MATCH("E",Commerce_session1!A6:A792,0),52)</f>
        <v>#N/A</v>
      </c>
      <c r="J150" s="24" t="e">
        <f>INDEX(Commerce_session1!A6:CX792,MATCH("E",Commerce_session1!A6:A792,0),53)</f>
        <v>#N/A</v>
      </c>
      <c r="K150" s="36" t="e">
        <f>INDEX(Commerce_session1!A6:CX792,MATCH("E",Commerce_session1!A6:A792,0),54)</f>
        <v>#N/A</v>
      </c>
      <c r="L150" s="492" t="e">
        <f>INDEX(Commerce_session1!A6:CX792,MATCH("E",Commerce_session1!A6:A792,0),55)</f>
        <v>#N/A</v>
      </c>
      <c r="M150" s="493" t="e">
        <f>INDEX(Commerce_session1!D132:CZ175,MATCH("a",Commerce_session1!D132:D175,0),33)</f>
        <v>#N/A</v>
      </c>
      <c r="N150" s="498" t="e">
        <f>INDEX(Commerce_session1!#REF!,MATCH("a",Commerce_session1!#REF!,0),62)</f>
        <v>#REF!</v>
      </c>
      <c r="O150" s="487" t="e">
        <f>INDEX(Commerce_session1!#REF!,MATCH("a",Commerce_session1!#REF!,0),62)</f>
        <v>#REF!</v>
      </c>
    </row>
    <row r="151" spans="1:15" ht="19.5" customHeight="1" thickTop="1" thickBot="1">
      <c r="A151" s="516" t="s">
        <v>77</v>
      </c>
      <c r="B151" s="525" t="s">
        <v>36</v>
      </c>
      <c r="C151" s="522" t="s">
        <v>88</v>
      </c>
      <c r="D151" s="528">
        <v>16</v>
      </c>
      <c r="E151" s="449">
        <v>5</v>
      </c>
      <c r="F151" s="96" t="s">
        <v>67</v>
      </c>
      <c r="G151" s="114">
        <v>6</v>
      </c>
      <c r="H151" s="115">
        <v>2</v>
      </c>
      <c r="I151" s="18" t="e">
        <f>INDEX(Commerce_session1!A6:CX792,MATCH("E",Commerce_session1!A6:A792,0),60)</f>
        <v>#N/A</v>
      </c>
      <c r="J151" s="19" t="e">
        <f>INDEX(Commerce_session1!A6:CX792,MATCH("E",Commerce_session1!A6:A792,0),61)</f>
        <v>#N/A</v>
      </c>
      <c r="K151" s="519" t="e">
        <f>INDEX(Commerce_session1!A6:CX792,MATCH("E",Commerce_session1!A6:A792,0),70)</f>
        <v>#N/A</v>
      </c>
      <c r="L151" s="494" t="e">
        <f>INDEX(Commerce_session1!A6:CX792,MATCH("E",Commerce_session1!A6:A792,0),71)</f>
        <v>#N/A</v>
      </c>
      <c r="M151" s="495"/>
      <c r="N151" s="498" t="e">
        <f>INDEX(Commerce_session1!A6:CX792,MATCH("E",Commerce_session1!A6:A792,0),97)</f>
        <v>#N/A</v>
      </c>
      <c r="O151" s="487" t="e">
        <f>INDEX(Commerce_session1!A6:CX792,MATCH("E",Commerce_session1!A6:A792,0),98)</f>
        <v>#N/A</v>
      </c>
    </row>
    <row r="152" spans="1:15" ht="18.75" customHeight="1" thickBot="1">
      <c r="A152" s="517"/>
      <c r="B152" s="526"/>
      <c r="C152" s="523"/>
      <c r="D152" s="529"/>
      <c r="E152" s="450"/>
      <c r="F152" s="100" t="s">
        <v>68</v>
      </c>
      <c r="G152" s="116">
        <v>6</v>
      </c>
      <c r="H152" s="117">
        <v>2</v>
      </c>
      <c r="I152" s="14" t="e">
        <f>INDEX(Commerce_session1!A6:CX792,MATCH("E",Commerce_session1!A6:A792,0),64)</f>
        <v>#N/A</v>
      </c>
      <c r="J152" s="15" t="e">
        <f>INDEX(Commerce_session1!A6:CX792,MATCH("E",Commerce_session1!A6:A792,0),65)</f>
        <v>#N/A</v>
      </c>
      <c r="K152" s="510"/>
      <c r="L152" s="496"/>
      <c r="M152" s="497"/>
      <c r="N152" s="498" t="e">
        <f>INDEX(Commerce_session1!F132:DA175,MATCH("a",Commerce_session1!F132:F175,0),42)</f>
        <v>#N/A</v>
      </c>
      <c r="O152" s="487" t="e">
        <f>INDEX(Commerce_session1!G132:DA175,MATCH("a",Commerce_session1!G132:G175,0),42)</f>
        <v>#N/A</v>
      </c>
    </row>
    <row r="153" spans="1:15" ht="20.25" customHeight="1" thickBot="1">
      <c r="A153" s="517"/>
      <c r="B153" s="527"/>
      <c r="C153" s="524"/>
      <c r="D153" s="530"/>
      <c r="E153" s="451"/>
      <c r="F153" s="101" t="s">
        <v>103</v>
      </c>
      <c r="G153" s="118">
        <v>4</v>
      </c>
      <c r="H153" s="119">
        <v>1</v>
      </c>
      <c r="I153" s="127" t="e">
        <f>INDEX(Commerce_session1!A6:CX792,MATCH("E",Commerce_session1!A6:A792,0),68)</f>
        <v>#N/A</v>
      </c>
      <c r="J153" s="21" t="e">
        <f>INDEX(Commerce_session1!A6:CX792,MATCH("E",Commerce_session1!A6:A792,0),69)</f>
        <v>#N/A</v>
      </c>
      <c r="K153" s="511"/>
      <c r="L153" s="490"/>
      <c r="M153" s="491"/>
      <c r="N153" s="498" t="e">
        <f>INDEX(Commerce_session1!F132:DA175,MATCH("a",Commerce_session1!F132:F175,0),42)</f>
        <v>#N/A</v>
      </c>
      <c r="O153" s="487" t="e">
        <f>INDEX(Commerce_session1!G132:DA175,MATCH("a",Commerce_session1!G132:G175,0),42)</f>
        <v>#N/A</v>
      </c>
    </row>
    <row r="154" spans="1:15" ht="22.5" customHeight="1" thickTop="1" thickBot="1">
      <c r="A154" s="517"/>
      <c r="B154" s="531" t="s">
        <v>37</v>
      </c>
      <c r="C154" s="559" t="s">
        <v>87</v>
      </c>
      <c r="D154" s="532">
        <v>10</v>
      </c>
      <c r="E154" s="508">
        <v>4</v>
      </c>
      <c r="F154" s="128" t="s">
        <v>104</v>
      </c>
      <c r="G154" s="76">
        <v>5</v>
      </c>
      <c r="H154" s="77">
        <v>2</v>
      </c>
      <c r="I154" s="18" t="e">
        <f>INDEX(Commerce_session1!A6:CX792,MATCH("E",Commerce_session1!A6:A792,0),74)</f>
        <v>#N/A</v>
      </c>
      <c r="J154" s="19" t="e">
        <f>INDEX(Commerce_session1!A6:CX792,MATCH("E",Commerce_session1!A6:A792,0),75)</f>
        <v>#N/A</v>
      </c>
      <c r="K154" s="509" t="e">
        <f>INDEX(Commerce_session1!A6:CX792,MATCH("E",Commerce_session1!A6:A792,0),80)</f>
        <v>#N/A</v>
      </c>
      <c r="L154" s="488" t="e">
        <f>INDEX(Commerce_session1!A6:CX792,MATCH("E",Commerce_session1!A6:A792,0),81)</f>
        <v>#N/A</v>
      </c>
      <c r="M154" s="489"/>
      <c r="N154" s="498" t="e">
        <f>INDEX(Commerce_session1!E132:DA175,MATCH("a",Commerce_session1!E132:E175,0),43)</f>
        <v>#N/A</v>
      </c>
      <c r="O154" s="487" t="e">
        <f>INDEX(Commerce_session1!F132:DA175,MATCH("a",Commerce_session1!F132:F175,0),43)</f>
        <v>#N/A</v>
      </c>
    </row>
    <row r="155" spans="1:15" ht="18.75" customHeight="1" thickBot="1">
      <c r="A155" s="517"/>
      <c r="B155" s="527"/>
      <c r="C155" s="524"/>
      <c r="D155" s="530"/>
      <c r="E155" s="451"/>
      <c r="F155" s="98" t="s">
        <v>69</v>
      </c>
      <c r="G155" s="74">
        <v>5</v>
      </c>
      <c r="H155" s="75">
        <v>2</v>
      </c>
      <c r="I155" s="20" t="e">
        <f>INDEX(Commerce_session1!A6:CX792,MATCH("E",Commerce_session1!A6:A792,0),78)</f>
        <v>#N/A</v>
      </c>
      <c r="J155" s="17" t="e">
        <f>INDEX(Commerce_session1!A6:CX792,MATCH("E",Commerce_session1!A6:A792,0),79)</f>
        <v>#N/A</v>
      </c>
      <c r="K155" s="511"/>
      <c r="L155" s="490"/>
      <c r="M155" s="491"/>
      <c r="N155" s="498" t="e">
        <f>INDEX(Commerce_session1!F132:DA175,MATCH("a",Commerce_session1!F132:F175,0),42)</f>
        <v>#N/A</v>
      </c>
      <c r="O155" s="487" t="e">
        <f>INDEX(Commerce_session1!G132:DA175,MATCH("a",Commerce_session1!G132:G175,0),42)</f>
        <v>#N/A</v>
      </c>
    </row>
    <row r="156" spans="1:15" ht="18.75" customHeight="1" thickTop="1" thickBot="1">
      <c r="A156" s="517"/>
      <c r="B156" s="105" t="s">
        <v>38</v>
      </c>
      <c r="C156" s="104" t="s">
        <v>85</v>
      </c>
      <c r="D156" s="22">
        <v>3</v>
      </c>
      <c r="E156" s="23">
        <v>2</v>
      </c>
      <c r="F156" s="101" t="s">
        <v>74</v>
      </c>
      <c r="G156" s="74">
        <v>3</v>
      </c>
      <c r="H156" s="75">
        <v>2</v>
      </c>
      <c r="I156" s="20" t="e">
        <f>INDEX(Commerce_session1!A6:CX792,MATCH("E",Commerce_session1!A6:A792,0),84)</f>
        <v>#N/A</v>
      </c>
      <c r="J156" s="17" t="e">
        <f>INDEX(Commerce_session1!A6:CX792,MATCH("E",Commerce_session1!A6:A792,0),85)</f>
        <v>#N/A</v>
      </c>
      <c r="K156" s="123" t="e">
        <f>INDEX(Commerce_session1!A6:CX792,MATCH("E",Commerce_session1!A6:A792,0),86)</f>
        <v>#N/A</v>
      </c>
      <c r="L156" s="512" t="e">
        <f>INDEX(Commerce_session1!A6:CX792,MATCH("E",Commerce_session1!A6:A792,0),87)</f>
        <v>#N/A</v>
      </c>
      <c r="M156" s="513"/>
      <c r="N156" s="498" t="e">
        <f>INDEX(Commerce_session1!F132:DA175,MATCH("a",Commerce_session1!F132:F175,0),42)</f>
        <v>#N/A</v>
      </c>
      <c r="O156" s="487" t="e">
        <f>INDEX(Commerce_session1!G132:DA175,MATCH("a",Commerce_session1!G132:G175,0),42)</f>
        <v>#N/A</v>
      </c>
    </row>
    <row r="157" spans="1:15" ht="20.25" customHeight="1" thickTop="1" thickBot="1">
      <c r="A157" s="518"/>
      <c r="B157" s="105" t="s">
        <v>39</v>
      </c>
      <c r="C157" s="104" t="s">
        <v>86</v>
      </c>
      <c r="D157" s="22">
        <v>1</v>
      </c>
      <c r="E157" s="23">
        <v>1</v>
      </c>
      <c r="F157" s="103" t="s">
        <v>73</v>
      </c>
      <c r="G157" s="82">
        <v>1</v>
      </c>
      <c r="H157" s="83">
        <v>1</v>
      </c>
      <c r="I157" s="25" t="e">
        <f>INDEX(Commerce_session1!A6:CX792,MATCH("E",Commerce_session1!A6:A792,0),89)</f>
        <v>#N/A</v>
      </c>
      <c r="J157" s="26" t="e">
        <f>INDEX(Commerce_session1!A6:CX792,MATCH("E",Commerce_session1!A6:A792,0),90)</f>
        <v>#N/A</v>
      </c>
      <c r="K157" s="27" t="e">
        <f>INDEX(Commerce_session1!A6:CX792,MATCH("E",Commerce_session1!A6:A792,0),91)</f>
        <v>#N/A</v>
      </c>
      <c r="L157" s="514" t="e">
        <f>INDEX(Commerce_session1!A6:CX792,MATCH("E",Commerce_session1!A6:A792,0),92)</f>
        <v>#N/A</v>
      </c>
      <c r="M157" s="515" t="e">
        <f>INDEX(Commerce_session1!D132:CZ175,MATCH("a",Commerce_session1!D132:D175,0),61)</f>
        <v>#N/A</v>
      </c>
      <c r="N157" s="498" t="e">
        <f>INDEX(Commerce_session1!F132:DA175,MATCH("a",Commerce_session1!F132:F175,0),42)</f>
        <v>#N/A</v>
      </c>
      <c r="O157" s="487" t="e">
        <f>INDEX(Commerce_session1!G132:DA175,MATCH("a",Commerce_session1!G132:G175,0),42)</f>
        <v>#N/A</v>
      </c>
    </row>
    <row r="158" spans="1:15" ht="20.25">
      <c r="A158" s="535" t="s">
        <v>40</v>
      </c>
      <c r="B158" s="536"/>
      <c r="C158" s="537"/>
      <c r="D158" s="121" t="e">
        <f>INDEX(Commerce_session1!A6:CX792,MATCH("E",Commerce_session1!A6:A792,0),99)</f>
        <v>#N/A</v>
      </c>
      <c r="E158" s="538" t="s">
        <v>41</v>
      </c>
      <c r="F158" s="540"/>
      <c r="G158" s="120" t="e">
        <f>INDEX(Commerce_session1!A6:CX792,MATCH("E",Commerce_session1!A6:A792,0),100)</f>
        <v>#N/A</v>
      </c>
      <c r="H158" s="538" t="s">
        <v>91</v>
      </c>
      <c r="I158" s="539"/>
      <c r="J158" s="539"/>
      <c r="K158" s="540"/>
      <c r="L158" s="541" t="e">
        <f>INDEX(Commerce_session1!A6:CX792,MATCH("E",Commerce_session1!A6:A792,0),101)</f>
        <v>#N/A</v>
      </c>
      <c r="M158" s="542"/>
      <c r="N158" s="8"/>
      <c r="O158" s="8"/>
    </row>
    <row r="159" spans="1:15" ht="22.5">
      <c r="A159" s="546" t="s">
        <v>42</v>
      </c>
      <c r="B159" s="547"/>
      <c r="C159" s="548"/>
      <c r="D159" s="543" t="e">
        <f>INDEX(Commerce_session1!A6:CX792,MATCH("E",Commerce_session1!A6:A792,0),102)</f>
        <v>#N/A</v>
      </c>
      <c r="E159" s="544"/>
      <c r="F159" s="545"/>
      <c r="G159" s="108"/>
      <c r="H159" s="109"/>
      <c r="I159" s="110"/>
      <c r="J159" s="111"/>
      <c r="K159" s="110"/>
      <c r="L159" s="110"/>
      <c r="M159" s="110"/>
      <c r="N159" s="112" t="s">
        <v>43</v>
      </c>
      <c r="O159" s="28">
        <f ca="1">TODAY()</f>
        <v>43626</v>
      </c>
    </row>
    <row r="160" spans="1:15" ht="32.25" customHeight="1">
      <c r="A160" s="113" t="s">
        <v>44</v>
      </c>
      <c r="B160" s="29"/>
      <c r="C160" s="29"/>
      <c r="D160" s="533"/>
      <c r="E160" s="533"/>
      <c r="F160" s="30"/>
      <c r="G160" s="4"/>
      <c r="J160" s="4"/>
      <c r="L160" s="534" t="s">
        <v>46</v>
      </c>
      <c r="M160" s="534"/>
      <c r="N160" s="534"/>
    </row>
    <row r="161" spans="1:18" ht="23.25" customHeight="1" thickBot="1">
      <c r="A161" s="84" t="s">
        <v>12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445" t="s">
        <v>13</v>
      </c>
      <c r="M161" s="445"/>
      <c r="N161" s="445"/>
      <c r="O161" s="445"/>
      <c r="P161" s="2"/>
      <c r="Q161" s="2"/>
      <c r="R161" s="2"/>
    </row>
    <row r="162" spans="1:18" ht="15.75">
      <c r="A162" s="446" t="s">
        <v>14</v>
      </c>
      <c r="B162" s="446"/>
      <c r="C162" s="446"/>
      <c r="D162" s="446"/>
      <c r="E162" s="446"/>
      <c r="F162" s="3"/>
      <c r="H162" s="4"/>
      <c r="K162" s="4"/>
      <c r="L162" s="4"/>
    </row>
    <row r="163" spans="1:18" ht="15.75">
      <c r="A163" s="85" t="s">
        <v>15</v>
      </c>
      <c r="B163" s="85"/>
      <c r="C163" s="85"/>
      <c r="D163" s="85"/>
      <c r="E163" s="85"/>
      <c r="F163" s="5"/>
      <c r="H163" s="4"/>
      <c r="K163" s="4"/>
      <c r="L163" s="4"/>
      <c r="P163" s="6"/>
    </row>
    <row r="164" spans="1:18" ht="15.75">
      <c r="A164" s="85" t="s">
        <v>100</v>
      </c>
      <c r="B164" s="85"/>
      <c r="C164" s="85"/>
      <c r="D164" s="85"/>
      <c r="E164" s="85"/>
      <c r="F164" s="3"/>
      <c r="H164" s="4"/>
      <c r="K164" s="4"/>
      <c r="L164" s="4"/>
    </row>
    <row r="165" spans="1:18" s="8" customFormat="1" ht="27" customHeight="1">
      <c r="A165" s="7"/>
      <c r="B165" s="7"/>
      <c r="C165" s="7"/>
      <c r="D165" s="447" t="s">
        <v>94</v>
      </c>
      <c r="E165" s="447"/>
      <c r="F165" s="447"/>
      <c r="G165" s="447"/>
      <c r="H165" s="447"/>
      <c r="I165" s="447"/>
      <c r="J165" s="447"/>
      <c r="K165" s="447"/>
      <c r="L165" s="447"/>
      <c r="M165" s="7"/>
      <c r="N165" s="7"/>
      <c r="O165" s="7"/>
    </row>
    <row r="166" spans="1:18" ht="23.25" customHeight="1">
      <c r="A166" s="126" t="s">
        <v>101</v>
      </c>
      <c r="B166" s="126"/>
      <c r="C166" s="126"/>
      <c r="D166" s="126"/>
      <c r="E166" s="126"/>
      <c r="F166" s="126"/>
      <c r="G166" s="122"/>
      <c r="H166" s="122"/>
      <c r="I166" s="122" t="e">
        <f>IF(D191="ناجح(ة) دورة1","-الدورة الأولى-","-الدورة الثانية-")</f>
        <v>#N/A</v>
      </c>
      <c r="J166" s="124" t="s">
        <v>48</v>
      </c>
      <c r="K166" s="124"/>
      <c r="L166" s="87"/>
      <c r="M166" s="88"/>
      <c r="N166" s="89"/>
      <c r="O166" s="9"/>
    </row>
    <row r="167" spans="1:18" ht="20.25" customHeight="1">
      <c r="A167" s="476" t="s">
        <v>93</v>
      </c>
      <c r="B167" s="476"/>
      <c r="C167" s="90" t="e">
        <f>INDEX(Commerce_session1!A6:CX792,MATCH("F",Commerce_session1!A6:A792,0),3)</f>
        <v>#N/A</v>
      </c>
      <c r="D167" s="91" t="s">
        <v>92</v>
      </c>
      <c r="E167" s="448" t="e">
        <f>INDEX(Commerce_session1!A6:CX792,MATCH("F",Commerce_session1!A6:A792,0),4)</f>
        <v>#N/A</v>
      </c>
      <c r="F167" s="448" t="e">
        <f>INDEX(Commerce_session1!D161:DA252,MATCH("a",Commerce_session1!D161:D252,0),3)</f>
        <v>#N/A</v>
      </c>
      <c r="G167" s="477" t="s">
        <v>16</v>
      </c>
      <c r="H167" s="477"/>
      <c r="I167" s="477"/>
      <c r="J167" s="478" t="e">
        <f>INDEX(Commerce_session1!A6:CX792,MATCH("F",Commerce_session1!A6:A792,0),6)</f>
        <v>#N/A</v>
      </c>
      <c r="K167" s="478"/>
      <c r="L167" s="88"/>
      <c r="M167" s="92" t="s">
        <v>17</v>
      </c>
      <c r="N167" s="90" t="e">
        <f>INDEX(Commerce_session1!A6:CX792,MATCH("F",Commerce_session1!A6:A792,0),7)</f>
        <v>#N/A</v>
      </c>
      <c r="O167" s="10"/>
    </row>
    <row r="168" spans="1:18" ht="20.25" customHeight="1">
      <c r="A168" s="476" t="s">
        <v>18</v>
      </c>
      <c r="B168" s="476"/>
      <c r="C168" s="448" t="e">
        <f>INDEX(Commerce_session1!A6:CX792,MATCH("F",Commerce_session1!A6:A792,0),5)</f>
        <v>#N/A</v>
      </c>
      <c r="D168" s="448"/>
      <c r="E168" s="91"/>
      <c r="F168" s="88"/>
      <c r="G168" s="93"/>
      <c r="H168" s="88"/>
      <c r="I168" s="88"/>
      <c r="J168" s="93"/>
      <c r="K168" s="88"/>
      <c r="L168" s="88"/>
      <c r="M168" s="88"/>
      <c r="N168" s="88"/>
      <c r="O168" s="10"/>
    </row>
    <row r="169" spans="1:18" ht="20.25" customHeight="1">
      <c r="A169" s="476" t="s">
        <v>102</v>
      </c>
      <c r="B169" s="476"/>
      <c r="C169" s="476"/>
      <c r="D169" s="476"/>
      <c r="E169" s="476"/>
      <c r="F169" s="476"/>
      <c r="G169" s="476"/>
      <c r="H169" s="476"/>
      <c r="I169" s="476"/>
      <c r="J169" s="476"/>
      <c r="K169" s="476"/>
      <c r="L169" s="476"/>
      <c r="M169" s="476"/>
      <c r="N169" s="476"/>
      <c r="O169" s="476"/>
    </row>
    <row r="170" spans="1:18" ht="20.25" customHeight="1" thickBot="1">
      <c r="A170" s="459" t="s">
        <v>19</v>
      </c>
      <c r="B170" s="459"/>
      <c r="C170" s="459"/>
      <c r="D170" s="459"/>
      <c r="E170" s="459"/>
      <c r="F170" s="459"/>
      <c r="G170" s="459"/>
      <c r="H170" s="94"/>
      <c r="I170" s="94"/>
      <c r="J170" s="95"/>
      <c r="K170" s="94"/>
      <c r="L170" s="94"/>
      <c r="M170" s="94"/>
      <c r="N170" s="94"/>
      <c r="O170" s="11"/>
    </row>
    <row r="171" spans="1:18" ht="18.75" thickBot="1">
      <c r="A171" s="460" t="s">
        <v>20</v>
      </c>
      <c r="B171" s="463" t="s">
        <v>21</v>
      </c>
      <c r="C171" s="464"/>
      <c r="D171" s="464"/>
      <c r="E171" s="464"/>
      <c r="F171" s="464" t="s">
        <v>22</v>
      </c>
      <c r="G171" s="464"/>
      <c r="H171" s="464"/>
      <c r="I171" s="465" t="s">
        <v>23</v>
      </c>
      <c r="J171" s="466"/>
      <c r="K171" s="466"/>
      <c r="L171" s="466"/>
      <c r="M171" s="466"/>
      <c r="N171" s="466"/>
      <c r="O171" s="467"/>
    </row>
    <row r="172" spans="1:18">
      <c r="A172" s="461"/>
      <c r="B172" s="468" t="s">
        <v>24</v>
      </c>
      <c r="C172" s="470" t="s">
        <v>25</v>
      </c>
      <c r="D172" s="472" t="s">
        <v>26</v>
      </c>
      <c r="E172" s="474" t="s">
        <v>27</v>
      </c>
      <c r="F172" s="479" t="s">
        <v>28</v>
      </c>
      <c r="G172" s="468" t="s">
        <v>11</v>
      </c>
      <c r="H172" s="481" t="s">
        <v>27</v>
      </c>
      <c r="I172" s="482" t="s">
        <v>29</v>
      </c>
      <c r="J172" s="483"/>
      <c r="K172" s="484" t="s">
        <v>30</v>
      </c>
      <c r="L172" s="485"/>
      <c r="M172" s="486"/>
      <c r="N172" s="455" t="s">
        <v>20</v>
      </c>
      <c r="O172" s="456"/>
    </row>
    <row r="173" spans="1:18" ht="15.75" thickBot="1">
      <c r="A173" s="462"/>
      <c r="B173" s="469"/>
      <c r="C173" s="471"/>
      <c r="D173" s="473"/>
      <c r="E173" s="475"/>
      <c r="F173" s="480"/>
      <c r="G173" s="469"/>
      <c r="H173" s="473"/>
      <c r="I173" s="106" t="s">
        <v>10</v>
      </c>
      <c r="J173" s="106" t="s">
        <v>31</v>
      </c>
      <c r="K173" s="106" t="s">
        <v>32</v>
      </c>
      <c r="L173" s="457" t="s">
        <v>33</v>
      </c>
      <c r="M173" s="458"/>
      <c r="N173" s="106" t="s">
        <v>34</v>
      </c>
      <c r="O173" s="107" t="s">
        <v>35</v>
      </c>
    </row>
    <row r="174" spans="1:18" ht="18.75" customHeight="1" thickBot="1">
      <c r="A174" s="549" t="s">
        <v>76</v>
      </c>
      <c r="B174" s="552" t="s">
        <v>36</v>
      </c>
      <c r="C174" s="555" t="s">
        <v>90</v>
      </c>
      <c r="D174" s="556">
        <v>17</v>
      </c>
      <c r="E174" s="449">
        <v>6</v>
      </c>
      <c r="F174" s="96" t="s">
        <v>54</v>
      </c>
      <c r="G174" s="70">
        <v>5</v>
      </c>
      <c r="H174" s="71">
        <v>2</v>
      </c>
      <c r="I174" s="12" t="e">
        <f>INDEX(Commerce_session1!A6:CX792,MATCH("F",Commerce_session1!A6:A792,0),16)</f>
        <v>#N/A</v>
      </c>
      <c r="J174" s="13" t="e">
        <f>INDEX(Commerce_session1!A6:CX792,MATCH("F",Commerce_session1!A6:A792,0),17)</f>
        <v>#N/A</v>
      </c>
      <c r="K174" s="452" t="e">
        <f>INDEX(Commerce_session1!A6:CX792,MATCH("F",Commerce_session1!A6:A792,0),26)</f>
        <v>#N/A</v>
      </c>
      <c r="L174" s="494" t="e">
        <f>INDEX(Commerce_session1!A6:CX792,MATCH("F",Commerce_session1!A6:A792,0),27)</f>
        <v>#N/A</v>
      </c>
      <c r="M174" s="495" t="e">
        <f>INDEX(Commerce_session1!D161:CZ178,MATCH("a",Commerce_session1!D161:D178,0),15)</f>
        <v>#N/A</v>
      </c>
      <c r="N174" s="498" t="e">
        <f>INDEX(Commerce_session1!A6:CX792,MATCH("F",Commerce_session1!A6:A792,0),95)</f>
        <v>#N/A</v>
      </c>
      <c r="O174" s="487" t="e">
        <f>INDEX(Commerce_session1!A6:CX792,MATCH("F",Commerce_session1!A6:A792,0),96)</f>
        <v>#N/A</v>
      </c>
    </row>
    <row r="175" spans="1:18" ht="18.75" customHeight="1" thickBot="1">
      <c r="A175" s="550"/>
      <c r="B175" s="553"/>
      <c r="C175" s="503"/>
      <c r="D175" s="557"/>
      <c r="E175" s="450"/>
      <c r="F175" s="97" t="s">
        <v>55</v>
      </c>
      <c r="G175" s="72">
        <v>6</v>
      </c>
      <c r="H175" s="73">
        <v>2</v>
      </c>
      <c r="I175" s="14" t="e">
        <f>INDEX(Commerce_session1!A6:CX792,MATCH("F",Commerce_session1!A6:A792,0),20)</f>
        <v>#N/A</v>
      </c>
      <c r="J175" s="15" t="e">
        <f>INDEX(Commerce_session1!A6:CX792,MATCH("F",Commerce_session1!A6:A792,0),21)</f>
        <v>#N/A</v>
      </c>
      <c r="K175" s="453" t="e">
        <f>INDEX(Commerce_session1!B161:CY178,MATCH("a",Commerce_session1!B161:B178,0),14)</f>
        <v>#N/A</v>
      </c>
      <c r="L175" s="496" t="e">
        <f>INDEX(Commerce_session1!D161:CZ178,MATCH("a",Commerce_session1!D161:D178,0),14)</f>
        <v>#N/A</v>
      </c>
      <c r="M175" s="497" t="e">
        <f>INDEX(Commerce_session1!E161:DA178,MATCH("a",Commerce_session1!E161:E178,0),14)</f>
        <v>#N/A</v>
      </c>
      <c r="N175" s="498" t="e">
        <f>INDEX(Commerce_session1!#REF!,MATCH("a",Commerce_session1!#REF!,0),62)</f>
        <v>#REF!</v>
      </c>
      <c r="O175" s="487" t="e">
        <f>INDEX(Commerce_session1!#REF!,MATCH("a",Commerce_session1!#REF!,0),62)</f>
        <v>#REF!</v>
      </c>
    </row>
    <row r="176" spans="1:18" ht="18.75" customHeight="1" thickBot="1">
      <c r="A176" s="550"/>
      <c r="B176" s="554"/>
      <c r="C176" s="504"/>
      <c r="D176" s="558"/>
      <c r="E176" s="451"/>
      <c r="F176" s="98" t="s">
        <v>56</v>
      </c>
      <c r="G176" s="74">
        <v>6</v>
      </c>
      <c r="H176" s="75">
        <v>2</v>
      </c>
      <c r="I176" s="16" t="e">
        <f>INDEX(Commerce_session1!A6:CX792,MATCH("F",Commerce_session1!A6:A792,0),24)</f>
        <v>#N/A</v>
      </c>
      <c r="J176" s="17" t="e">
        <f>INDEX(Commerce_session1!A6:CX792,MATCH("F",Commerce_session1!A6:A792,0),25)</f>
        <v>#N/A</v>
      </c>
      <c r="K176" s="454" t="e">
        <f>INDEX(Commerce_session1!B163:CY178,MATCH("a",Commerce_session1!B163:B178,0),14)</f>
        <v>#N/A</v>
      </c>
      <c r="L176" s="490" t="e">
        <f>INDEX(Commerce_session1!D163:CZ178,MATCH("a",Commerce_session1!D163:D178,0),14)</f>
        <v>#N/A</v>
      </c>
      <c r="M176" s="491" t="e">
        <f>INDEX(Commerce_session1!E163:DA178,MATCH("a",Commerce_session1!E163:E178,0),14)</f>
        <v>#N/A</v>
      </c>
      <c r="N176" s="498" t="e">
        <f>INDEX(Commerce_session1!#REF!,MATCH("a",Commerce_session1!#REF!,0),62)</f>
        <v>#REF!</v>
      </c>
      <c r="O176" s="487" t="e">
        <f>INDEX(Commerce_session1!#REF!,MATCH("a",Commerce_session1!#REF!,0),62)</f>
        <v>#REF!</v>
      </c>
    </row>
    <row r="177" spans="1:15" ht="19.5" customHeight="1" thickTop="1" thickBot="1">
      <c r="A177" s="550"/>
      <c r="B177" s="499" t="s">
        <v>37</v>
      </c>
      <c r="C177" s="502" t="s">
        <v>89</v>
      </c>
      <c r="D177" s="505">
        <v>7</v>
      </c>
      <c r="E177" s="508">
        <v>5</v>
      </c>
      <c r="F177" s="99" t="s">
        <v>83</v>
      </c>
      <c r="G177" s="76">
        <v>1</v>
      </c>
      <c r="H177" s="77">
        <v>1</v>
      </c>
      <c r="I177" s="18" t="e">
        <f>INDEX(Commerce_session1!A6:CX792,MATCH("F",Commerce_session1!A6:A792,0),29)</f>
        <v>#N/A</v>
      </c>
      <c r="J177" s="19" t="e">
        <f>INDEX(Commerce_session1!A6:CX792,MATCH("F",Commerce_session1!A6:A792,0),30)</f>
        <v>#N/A</v>
      </c>
      <c r="K177" s="509" t="e">
        <f>INDEX(Commerce_session1!A6:CX792,MATCH("F",Commerce_session1!A6:A792,0),39)</f>
        <v>#N/A</v>
      </c>
      <c r="L177" s="488" t="e">
        <f>INDEX(Commerce_session1!A6:CX792,MATCH("F",Commerce_session1!A6:A792,0),40)</f>
        <v>#N/A</v>
      </c>
      <c r="M177" s="489" t="e">
        <f>INDEX(Commerce_session1!D161:CZ178,MATCH("a",Commerce_session1!D161:D178,0),23)</f>
        <v>#N/A</v>
      </c>
      <c r="N177" s="498" t="e">
        <f>INDEX(Commerce_session1!#REF!,MATCH("a",Commerce_session1!#REF!,0),62)</f>
        <v>#REF!</v>
      </c>
      <c r="O177" s="487" t="e">
        <f>INDEX(Commerce_session1!#REF!,MATCH("a",Commerce_session1!#REF!,0),62)</f>
        <v>#REF!</v>
      </c>
    </row>
    <row r="178" spans="1:15" ht="18.75" customHeight="1" thickTop="1" thickBot="1">
      <c r="A178" s="550"/>
      <c r="B178" s="500"/>
      <c r="C178" s="503"/>
      <c r="D178" s="506"/>
      <c r="E178" s="450"/>
      <c r="F178" s="100" t="s">
        <v>99</v>
      </c>
      <c r="G178" s="78">
        <v>3</v>
      </c>
      <c r="H178" s="79">
        <v>2</v>
      </c>
      <c r="I178" s="18" t="e">
        <f>INDEX(Commerce_session1!A6:CX792,MATCH("F",Commerce_session1!A6:A792,0),33)</f>
        <v>#N/A</v>
      </c>
      <c r="J178" s="15" t="e">
        <f>INDEX(Commerce_session1!A6:CX792,MATCH("F",Commerce_session1!A6:A792,0),34)</f>
        <v>#N/A</v>
      </c>
      <c r="K178" s="510" t="e">
        <f>INDEX(Commerce_session1!B160:CY178,MATCH("a",Commerce_session1!B160:B178,0),22)</f>
        <v>#N/A</v>
      </c>
      <c r="L178" s="496" t="e">
        <f>INDEX(Commerce_session1!D160:CZ178,MATCH("a",Commerce_session1!D160:D178,0),22)</f>
        <v>#N/A</v>
      </c>
      <c r="M178" s="497" t="e">
        <f>INDEX(Commerce_session1!E160:DA178,MATCH("a",Commerce_session1!E160:E178,0),22)</f>
        <v>#N/A</v>
      </c>
      <c r="N178" s="498" t="e">
        <f>INDEX(Commerce_session1!#REF!,MATCH("a",Commerce_session1!#REF!,0),62)</f>
        <v>#REF!</v>
      </c>
      <c r="O178" s="487" t="e">
        <f>INDEX(Commerce_session1!#REF!,MATCH("a",Commerce_session1!#REF!,0),62)</f>
        <v>#REF!</v>
      </c>
    </row>
    <row r="179" spans="1:15" ht="18.75" customHeight="1" thickBot="1">
      <c r="A179" s="550"/>
      <c r="B179" s="501"/>
      <c r="C179" s="504"/>
      <c r="D179" s="507"/>
      <c r="E179" s="451"/>
      <c r="F179" s="101" t="s">
        <v>84</v>
      </c>
      <c r="G179" s="80">
        <v>3</v>
      </c>
      <c r="H179" s="81">
        <v>2</v>
      </c>
      <c r="I179" s="20" t="e">
        <f>INDEX(Commerce_session1!A6:CX792,MATCH("F",Commerce_session1!A6:A792,0),37)</f>
        <v>#N/A</v>
      </c>
      <c r="J179" s="17" t="e">
        <f>INDEX(Commerce_session1!A6:CX792,MATCH("F",Commerce_session1!A6:A792,0),38)</f>
        <v>#N/A</v>
      </c>
      <c r="K179" s="511" t="e">
        <f>INDEX(Commerce_session1!B161:CY178,MATCH("a",Commerce_session1!B161:B178,0),22)</f>
        <v>#N/A</v>
      </c>
      <c r="L179" s="490" t="e">
        <f>INDEX(Commerce_session1!D161:CZ178,MATCH("a",Commerce_session1!D161:D178,0),22)</f>
        <v>#N/A</v>
      </c>
      <c r="M179" s="491" t="e">
        <f>INDEX(Commerce_session1!E161:DA178,MATCH("a",Commerce_session1!E161:E178,0),22)</f>
        <v>#N/A</v>
      </c>
      <c r="N179" s="498" t="e">
        <f>INDEX(Commerce_session1!#REF!,MATCH("a",Commerce_session1!#REF!,0),62)</f>
        <v>#REF!</v>
      </c>
      <c r="O179" s="487" t="e">
        <f>INDEX(Commerce_session1!#REF!,MATCH("a",Commerce_session1!#REF!,0),62)</f>
        <v>#REF!</v>
      </c>
    </row>
    <row r="180" spans="1:15" ht="33.75" customHeight="1" thickTop="1" thickBot="1">
      <c r="A180" s="550"/>
      <c r="B180" s="531" t="s">
        <v>38</v>
      </c>
      <c r="C180" s="559" t="s">
        <v>50</v>
      </c>
      <c r="D180" s="520">
        <v>5</v>
      </c>
      <c r="E180" s="508">
        <v>2</v>
      </c>
      <c r="F180" s="102" t="s">
        <v>63</v>
      </c>
      <c r="G180" s="68">
        <v>4</v>
      </c>
      <c r="H180" s="69">
        <v>1</v>
      </c>
      <c r="I180" s="18" t="e">
        <f>INDEX(Commerce_session1!A6:CX792,MATCH("F",Commerce_session1!A6:A792,0),43)</f>
        <v>#N/A</v>
      </c>
      <c r="J180" s="19" t="e">
        <f>INDEX(Commerce_session1!A6:CX792,MATCH("F",Commerce_session1!A6:A792,0),44)</f>
        <v>#N/A</v>
      </c>
      <c r="K180" s="509" t="e">
        <f>INDEX(Commerce_session1!A6:CX792,MATCH("F",Commerce_session1!A6:A792,0),48)</f>
        <v>#N/A</v>
      </c>
      <c r="L180" s="488" t="e">
        <f>INDEX(Commerce_session1!A6:CX792,MATCH("F",Commerce_session1!A6:A792,0),49)</f>
        <v>#N/A</v>
      </c>
      <c r="M180" s="489" t="e">
        <f>INDEX(Commerce_session1!D161:CZ178,MATCH("a",Commerce_session1!D161:D178,0),29)</f>
        <v>#N/A</v>
      </c>
      <c r="N180" s="498" t="e">
        <f>INDEX(Commerce_session1!#REF!,MATCH("a",Commerce_session1!#REF!,0),62)</f>
        <v>#REF!</v>
      </c>
      <c r="O180" s="487" t="e">
        <f>INDEX(Commerce_session1!#REF!,MATCH("a",Commerce_session1!#REF!,0),62)</f>
        <v>#REF!</v>
      </c>
    </row>
    <row r="181" spans="1:15" ht="18.75" customHeight="1" thickBot="1">
      <c r="A181" s="550"/>
      <c r="B181" s="527"/>
      <c r="C181" s="524"/>
      <c r="D181" s="521"/>
      <c r="E181" s="451"/>
      <c r="F181" s="101" t="s">
        <v>62</v>
      </c>
      <c r="G181" s="80">
        <v>1</v>
      </c>
      <c r="H181" s="81">
        <v>1</v>
      </c>
      <c r="I181" s="16" t="e">
        <f>INDEX(Commerce_session1!A6:CX792,MATCH("F",Commerce_session1!A6:A792,0),46)</f>
        <v>#N/A</v>
      </c>
      <c r="J181" s="21" t="e">
        <f>INDEX(Commerce_session1!A6:CX792,MATCH("F",Commerce_session1!A6:A792,0),47)</f>
        <v>#N/A</v>
      </c>
      <c r="K181" s="511" t="e">
        <f>INDEX(Commerce_session1!B161:CY178,MATCH("a",Commerce_session1!B161:B178,0),28)</f>
        <v>#N/A</v>
      </c>
      <c r="L181" s="490" t="e">
        <f>INDEX(Commerce_session1!D161:CZ178,MATCH("a",Commerce_session1!D161:D178,0),28)</f>
        <v>#N/A</v>
      </c>
      <c r="M181" s="491" t="e">
        <f>INDEX(Commerce_session1!E161:DA178,MATCH("a",Commerce_session1!E161:E178,0),28)</f>
        <v>#N/A</v>
      </c>
      <c r="N181" s="498" t="e">
        <f>INDEX(Commerce_session1!#REF!,MATCH("a",Commerce_session1!#REF!,0),62)</f>
        <v>#REF!</v>
      </c>
      <c r="O181" s="487" t="e">
        <f>INDEX(Commerce_session1!#REF!,MATCH("a",Commerce_session1!#REF!,0),62)</f>
        <v>#REF!</v>
      </c>
    </row>
    <row r="182" spans="1:15" ht="20.25" customHeight="1" thickTop="1" thickBot="1">
      <c r="A182" s="551"/>
      <c r="B182" s="105" t="s">
        <v>39</v>
      </c>
      <c r="C182" s="104" t="s">
        <v>51</v>
      </c>
      <c r="D182" s="22">
        <v>1</v>
      </c>
      <c r="E182" s="23">
        <v>1</v>
      </c>
      <c r="F182" s="103" t="s">
        <v>64</v>
      </c>
      <c r="G182" s="82">
        <v>1</v>
      </c>
      <c r="H182" s="83">
        <v>1</v>
      </c>
      <c r="I182" s="20" t="e">
        <f>INDEX(Commerce_session1!A6:CX792,MATCH("F",Commerce_session1!A6:A792,0),52)</f>
        <v>#N/A</v>
      </c>
      <c r="J182" s="24" t="e">
        <f>INDEX(Commerce_session1!A6:CX792,MATCH("F",Commerce_session1!A6:A792,0),53)</f>
        <v>#N/A</v>
      </c>
      <c r="K182" s="36" t="e">
        <f>INDEX(Commerce_session1!A6:CX792,MATCH("F",Commerce_session1!A6:A792,0),54)</f>
        <v>#N/A</v>
      </c>
      <c r="L182" s="492" t="e">
        <f>INDEX(Commerce_session1!A6:CX792,MATCH("F",Commerce_session1!A6:A792,0),55)</f>
        <v>#N/A</v>
      </c>
      <c r="M182" s="493" t="e">
        <f>INDEX(Commerce_session1!D161:CZ178,MATCH("a",Commerce_session1!D161:D178,0),33)</f>
        <v>#N/A</v>
      </c>
      <c r="N182" s="498" t="e">
        <f>INDEX(Commerce_session1!#REF!,MATCH("a",Commerce_session1!#REF!,0),62)</f>
        <v>#REF!</v>
      </c>
      <c r="O182" s="487" t="e">
        <f>INDEX(Commerce_session1!#REF!,MATCH("a",Commerce_session1!#REF!,0),62)</f>
        <v>#REF!</v>
      </c>
    </row>
    <row r="183" spans="1:15" ht="19.5" customHeight="1" thickTop="1" thickBot="1">
      <c r="A183" s="516" t="s">
        <v>77</v>
      </c>
      <c r="B183" s="525" t="s">
        <v>36</v>
      </c>
      <c r="C183" s="522" t="s">
        <v>88</v>
      </c>
      <c r="D183" s="528">
        <v>16</v>
      </c>
      <c r="E183" s="449">
        <v>5</v>
      </c>
      <c r="F183" s="96" t="s">
        <v>67</v>
      </c>
      <c r="G183" s="114">
        <v>6</v>
      </c>
      <c r="H183" s="115">
        <v>2</v>
      </c>
      <c r="I183" s="18" t="e">
        <f>INDEX(Commerce_session1!A6:CX792,MATCH("F",Commerce_session1!A6:A792,0),60)</f>
        <v>#N/A</v>
      </c>
      <c r="J183" s="19" t="e">
        <f>INDEX(Commerce_session1!A6:CX792,MATCH("F",Commerce_session1!A6:A792,0),61)</f>
        <v>#N/A</v>
      </c>
      <c r="K183" s="519" t="e">
        <f>INDEX(Commerce_session1!A6:CX792,MATCH("F",Commerce_session1!A6:A792,0),70)</f>
        <v>#N/A</v>
      </c>
      <c r="L183" s="494" t="e">
        <f>INDEX(Commerce_session1!A6:CX792,MATCH("F",Commerce_session1!A6:A792,0),71)</f>
        <v>#N/A</v>
      </c>
      <c r="M183" s="495"/>
      <c r="N183" s="498" t="e">
        <f>INDEX(Commerce_session1!A6:CX792,MATCH("F",Commerce_session1!A6:A792,0),97)</f>
        <v>#N/A</v>
      </c>
      <c r="O183" s="487" t="e">
        <f>INDEX(Commerce_session1!A6:CX792,MATCH("F",Commerce_session1!A6:A792,0),98)</f>
        <v>#N/A</v>
      </c>
    </row>
    <row r="184" spans="1:15" ht="18.75" customHeight="1" thickBot="1">
      <c r="A184" s="517"/>
      <c r="B184" s="526"/>
      <c r="C184" s="523"/>
      <c r="D184" s="529"/>
      <c r="E184" s="450"/>
      <c r="F184" s="100" t="s">
        <v>68</v>
      </c>
      <c r="G184" s="116">
        <v>6</v>
      </c>
      <c r="H184" s="117">
        <v>2</v>
      </c>
      <c r="I184" s="14" t="e">
        <f>INDEX(Commerce_session1!A6:CX792,MATCH("F",Commerce_session1!A6:A792,0),64)</f>
        <v>#N/A</v>
      </c>
      <c r="J184" s="15" t="e">
        <f>INDEX(Commerce_session1!A6:CX792,MATCH("F",Commerce_session1!A6:A792,0),65)</f>
        <v>#N/A</v>
      </c>
      <c r="K184" s="510"/>
      <c r="L184" s="496"/>
      <c r="M184" s="497"/>
      <c r="N184" s="498" t="e">
        <f>INDEX(Commerce_session1!F161:DA178,MATCH("a",Commerce_session1!F161:F178,0),42)</f>
        <v>#N/A</v>
      </c>
      <c r="O184" s="487" t="e">
        <f>INDEX(Commerce_session1!G161:DA178,MATCH("a",Commerce_session1!G161:G178,0),42)</f>
        <v>#N/A</v>
      </c>
    </row>
    <row r="185" spans="1:15" ht="20.25" customHeight="1" thickBot="1">
      <c r="A185" s="517"/>
      <c r="B185" s="527"/>
      <c r="C185" s="524"/>
      <c r="D185" s="530"/>
      <c r="E185" s="451"/>
      <c r="F185" s="101" t="s">
        <v>103</v>
      </c>
      <c r="G185" s="118">
        <v>4</v>
      </c>
      <c r="H185" s="119">
        <v>1</v>
      </c>
      <c r="I185" s="127" t="e">
        <f>INDEX(Commerce_session1!A6:CX792,MATCH("F",Commerce_session1!A6:A792,0),68)</f>
        <v>#N/A</v>
      </c>
      <c r="J185" s="21" t="e">
        <f>INDEX(Commerce_session1!A6:CX792,MATCH("F",Commerce_session1!A6:A792,0),69)</f>
        <v>#N/A</v>
      </c>
      <c r="K185" s="511"/>
      <c r="L185" s="490"/>
      <c r="M185" s="491"/>
      <c r="N185" s="498" t="e">
        <f>INDEX(Commerce_session1!F162:DA178,MATCH("a",Commerce_session1!F162:F178,0),42)</f>
        <v>#N/A</v>
      </c>
      <c r="O185" s="487" t="e">
        <f>INDEX(Commerce_session1!G162:DA178,MATCH("a",Commerce_session1!G162:G178,0),42)</f>
        <v>#N/A</v>
      </c>
    </row>
    <row r="186" spans="1:15" ht="22.5" customHeight="1" thickTop="1" thickBot="1">
      <c r="A186" s="517"/>
      <c r="B186" s="531" t="s">
        <v>37</v>
      </c>
      <c r="C186" s="559" t="s">
        <v>87</v>
      </c>
      <c r="D186" s="532">
        <v>10</v>
      </c>
      <c r="E186" s="508">
        <v>4</v>
      </c>
      <c r="F186" s="128" t="s">
        <v>104</v>
      </c>
      <c r="G186" s="76">
        <v>5</v>
      </c>
      <c r="H186" s="77">
        <v>2</v>
      </c>
      <c r="I186" s="18" t="e">
        <f>INDEX(Commerce_session1!A6:CX792,MATCH("F",Commerce_session1!A6:A792,0),74)</f>
        <v>#N/A</v>
      </c>
      <c r="J186" s="19" t="e">
        <f>INDEX(Commerce_session1!A6:CX792,MATCH("F",Commerce_session1!A6:A792,0),75)</f>
        <v>#N/A</v>
      </c>
      <c r="K186" s="509" t="e">
        <f>INDEX(Commerce_session1!A6:CX792,MATCH("F",Commerce_session1!A6:A792,0),80)</f>
        <v>#N/A</v>
      </c>
      <c r="L186" s="488" t="e">
        <f>INDEX(Commerce_session1!A6:CX792,MATCH("F",Commerce_session1!A6:A792,0),81)</f>
        <v>#N/A</v>
      </c>
      <c r="M186" s="489"/>
      <c r="N186" s="498" t="e">
        <f>INDEX(Commerce_session1!E164:DA178,MATCH("a",Commerce_session1!E164:E178,0),43)</f>
        <v>#N/A</v>
      </c>
      <c r="O186" s="487" t="e">
        <f>INDEX(Commerce_session1!F164:DA178,MATCH("a",Commerce_session1!F164:F178,0),43)</f>
        <v>#N/A</v>
      </c>
    </row>
    <row r="187" spans="1:15" ht="18.75" customHeight="1" thickBot="1">
      <c r="A187" s="517"/>
      <c r="B187" s="527"/>
      <c r="C187" s="524"/>
      <c r="D187" s="530"/>
      <c r="E187" s="451"/>
      <c r="F187" s="98" t="s">
        <v>69</v>
      </c>
      <c r="G187" s="74">
        <v>5</v>
      </c>
      <c r="H187" s="75">
        <v>2</v>
      </c>
      <c r="I187" s="20" t="e">
        <f>INDEX(Commerce_session1!A6:CX792,MATCH("F",Commerce_session1!A6:A792,0),78)</f>
        <v>#N/A</v>
      </c>
      <c r="J187" s="17" t="e">
        <f>INDEX(Commerce_session1!A6:CX792,MATCH("F",Commerce_session1!A6:A792,0),79)</f>
        <v>#N/A</v>
      </c>
      <c r="K187" s="511"/>
      <c r="L187" s="490"/>
      <c r="M187" s="491"/>
      <c r="N187" s="498" t="e">
        <f>INDEX(Commerce_session1!F165:DA178,MATCH("a",Commerce_session1!F165:F178,0),42)</f>
        <v>#N/A</v>
      </c>
      <c r="O187" s="487" t="e">
        <f>INDEX(Commerce_session1!G165:DA178,MATCH("a",Commerce_session1!G165:G178,0),42)</f>
        <v>#N/A</v>
      </c>
    </row>
    <row r="188" spans="1:15" ht="18.75" customHeight="1" thickTop="1" thickBot="1">
      <c r="A188" s="517"/>
      <c r="B188" s="105" t="s">
        <v>38</v>
      </c>
      <c r="C188" s="104" t="s">
        <v>85</v>
      </c>
      <c r="D188" s="22">
        <v>3</v>
      </c>
      <c r="E188" s="23">
        <v>2</v>
      </c>
      <c r="F188" s="101" t="s">
        <v>74</v>
      </c>
      <c r="G188" s="74">
        <v>3</v>
      </c>
      <c r="H188" s="75">
        <v>2</v>
      </c>
      <c r="I188" s="20" t="e">
        <f>INDEX(Commerce_session1!A6:CX792,MATCH("F",Commerce_session1!A6:A792,0),84)</f>
        <v>#N/A</v>
      </c>
      <c r="J188" s="17" t="e">
        <f>INDEX(Commerce_session1!A6:CX792,MATCH("F",Commerce_session1!A6:A792,0),85)</f>
        <v>#N/A</v>
      </c>
      <c r="K188" s="123" t="e">
        <f>INDEX(Commerce_session1!A6:CX792,MATCH("F",Commerce_session1!A6:A792,0),86)</f>
        <v>#N/A</v>
      </c>
      <c r="L188" s="512" t="e">
        <f>INDEX(Commerce_session1!A6:CX792,MATCH("F",Commerce_session1!A6:A792,0),87)</f>
        <v>#N/A</v>
      </c>
      <c r="M188" s="513"/>
      <c r="N188" s="498" t="e">
        <f>INDEX(Commerce_session1!F173:DA178,MATCH("a",Commerce_session1!F173:F178,0),42)</f>
        <v>#N/A</v>
      </c>
      <c r="O188" s="487" t="e">
        <f>INDEX(Commerce_session1!G173:DA178,MATCH("a",Commerce_session1!G173:G178,0),42)</f>
        <v>#N/A</v>
      </c>
    </row>
    <row r="189" spans="1:15" ht="20.25" customHeight="1" thickTop="1" thickBot="1">
      <c r="A189" s="518"/>
      <c r="B189" s="105" t="s">
        <v>39</v>
      </c>
      <c r="C189" s="104" t="s">
        <v>86</v>
      </c>
      <c r="D189" s="22">
        <v>1</v>
      </c>
      <c r="E189" s="23">
        <v>1</v>
      </c>
      <c r="F189" s="103" t="s">
        <v>73</v>
      </c>
      <c r="G189" s="82">
        <v>1</v>
      </c>
      <c r="H189" s="83">
        <v>1</v>
      </c>
      <c r="I189" s="25" t="e">
        <f>INDEX(Commerce_session1!A6:CX792,MATCH("F",Commerce_session1!A6:A792,0),89)</f>
        <v>#N/A</v>
      </c>
      <c r="J189" s="26" t="e">
        <f>INDEX(Commerce_session1!A6:CX792,MATCH("F",Commerce_session1!A6:A792,0),90)</f>
        <v>#N/A</v>
      </c>
      <c r="K189" s="27" t="e">
        <f>INDEX(Commerce_session1!A6:CX792,MATCH("F",Commerce_session1!A6:A792,0),91)</f>
        <v>#N/A</v>
      </c>
      <c r="L189" s="514" t="e">
        <f>INDEX(Commerce_session1!A6:CX792,MATCH("F",Commerce_session1!A6:A792,0),92)</f>
        <v>#N/A</v>
      </c>
      <c r="M189" s="515" t="e">
        <f>INDEX(Commerce_session1!D161:CZ178,MATCH("a",Commerce_session1!D161:D178,0),61)</f>
        <v>#N/A</v>
      </c>
      <c r="N189" s="498" t="e">
        <f>INDEX(Commerce_session1!F174:DA178,MATCH("a",Commerce_session1!F174:F178,0),42)</f>
        <v>#N/A</v>
      </c>
      <c r="O189" s="487" t="e">
        <f>INDEX(Commerce_session1!G174:DA178,MATCH("a",Commerce_session1!G174:G178,0),42)</f>
        <v>#N/A</v>
      </c>
    </row>
    <row r="190" spans="1:15" ht="20.25">
      <c r="A190" s="535" t="s">
        <v>40</v>
      </c>
      <c r="B190" s="536"/>
      <c r="C190" s="537"/>
      <c r="D190" s="121" t="e">
        <f>INDEX(Commerce_session1!A6:CX792,MATCH("F",Commerce_session1!A6:A792,0),99)</f>
        <v>#N/A</v>
      </c>
      <c r="E190" s="538" t="s">
        <v>41</v>
      </c>
      <c r="F190" s="540"/>
      <c r="G190" s="120" t="e">
        <f>INDEX(Commerce_session1!A6:CX792,MATCH("F",Commerce_session1!A6:A792,0),100)</f>
        <v>#N/A</v>
      </c>
      <c r="H190" s="538" t="s">
        <v>91</v>
      </c>
      <c r="I190" s="539"/>
      <c r="J190" s="539"/>
      <c r="K190" s="540"/>
      <c r="L190" s="541" t="e">
        <f>INDEX(Commerce_session1!A6:CX792,MATCH("F",Commerce_session1!A6:A792,0),101)</f>
        <v>#N/A</v>
      </c>
      <c r="M190" s="542"/>
      <c r="N190" s="8"/>
      <c r="O190" s="8"/>
    </row>
    <row r="191" spans="1:15" ht="22.5">
      <c r="A191" s="546" t="s">
        <v>42</v>
      </c>
      <c r="B191" s="547"/>
      <c r="C191" s="548"/>
      <c r="D191" s="543" t="e">
        <f>INDEX(Commerce_session1!A6:CX792,MATCH("F",Commerce_session1!A6:A792,0),102)</f>
        <v>#N/A</v>
      </c>
      <c r="E191" s="544"/>
      <c r="F191" s="545"/>
      <c r="G191" s="108"/>
      <c r="H191" s="109"/>
      <c r="I191" s="110"/>
      <c r="J191" s="111"/>
      <c r="K191" s="110"/>
      <c r="L191" s="110"/>
      <c r="M191" s="110"/>
      <c r="N191" s="112" t="s">
        <v>43</v>
      </c>
      <c r="O191" s="28">
        <f ca="1">TODAY()</f>
        <v>43626</v>
      </c>
    </row>
    <row r="192" spans="1:15" ht="32.25" customHeight="1">
      <c r="A192" s="113" t="s">
        <v>44</v>
      </c>
      <c r="B192" s="29"/>
      <c r="C192" s="29"/>
      <c r="D192" s="533"/>
      <c r="E192" s="533"/>
      <c r="F192" s="30"/>
      <c r="G192" s="4"/>
      <c r="J192" s="4"/>
      <c r="L192" s="534" t="s">
        <v>46</v>
      </c>
      <c r="M192" s="534"/>
      <c r="N192" s="534"/>
    </row>
    <row r="193" spans="1:18" ht="23.25" customHeight="1" thickBot="1">
      <c r="A193" s="84" t="s">
        <v>12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445" t="s">
        <v>13</v>
      </c>
      <c r="M193" s="445"/>
      <c r="N193" s="445"/>
      <c r="O193" s="445"/>
      <c r="P193" s="2"/>
      <c r="Q193" s="2"/>
      <c r="R193" s="2"/>
    </row>
    <row r="194" spans="1:18" ht="15.75">
      <c r="A194" s="446" t="s">
        <v>14</v>
      </c>
      <c r="B194" s="446"/>
      <c r="C194" s="446"/>
      <c r="D194" s="446"/>
      <c r="E194" s="446"/>
      <c r="F194" s="3"/>
      <c r="H194" s="4"/>
      <c r="K194" s="4"/>
      <c r="L194" s="4"/>
    </row>
    <row r="195" spans="1:18" ht="15.75">
      <c r="A195" s="85" t="s">
        <v>15</v>
      </c>
      <c r="B195" s="85"/>
      <c r="C195" s="85"/>
      <c r="D195" s="85"/>
      <c r="E195" s="85"/>
      <c r="F195" s="5"/>
      <c r="H195" s="4"/>
      <c r="K195" s="4"/>
      <c r="L195" s="4"/>
      <c r="P195" s="6"/>
    </row>
    <row r="196" spans="1:18" ht="15.75">
      <c r="A196" s="85" t="s">
        <v>100</v>
      </c>
      <c r="B196" s="85"/>
      <c r="C196" s="85"/>
      <c r="D196" s="85"/>
      <c r="E196" s="85"/>
      <c r="F196" s="3"/>
      <c r="H196" s="4"/>
      <c r="K196" s="4"/>
      <c r="L196" s="4"/>
    </row>
    <row r="197" spans="1:18" s="8" customFormat="1" ht="27" customHeight="1">
      <c r="A197" s="7"/>
      <c r="B197" s="7"/>
      <c r="C197" s="7"/>
      <c r="D197" s="447" t="s">
        <v>94</v>
      </c>
      <c r="E197" s="447"/>
      <c r="F197" s="447"/>
      <c r="G197" s="447"/>
      <c r="H197" s="447"/>
      <c r="I197" s="447"/>
      <c r="J197" s="447"/>
      <c r="K197" s="447"/>
      <c r="L197" s="447"/>
      <c r="M197" s="7"/>
      <c r="N197" s="7"/>
      <c r="O197" s="7"/>
    </row>
    <row r="198" spans="1:18" ht="23.25" customHeight="1">
      <c r="A198" s="126" t="s">
        <v>101</v>
      </c>
      <c r="B198" s="126"/>
      <c r="C198" s="126"/>
      <c r="D198" s="126"/>
      <c r="E198" s="126"/>
      <c r="F198" s="126"/>
      <c r="G198" s="122"/>
      <c r="H198" s="122"/>
      <c r="I198" s="122" t="e">
        <f>IF(D223="ناجح(ة) دورة1","-الدورة الأولى-","-الدورة الثانية-")</f>
        <v>#N/A</v>
      </c>
      <c r="J198" s="124" t="s">
        <v>48</v>
      </c>
      <c r="K198" s="124"/>
      <c r="L198" s="87"/>
      <c r="M198" s="88"/>
      <c r="N198" s="89"/>
      <c r="O198" s="9"/>
    </row>
    <row r="199" spans="1:18" ht="20.25" customHeight="1">
      <c r="A199" s="476" t="s">
        <v>93</v>
      </c>
      <c r="B199" s="476"/>
      <c r="C199" s="90" t="e">
        <f>INDEX(Commerce_session1!A6:CX792,MATCH("G",Commerce_session1!A6:A792,0),3)</f>
        <v>#N/A</v>
      </c>
      <c r="D199" s="91" t="s">
        <v>92</v>
      </c>
      <c r="E199" s="448" t="e">
        <f>INDEX(Commerce_session1!A6:CX792,MATCH("G",Commerce_session1!A6:A792,0),4)</f>
        <v>#N/A</v>
      </c>
      <c r="F199" s="448" t="e">
        <f>INDEX(Commerce_session1!D179:DA284,MATCH("a",Commerce_session1!D179:D284,0),3)</f>
        <v>#N/A</v>
      </c>
      <c r="G199" s="477" t="s">
        <v>16</v>
      </c>
      <c r="H199" s="477"/>
      <c r="I199" s="477"/>
      <c r="J199" s="478" t="e">
        <f>INDEX(Commerce_session1!A6:CX792,MATCH("G",Commerce_session1!A6:A792,0),6)</f>
        <v>#N/A</v>
      </c>
      <c r="K199" s="478"/>
      <c r="L199" s="88"/>
      <c r="M199" s="92" t="s">
        <v>17</v>
      </c>
      <c r="N199" s="90" t="e">
        <f>INDEX(Commerce_session1!A6:CX792,MATCH("G",Commerce_session1!A6:A792,0),7)</f>
        <v>#N/A</v>
      </c>
      <c r="O199" s="10"/>
    </row>
    <row r="200" spans="1:18" ht="20.25" customHeight="1">
      <c r="A200" s="476" t="s">
        <v>18</v>
      </c>
      <c r="B200" s="476"/>
      <c r="C200" s="448" t="e">
        <f>INDEX(Commerce_session1!A6:CX792,MATCH("G",Commerce_session1!A6:A792,0),5)</f>
        <v>#N/A</v>
      </c>
      <c r="D200" s="448"/>
      <c r="E200" s="91"/>
      <c r="F200" s="88"/>
      <c r="G200" s="93"/>
      <c r="H200" s="88"/>
      <c r="I200" s="88"/>
      <c r="J200" s="93"/>
      <c r="K200" s="88"/>
      <c r="L200" s="88"/>
      <c r="M200" s="88"/>
      <c r="N200" s="88"/>
      <c r="O200" s="10"/>
    </row>
    <row r="201" spans="1:18" ht="20.25" customHeight="1">
      <c r="A201" s="476" t="s">
        <v>102</v>
      </c>
      <c r="B201" s="476"/>
      <c r="C201" s="476"/>
      <c r="D201" s="476"/>
      <c r="E201" s="476"/>
      <c r="F201" s="476"/>
      <c r="G201" s="476"/>
      <c r="H201" s="476"/>
      <c r="I201" s="476"/>
      <c r="J201" s="476"/>
      <c r="K201" s="476"/>
      <c r="L201" s="476"/>
      <c r="M201" s="476"/>
      <c r="N201" s="476"/>
      <c r="O201" s="476"/>
    </row>
    <row r="202" spans="1:18" ht="20.25" customHeight="1" thickBot="1">
      <c r="A202" s="459" t="s">
        <v>19</v>
      </c>
      <c r="B202" s="459"/>
      <c r="C202" s="459"/>
      <c r="D202" s="459"/>
      <c r="E202" s="459"/>
      <c r="F202" s="459"/>
      <c r="G202" s="459"/>
      <c r="H202" s="94"/>
      <c r="I202" s="94"/>
      <c r="J202" s="95"/>
      <c r="K202" s="94"/>
      <c r="L202" s="94"/>
      <c r="M202" s="94"/>
      <c r="N202" s="94"/>
      <c r="O202" s="11"/>
    </row>
    <row r="203" spans="1:18" ht="18.75" thickBot="1">
      <c r="A203" s="460" t="s">
        <v>20</v>
      </c>
      <c r="B203" s="463" t="s">
        <v>21</v>
      </c>
      <c r="C203" s="464"/>
      <c r="D203" s="464"/>
      <c r="E203" s="464"/>
      <c r="F203" s="464" t="s">
        <v>22</v>
      </c>
      <c r="G203" s="464"/>
      <c r="H203" s="464"/>
      <c r="I203" s="465" t="s">
        <v>23</v>
      </c>
      <c r="J203" s="466"/>
      <c r="K203" s="466"/>
      <c r="L203" s="466"/>
      <c r="M203" s="466"/>
      <c r="N203" s="466"/>
      <c r="O203" s="467"/>
    </row>
    <row r="204" spans="1:18">
      <c r="A204" s="461"/>
      <c r="B204" s="468" t="s">
        <v>24</v>
      </c>
      <c r="C204" s="470" t="s">
        <v>25</v>
      </c>
      <c r="D204" s="472" t="s">
        <v>26</v>
      </c>
      <c r="E204" s="474" t="s">
        <v>27</v>
      </c>
      <c r="F204" s="479" t="s">
        <v>28</v>
      </c>
      <c r="G204" s="468" t="s">
        <v>11</v>
      </c>
      <c r="H204" s="481" t="s">
        <v>27</v>
      </c>
      <c r="I204" s="482" t="s">
        <v>29</v>
      </c>
      <c r="J204" s="483"/>
      <c r="K204" s="484" t="s">
        <v>30</v>
      </c>
      <c r="L204" s="485"/>
      <c r="M204" s="486"/>
      <c r="N204" s="455" t="s">
        <v>20</v>
      </c>
      <c r="O204" s="456"/>
    </row>
    <row r="205" spans="1:18" ht="15.75" thickBot="1">
      <c r="A205" s="462"/>
      <c r="B205" s="469"/>
      <c r="C205" s="471"/>
      <c r="D205" s="473"/>
      <c r="E205" s="475"/>
      <c r="F205" s="480"/>
      <c r="G205" s="469"/>
      <c r="H205" s="473"/>
      <c r="I205" s="106" t="s">
        <v>10</v>
      </c>
      <c r="J205" s="106" t="s">
        <v>31</v>
      </c>
      <c r="K205" s="106" t="s">
        <v>32</v>
      </c>
      <c r="L205" s="457" t="s">
        <v>33</v>
      </c>
      <c r="M205" s="458"/>
      <c r="N205" s="106" t="s">
        <v>34</v>
      </c>
      <c r="O205" s="107" t="s">
        <v>35</v>
      </c>
    </row>
    <row r="206" spans="1:18" ht="18.75" customHeight="1" thickBot="1">
      <c r="A206" s="549" t="s">
        <v>76</v>
      </c>
      <c r="B206" s="552" t="s">
        <v>36</v>
      </c>
      <c r="C206" s="555" t="s">
        <v>90</v>
      </c>
      <c r="D206" s="556">
        <v>17</v>
      </c>
      <c r="E206" s="449">
        <v>6</v>
      </c>
      <c r="F206" s="96" t="s">
        <v>54</v>
      </c>
      <c r="G206" s="70">
        <v>5</v>
      </c>
      <c r="H206" s="71">
        <v>2</v>
      </c>
      <c r="I206" s="12" t="e">
        <f>INDEX(Commerce_session1!A6:CX792,MATCH("G",Commerce_session1!A6:A792,0),16)</f>
        <v>#N/A</v>
      </c>
      <c r="J206" s="13" t="e">
        <f>INDEX(Commerce_session1!A6:CX792,MATCH("G",Commerce_session1!A6:A792,0),17)</f>
        <v>#N/A</v>
      </c>
      <c r="K206" s="452" t="e">
        <f>INDEX(Commerce_session1!A6:CX792,MATCH("G",Commerce_session1!A6:A792,0),26)</f>
        <v>#N/A</v>
      </c>
      <c r="L206" s="494" t="e">
        <f>INDEX(Commerce_session1!A6:CX792,MATCH("G",Commerce_session1!A6:A792,0),27)</f>
        <v>#N/A</v>
      </c>
      <c r="M206" s="495" t="e">
        <f>INDEX(Commerce_session1!#REF!,MATCH("a",Commerce_session1!#REF!,0),15)</f>
        <v>#REF!</v>
      </c>
      <c r="N206" s="498" t="e">
        <f>INDEX(Commerce_session1!A6:CX792,MATCH("G",Commerce_session1!A6:A792,0),95)</f>
        <v>#N/A</v>
      </c>
      <c r="O206" s="487" t="e">
        <f>INDEX(Commerce_session1!A6:CX792,MATCH("G",Commerce_session1!A6:A792,0),96)</f>
        <v>#N/A</v>
      </c>
    </row>
    <row r="207" spans="1:18" ht="18.75" customHeight="1" thickBot="1">
      <c r="A207" s="550"/>
      <c r="B207" s="553"/>
      <c r="C207" s="503"/>
      <c r="D207" s="557"/>
      <c r="E207" s="450"/>
      <c r="F207" s="97" t="s">
        <v>55</v>
      </c>
      <c r="G207" s="72">
        <v>6</v>
      </c>
      <c r="H207" s="73">
        <v>2</v>
      </c>
      <c r="I207" s="14" t="e">
        <f>INDEX(Commerce_session1!A6:CX792,MATCH("G",Commerce_session1!A6:A792,0),20)</f>
        <v>#N/A</v>
      </c>
      <c r="J207" s="15" t="e">
        <f>INDEX(Commerce_session1!A6:CX792,MATCH("G",Commerce_session1!A6:A792,0),21)</f>
        <v>#N/A</v>
      </c>
      <c r="K207" s="453" t="e">
        <f>INDEX(Commerce_session1!#REF!,MATCH("a",Commerce_session1!#REF!,0),14)</f>
        <v>#REF!</v>
      </c>
      <c r="L207" s="496" t="e">
        <f>INDEX(Commerce_session1!#REF!,MATCH("a",Commerce_session1!#REF!,0),14)</f>
        <v>#REF!</v>
      </c>
      <c r="M207" s="497" t="e">
        <f>INDEX(Commerce_session1!#REF!,MATCH("a",Commerce_session1!#REF!,0),14)</f>
        <v>#REF!</v>
      </c>
      <c r="N207" s="498" t="e">
        <f>INDEX(Commerce_session1!#REF!,MATCH("a",Commerce_session1!#REF!,0),62)</f>
        <v>#REF!</v>
      </c>
      <c r="O207" s="487" t="e">
        <f>INDEX(Commerce_session1!#REF!,MATCH("a",Commerce_session1!#REF!,0),62)</f>
        <v>#REF!</v>
      </c>
    </row>
    <row r="208" spans="1:18" ht="18.75" customHeight="1" thickBot="1">
      <c r="A208" s="550"/>
      <c r="B208" s="554"/>
      <c r="C208" s="504"/>
      <c r="D208" s="558"/>
      <c r="E208" s="451"/>
      <c r="F208" s="98" t="s">
        <v>56</v>
      </c>
      <c r="G208" s="74">
        <v>6</v>
      </c>
      <c r="H208" s="75">
        <v>2</v>
      </c>
      <c r="I208" s="16" t="e">
        <f>INDEX(Commerce_session1!A6:CX792,MATCH("G",Commerce_session1!A6:A792,0),24)</f>
        <v>#N/A</v>
      </c>
      <c r="J208" s="17" t="e">
        <f>INDEX(Commerce_session1!A6:CX792,MATCH("G",Commerce_session1!A6:A792,0),25)</f>
        <v>#N/A</v>
      </c>
      <c r="K208" s="454" t="e">
        <f>INDEX(Commerce_session1!#REF!,MATCH("a",Commerce_session1!#REF!,0),14)</f>
        <v>#REF!</v>
      </c>
      <c r="L208" s="490" t="e">
        <f>INDEX(Commerce_session1!#REF!,MATCH("a",Commerce_session1!#REF!,0),14)</f>
        <v>#REF!</v>
      </c>
      <c r="M208" s="491" t="e">
        <f>INDEX(Commerce_session1!#REF!,MATCH("a",Commerce_session1!#REF!,0),14)</f>
        <v>#REF!</v>
      </c>
      <c r="N208" s="498" t="e">
        <f>INDEX(Commerce_session1!#REF!,MATCH("a",Commerce_session1!#REF!,0),62)</f>
        <v>#REF!</v>
      </c>
      <c r="O208" s="487" t="e">
        <f>INDEX(Commerce_session1!#REF!,MATCH("a",Commerce_session1!#REF!,0),62)</f>
        <v>#REF!</v>
      </c>
    </row>
    <row r="209" spans="1:15" ht="19.5" customHeight="1" thickTop="1" thickBot="1">
      <c r="A209" s="550"/>
      <c r="B209" s="499" t="s">
        <v>37</v>
      </c>
      <c r="C209" s="502" t="s">
        <v>89</v>
      </c>
      <c r="D209" s="505">
        <v>7</v>
      </c>
      <c r="E209" s="508">
        <v>5</v>
      </c>
      <c r="F209" s="99" t="s">
        <v>83</v>
      </c>
      <c r="G209" s="76">
        <v>1</v>
      </c>
      <c r="H209" s="77">
        <v>1</v>
      </c>
      <c r="I209" s="18" t="e">
        <f>INDEX(Commerce_session1!A6:CX792,MATCH("G",Commerce_session1!A6:A792,0),29)</f>
        <v>#N/A</v>
      </c>
      <c r="J209" s="19" t="e">
        <f>INDEX(Commerce_session1!A6:CX792,MATCH("G",Commerce_session1!A6:A792,0),30)</f>
        <v>#N/A</v>
      </c>
      <c r="K209" s="509" t="e">
        <f>INDEX(Commerce_session1!A6:CX792,MATCH("G",Commerce_session1!A6:A792,0),39)</f>
        <v>#N/A</v>
      </c>
      <c r="L209" s="488" t="e">
        <f>INDEX(Commerce_session1!A6:CX792,MATCH("G",Commerce_session1!A6:A792,0),40)</f>
        <v>#N/A</v>
      </c>
      <c r="M209" s="489" t="e">
        <f>INDEX(Commerce_session1!#REF!,MATCH("a",Commerce_session1!#REF!,0),23)</f>
        <v>#REF!</v>
      </c>
      <c r="N209" s="498" t="e">
        <f>INDEX(Commerce_session1!#REF!,MATCH("a",Commerce_session1!#REF!,0),62)</f>
        <v>#REF!</v>
      </c>
      <c r="O209" s="487" t="e">
        <f>INDEX(Commerce_session1!#REF!,MATCH("a",Commerce_session1!#REF!,0),62)</f>
        <v>#REF!</v>
      </c>
    </row>
    <row r="210" spans="1:15" ht="18.75" customHeight="1" thickTop="1" thickBot="1">
      <c r="A210" s="550"/>
      <c r="B210" s="500"/>
      <c r="C210" s="503"/>
      <c r="D210" s="506"/>
      <c r="E210" s="450"/>
      <c r="F210" s="100" t="s">
        <v>99</v>
      </c>
      <c r="G210" s="78">
        <v>3</v>
      </c>
      <c r="H210" s="79">
        <v>2</v>
      </c>
      <c r="I210" s="18" t="e">
        <f>INDEX(Commerce_session1!A6:CX792,MATCH("G",Commerce_session1!A6:A792,0),33)</f>
        <v>#N/A</v>
      </c>
      <c r="J210" s="15" t="e">
        <f>INDEX(Commerce_session1!A6:CX792,MATCH("G",Commerce_session1!A6:A792,0),34)</f>
        <v>#N/A</v>
      </c>
      <c r="K210" s="510" t="e">
        <f>INDEX(Commerce_session1!#REF!,MATCH("a",Commerce_session1!#REF!,0),22)</f>
        <v>#REF!</v>
      </c>
      <c r="L210" s="496" t="e">
        <f>INDEX(Commerce_session1!#REF!,MATCH("a",Commerce_session1!#REF!,0),22)</f>
        <v>#REF!</v>
      </c>
      <c r="M210" s="497" t="e">
        <f>INDEX(Commerce_session1!#REF!,MATCH("a",Commerce_session1!#REF!,0),22)</f>
        <v>#REF!</v>
      </c>
      <c r="N210" s="498" t="e">
        <f>INDEX(Commerce_session1!#REF!,MATCH("a",Commerce_session1!#REF!,0),62)</f>
        <v>#REF!</v>
      </c>
      <c r="O210" s="487" t="e">
        <f>INDEX(Commerce_session1!#REF!,MATCH("a",Commerce_session1!#REF!,0),62)</f>
        <v>#REF!</v>
      </c>
    </row>
    <row r="211" spans="1:15" ht="18.75" customHeight="1" thickBot="1">
      <c r="A211" s="550"/>
      <c r="B211" s="501"/>
      <c r="C211" s="504"/>
      <c r="D211" s="507"/>
      <c r="E211" s="451"/>
      <c r="F211" s="101" t="s">
        <v>84</v>
      </c>
      <c r="G211" s="80">
        <v>3</v>
      </c>
      <c r="H211" s="81">
        <v>2</v>
      </c>
      <c r="I211" s="20" t="e">
        <f>INDEX(Commerce_session1!A6:CX792,MATCH("G",Commerce_session1!A6:A792,0),37)</f>
        <v>#N/A</v>
      </c>
      <c r="J211" s="17" t="e">
        <f>INDEX(Commerce_session1!A6:CX792,MATCH("G",Commerce_session1!A6:A792,0),38)</f>
        <v>#N/A</v>
      </c>
      <c r="K211" s="511" t="e">
        <f>INDEX(Commerce_session1!#REF!,MATCH("a",Commerce_session1!#REF!,0),22)</f>
        <v>#REF!</v>
      </c>
      <c r="L211" s="490" t="e">
        <f>INDEX(Commerce_session1!#REF!,MATCH("a",Commerce_session1!#REF!,0),22)</f>
        <v>#REF!</v>
      </c>
      <c r="M211" s="491" t="e">
        <f>INDEX(Commerce_session1!#REF!,MATCH("a",Commerce_session1!#REF!,0),22)</f>
        <v>#REF!</v>
      </c>
      <c r="N211" s="498" t="e">
        <f>INDEX(Commerce_session1!#REF!,MATCH("a",Commerce_session1!#REF!,0),62)</f>
        <v>#REF!</v>
      </c>
      <c r="O211" s="487" t="e">
        <f>INDEX(Commerce_session1!#REF!,MATCH("a",Commerce_session1!#REF!,0),62)</f>
        <v>#REF!</v>
      </c>
    </row>
    <row r="212" spans="1:15" ht="33.75" customHeight="1" thickTop="1" thickBot="1">
      <c r="A212" s="550"/>
      <c r="B212" s="531" t="s">
        <v>38</v>
      </c>
      <c r="C212" s="559" t="s">
        <v>50</v>
      </c>
      <c r="D212" s="520">
        <v>5</v>
      </c>
      <c r="E212" s="508">
        <v>2</v>
      </c>
      <c r="F212" s="102" t="s">
        <v>63</v>
      </c>
      <c r="G212" s="68">
        <v>4</v>
      </c>
      <c r="H212" s="69">
        <v>1</v>
      </c>
      <c r="I212" s="18" t="e">
        <f>INDEX(Commerce_session1!A6:CX792,MATCH("G",Commerce_session1!A6:A792,0),43)</f>
        <v>#N/A</v>
      </c>
      <c r="J212" s="19" t="e">
        <f>INDEX(Commerce_session1!A6:CX792,MATCH("G",Commerce_session1!A6:A792,0),44)</f>
        <v>#N/A</v>
      </c>
      <c r="K212" s="509" t="e">
        <f>INDEX(Commerce_session1!A6:CX792,MATCH("G",Commerce_session1!A6:A792,0),48)</f>
        <v>#N/A</v>
      </c>
      <c r="L212" s="488" t="e">
        <f>INDEX(Commerce_session1!A6:CX792,MATCH("G",Commerce_session1!A6:A792,0),49)</f>
        <v>#N/A</v>
      </c>
      <c r="M212" s="489" t="e">
        <f>INDEX(Commerce_session1!#REF!,MATCH("a",Commerce_session1!#REF!,0),29)</f>
        <v>#REF!</v>
      </c>
      <c r="N212" s="498" t="e">
        <f>INDEX(Commerce_session1!#REF!,MATCH("a",Commerce_session1!#REF!,0),62)</f>
        <v>#REF!</v>
      </c>
      <c r="O212" s="487" t="e">
        <f>INDEX(Commerce_session1!#REF!,MATCH("a",Commerce_session1!#REF!,0),62)</f>
        <v>#REF!</v>
      </c>
    </row>
    <row r="213" spans="1:15" ht="18.75" customHeight="1" thickBot="1">
      <c r="A213" s="550"/>
      <c r="B213" s="527"/>
      <c r="C213" s="524"/>
      <c r="D213" s="521"/>
      <c r="E213" s="451"/>
      <c r="F213" s="101" t="s">
        <v>62</v>
      </c>
      <c r="G213" s="80">
        <v>1</v>
      </c>
      <c r="H213" s="81">
        <v>1</v>
      </c>
      <c r="I213" s="16" t="e">
        <f>INDEX(Commerce_session1!A6:CX792,MATCH("G",Commerce_session1!A6:A792,0),46)</f>
        <v>#N/A</v>
      </c>
      <c r="J213" s="21" t="e">
        <f>INDEX(Commerce_session1!A6:CX792,MATCH("G",Commerce_session1!A6:A792,0),47)</f>
        <v>#N/A</v>
      </c>
      <c r="K213" s="511" t="e">
        <f>INDEX(Commerce_session1!#REF!,MATCH("a",Commerce_session1!#REF!,0),28)</f>
        <v>#REF!</v>
      </c>
      <c r="L213" s="490" t="e">
        <f>INDEX(Commerce_session1!#REF!,MATCH("a",Commerce_session1!#REF!,0),28)</f>
        <v>#REF!</v>
      </c>
      <c r="M213" s="491" t="e">
        <f>INDEX(Commerce_session1!#REF!,MATCH("a",Commerce_session1!#REF!,0),28)</f>
        <v>#REF!</v>
      </c>
      <c r="N213" s="498" t="e">
        <f>INDEX(Commerce_session1!#REF!,MATCH("a",Commerce_session1!#REF!,0),62)</f>
        <v>#REF!</v>
      </c>
      <c r="O213" s="487" t="e">
        <f>INDEX(Commerce_session1!#REF!,MATCH("a",Commerce_session1!#REF!,0),62)</f>
        <v>#REF!</v>
      </c>
    </row>
    <row r="214" spans="1:15" ht="20.25" customHeight="1" thickTop="1" thickBot="1">
      <c r="A214" s="551"/>
      <c r="B214" s="105" t="s">
        <v>39</v>
      </c>
      <c r="C214" s="104" t="s">
        <v>51</v>
      </c>
      <c r="D214" s="22">
        <v>1</v>
      </c>
      <c r="E214" s="23">
        <v>1</v>
      </c>
      <c r="F214" s="103" t="s">
        <v>64</v>
      </c>
      <c r="G214" s="82">
        <v>1</v>
      </c>
      <c r="H214" s="83">
        <v>1</v>
      </c>
      <c r="I214" s="20" t="e">
        <f>INDEX(Commerce_session1!A6:CX792,MATCH("G",Commerce_session1!A6:A792,0),52)</f>
        <v>#N/A</v>
      </c>
      <c r="J214" s="24" t="e">
        <f>INDEX(Commerce_session1!A6:CX792,MATCH("G",Commerce_session1!A6:A792,0),53)</f>
        <v>#N/A</v>
      </c>
      <c r="K214" s="36" t="e">
        <f>INDEX(Commerce_session1!A6:CX792,MATCH("G",Commerce_session1!A6:A792,0),54)</f>
        <v>#N/A</v>
      </c>
      <c r="L214" s="492" t="e">
        <f>INDEX(Commerce_session1!A6:CX792,MATCH("G",Commerce_session1!A6:A792,0),55)</f>
        <v>#N/A</v>
      </c>
      <c r="M214" s="493" t="e">
        <f>INDEX(Commerce_session1!#REF!,MATCH("a",Commerce_session1!#REF!,0),33)</f>
        <v>#REF!</v>
      </c>
      <c r="N214" s="498" t="e">
        <f>INDEX(Commerce_session1!#REF!,MATCH("a",Commerce_session1!#REF!,0),62)</f>
        <v>#REF!</v>
      </c>
      <c r="O214" s="487" t="e">
        <f>INDEX(Commerce_session1!#REF!,MATCH("a",Commerce_session1!#REF!,0),62)</f>
        <v>#REF!</v>
      </c>
    </row>
    <row r="215" spans="1:15" ht="19.5" customHeight="1" thickTop="1" thickBot="1">
      <c r="A215" s="516" t="s">
        <v>77</v>
      </c>
      <c r="B215" s="525" t="s">
        <v>36</v>
      </c>
      <c r="C215" s="522" t="s">
        <v>88</v>
      </c>
      <c r="D215" s="528">
        <v>16</v>
      </c>
      <c r="E215" s="449">
        <v>5</v>
      </c>
      <c r="F215" s="96" t="s">
        <v>67</v>
      </c>
      <c r="G215" s="114">
        <v>6</v>
      </c>
      <c r="H215" s="115">
        <v>2</v>
      </c>
      <c r="I215" s="18" t="e">
        <f>INDEX(Commerce_session1!A6:CX792,MATCH("G",Commerce_session1!A6:A792,0),60)</f>
        <v>#N/A</v>
      </c>
      <c r="J215" s="19" t="e">
        <f>INDEX(Commerce_session1!A6:CX792,MATCH("G",Commerce_session1!A6:A792,0),61)</f>
        <v>#N/A</v>
      </c>
      <c r="K215" s="519" t="e">
        <f>INDEX(Commerce_session1!A6:CX792,MATCH("G",Commerce_session1!A6:A792,0),70)</f>
        <v>#N/A</v>
      </c>
      <c r="L215" s="494" t="e">
        <f>INDEX(Commerce_session1!A6:CX792,MATCH("G",Commerce_session1!A6:A792,0),71)</f>
        <v>#N/A</v>
      </c>
      <c r="M215" s="495"/>
      <c r="N215" s="498" t="e">
        <f>INDEX(Commerce_session1!A6:CX792,MATCH("G",Commerce_session1!A6:A792,0),97)</f>
        <v>#N/A</v>
      </c>
      <c r="O215" s="487" t="e">
        <f>INDEX(Commerce_session1!A6:CX792,MATCH("G",Commerce_session1!A6:A792,0),98)</f>
        <v>#N/A</v>
      </c>
    </row>
    <row r="216" spans="1:15" ht="18.75" customHeight="1" thickBot="1">
      <c r="A216" s="517"/>
      <c r="B216" s="526"/>
      <c r="C216" s="523"/>
      <c r="D216" s="529"/>
      <c r="E216" s="450"/>
      <c r="F216" s="100" t="s">
        <v>68</v>
      </c>
      <c r="G216" s="116">
        <v>6</v>
      </c>
      <c r="H216" s="117">
        <v>2</v>
      </c>
      <c r="I216" s="14" t="e">
        <f>INDEX(Commerce_session1!A6:CX792,MATCH("G",Commerce_session1!A6:A792,0),64)</f>
        <v>#N/A</v>
      </c>
      <c r="J216" s="15" t="e">
        <f>INDEX(Commerce_session1!A6:CX792,MATCH("G",Commerce_session1!A6:A792,0),65)</f>
        <v>#N/A</v>
      </c>
      <c r="K216" s="510"/>
      <c r="L216" s="496"/>
      <c r="M216" s="497"/>
      <c r="N216" s="498" t="e">
        <f>INDEX(Commerce_session1!#REF!,MATCH("a",Commerce_session1!#REF!,0),42)</f>
        <v>#REF!</v>
      </c>
      <c r="O216" s="487" t="e">
        <f>INDEX(Commerce_session1!#REF!,MATCH("a",Commerce_session1!#REF!,0),42)</f>
        <v>#REF!</v>
      </c>
    </row>
    <row r="217" spans="1:15" ht="20.25" customHeight="1" thickBot="1">
      <c r="A217" s="517"/>
      <c r="B217" s="527"/>
      <c r="C217" s="524"/>
      <c r="D217" s="530"/>
      <c r="E217" s="451"/>
      <c r="F217" s="101" t="s">
        <v>103</v>
      </c>
      <c r="G217" s="118">
        <v>4</v>
      </c>
      <c r="H217" s="119">
        <v>1</v>
      </c>
      <c r="I217" s="127" t="e">
        <f>INDEX(Commerce_session1!A6:CX792,MATCH("G",Commerce_session1!A6:A792,0),68)</f>
        <v>#N/A</v>
      </c>
      <c r="J217" s="21" t="e">
        <f>INDEX(Commerce_session1!A6:CX792,MATCH("G",Commerce_session1!A6:A792,0),69)</f>
        <v>#N/A</v>
      </c>
      <c r="K217" s="511"/>
      <c r="L217" s="490"/>
      <c r="M217" s="491"/>
      <c r="N217" s="498" t="e">
        <f>INDEX(Commerce_session1!#REF!,MATCH("a",Commerce_session1!#REF!,0),42)</f>
        <v>#REF!</v>
      </c>
      <c r="O217" s="487" t="e">
        <f>INDEX(Commerce_session1!#REF!,MATCH("a",Commerce_session1!#REF!,0),42)</f>
        <v>#REF!</v>
      </c>
    </row>
    <row r="218" spans="1:15" ht="22.5" customHeight="1" thickTop="1" thickBot="1">
      <c r="A218" s="517"/>
      <c r="B218" s="531" t="s">
        <v>37</v>
      </c>
      <c r="C218" s="559" t="s">
        <v>87</v>
      </c>
      <c r="D218" s="532">
        <v>10</v>
      </c>
      <c r="E218" s="508">
        <v>4</v>
      </c>
      <c r="F218" s="128" t="s">
        <v>104</v>
      </c>
      <c r="G218" s="76">
        <v>5</v>
      </c>
      <c r="H218" s="77">
        <v>2</v>
      </c>
      <c r="I218" s="18" t="e">
        <f>INDEX(Commerce_session1!A6:CX792,MATCH("G",Commerce_session1!A6:A792,0),74)</f>
        <v>#N/A</v>
      </c>
      <c r="J218" s="19" t="e">
        <f>INDEX(Commerce_session1!A6:CX792,MATCH("G",Commerce_session1!A6:A792,0),75)</f>
        <v>#N/A</v>
      </c>
      <c r="K218" s="509" t="e">
        <f>INDEX(Commerce_session1!A6:CX792,MATCH("G",Commerce_session1!A6:A792,0),80)</f>
        <v>#N/A</v>
      </c>
      <c r="L218" s="488" t="e">
        <f>INDEX(Commerce_session1!A6:CX792,MATCH("G",Commerce_session1!A6:A792,0),81)</f>
        <v>#N/A</v>
      </c>
      <c r="M218" s="489"/>
      <c r="N218" s="498" t="e">
        <f>INDEX(Commerce_session1!#REF!,MATCH("a",Commerce_session1!#REF!,0),43)</f>
        <v>#REF!</v>
      </c>
      <c r="O218" s="487" t="e">
        <f>INDEX(Commerce_session1!#REF!,MATCH("a",Commerce_session1!#REF!,0),43)</f>
        <v>#REF!</v>
      </c>
    </row>
    <row r="219" spans="1:15" ht="18.75" customHeight="1" thickBot="1">
      <c r="A219" s="517"/>
      <c r="B219" s="527"/>
      <c r="C219" s="524"/>
      <c r="D219" s="530"/>
      <c r="E219" s="451"/>
      <c r="F219" s="98" t="s">
        <v>69</v>
      </c>
      <c r="G219" s="74">
        <v>5</v>
      </c>
      <c r="H219" s="75">
        <v>2</v>
      </c>
      <c r="I219" s="20" t="e">
        <f>INDEX(Commerce_session1!A6:CX792,MATCH("G",Commerce_session1!A6:A792,0),78)</f>
        <v>#N/A</v>
      </c>
      <c r="J219" s="17" t="e">
        <f>INDEX(Commerce_session1!A6:CX792,MATCH("G",Commerce_session1!A6:A792,0),79)</f>
        <v>#N/A</v>
      </c>
      <c r="K219" s="511"/>
      <c r="L219" s="490"/>
      <c r="M219" s="491"/>
      <c r="N219" s="498" t="e">
        <f>INDEX(Commerce_session1!#REF!,MATCH("a",Commerce_session1!#REF!,0),42)</f>
        <v>#REF!</v>
      </c>
      <c r="O219" s="487" t="e">
        <f>INDEX(Commerce_session1!#REF!,MATCH("a",Commerce_session1!#REF!,0),42)</f>
        <v>#REF!</v>
      </c>
    </row>
    <row r="220" spans="1:15" ht="18.75" customHeight="1" thickTop="1" thickBot="1">
      <c r="A220" s="517"/>
      <c r="B220" s="105" t="s">
        <v>38</v>
      </c>
      <c r="C220" s="104" t="s">
        <v>85</v>
      </c>
      <c r="D220" s="22">
        <v>3</v>
      </c>
      <c r="E220" s="23">
        <v>2</v>
      </c>
      <c r="F220" s="101" t="s">
        <v>74</v>
      </c>
      <c r="G220" s="74">
        <v>3</v>
      </c>
      <c r="H220" s="75">
        <v>2</v>
      </c>
      <c r="I220" s="20" t="e">
        <f>INDEX(Commerce_session1!A6:CX792,MATCH("G",Commerce_session1!A6:A792,0),84)</f>
        <v>#N/A</v>
      </c>
      <c r="J220" s="17" t="e">
        <f>INDEX(Commerce_session1!A6:CX792,MATCH("G",Commerce_session1!A6:A792,0),85)</f>
        <v>#N/A</v>
      </c>
      <c r="K220" s="123" t="e">
        <f>INDEX(Commerce_session1!A6:CX792,MATCH("G",Commerce_session1!A6:A792,0),86)</f>
        <v>#N/A</v>
      </c>
      <c r="L220" s="512" t="e">
        <f>INDEX(Commerce_session1!A6:CX792,MATCH("G",Commerce_session1!A6:A792,0),87)</f>
        <v>#N/A</v>
      </c>
      <c r="M220" s="513"/>
      <c r="N220" s="498" t="e">
        <f>INDEX(Commerce_session1!#REF!,MATCH("a",Commerce_session1!#REF!,0),42)</f>
        <v>#REF!</v>
      </c>
      <c r="O220" s="487" t="e">
        <f>INDEX(Commerce_session1!#REF!,MATCH("a",Commerce_session1!#REF!,0),42)</f>
        <v>#REF!</v>
      </c>
    </row>
    <row r="221" spans="1:15" ht="20.25" customHeight="1" thickTop="1" thickBot="1">
      <c r="A221" s="518"/>
      <c r="B221" s="105" t="s">
        <v>39</v>
      </c>
      <c r="C221" s="104" t="s">
        <v>86</v>
      </c>
      <c r="D221" s="22">
        <v>1</v>
      </c>
      <c r="E221" s="23">
        <v>1</v>
      </c>
      <c r="F221" s="103" t="s">
        <v>73</v>
      </c>
      <c r="G221" s="82">
        <v>1</v>
      </c>
      <c r="H221" s="83">
        <v>1</v>
      </c>
      <c r="I221" s="25" t="e">
        <f>INDEX(Commerce_session1!A6:CX792,MATCH("G",Commerce_session1!A6:A792,0),89)</f>
        <v>#N/A</v>
      </c>
      <c r="J221" s="26" t="e">
        <f>INDEX(Commerce_session1!A6:CX792,MATCH("G",Commerce_session1!A6:A792,0),90)</f>
        <v>#N/A</v>
      </c>
      <c r="K221" s="27" t="e">
        <f>INDEX(Commerce_session1!A6:CX792,MATCH("G",Commerce_session1!A6:A792,0),91)</f>
        <v>#N/A</v>
      </c>
      <c r="L221" s="514" t="e">
        <f>INDEX(Commerce_session1!A6:CX792,MATCH("G",Commerce_session1!A6:A792,0),92)</f>
        <v>#N/A</v>
      </c>
      <c r="M221" s="515" t="e">
        <f>INDEX(Commerce_session1!#REF!,MATCH("a",Commerce_session1!#REF!,0),61)</f>
        <v>#REF!</v>
      </c>
      <c r="N221" s="498" t="e">
        <f>INDEX(Commerce_session1!#REF!,MATCH("a",Commerce_session1!#REF!,0),42)</f>
        <v>#REF!</v>
      </c>
      <c r="O221" s="487" t="e">
        <f>INDEX(Commerce_session1!#REF!,MATCH("a",Commerce_session1!#REF!,0),42)</f>
        <v>#REF!</v>
      </c>
    </row>
    <row r="222" spans="1:15" ht="20.25">
      <c r="A222" s="535" t="s">
        <v>40</v>
      </c>
      <c r="B222" s="536"/>
      <c r="C222" s="537"/>
      <c r="D222" s="121" t="e">
        <f>INDEX(Commerce_session1!A6:CX792,MATCH("G",Commerce_session1!A6:A792,0),99)</f>
        <v>#N/A</v>
      </c>
      <c r="E222" s="538" t="s">
        <v>41</v>
      </c>
      <c r="F222" s="540"/>
      <c r="G222" s="120" t="e">
        <f>INDEX(Commerce_session1!A6:CX792,MATCH("G",Commerce_session1!A6:A792,0),100)</f>
        <v>#N/A</v>
      </c>
      <c r="H222" s="538" t="s">
        <v>91</v>
      </c>
      <c r="I222" s="539"/>
      <c r="J222" s="539"/>
      <c r="K222" s="540"/>
      <c r="L222" s="541" t="e">
        <f>INDEX(Commerce_session1!A6:CX792,MATCH("G",Commerce_session1!A6:A792,0),101)</f>
        <v>#N/A</v>
      </c>
      <c r="M222" s="542"/>
      <c r="N222" s="8"/>
      <c r="O222" s="8"/>
    </row>
    <row r="223" spans="1:15" ht="22.5">
      <c r="A223" s="546" t="s">
        <v>42</v>
      </c>
      <c r="B223" s="547"/>
      <c r="C223" s="548"/>
      <c r="D223" s="543" t="e">
        <f>INDEX(Commerce_session1!A6:CX792,MATCH("G",Commerce_session1!A6:A792,0),102)</f>
        <v>#N/A</v>
      </c>
      <c r="E223" s="544"/>
      <c r="F223" s="545"/>
      <c r="G223" s="108"/>
      <c r="H223" s="109"/>
      <c r="I223" s="110"/>
      <c r="J223" s="111"/>
      <c r="K223" s="110"/>
      <c r="L223" s="110"/>
      <c r="M223" s="110"/>
      <c r="N223" s="112" t="s">
        <v>43</v>
      </c>
      <c r="O223" s="28">
        <f ca="1">TODAY()</f>
        <v>43626</v>
      </c>
    </row>
    <row r="224" spans="1:15" ht="32.25" customHeight="1">
      <c r="A224" s="113" t="s">
        <v>44</v>
      </c>
      <c r="B224" s="29"/>
      <c r="C224" s="29"/>
      <c r="D224" s="533"/>
      <c r="E224" s="533"/>
      <c r="F224" s="30"/>
      <c r="G224" s="4"/>
      <c r="J224" s="4"/>
      <c r="L224" s="534" t="s">
        <v>46</v>
      </c>
      <c r="M224" s="534"/>
      <c r="N224" s="534"/>
    </row>
    <row r="225" spans="1:18" ht="23.25" customHeight="1" thickBot="1">
      <c r="A225" s="84" t="s">
        <v>12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445" t="s">
        <v>13</v>
      </c>
      <c r="M225" s="445"/>
      <c r="N225" s="445"/>
      <c r="O225" s="445"/>
      <c r="P225" s="2"/>
      <c r="Q225" s="2"/>
      <c r="R225" s="2"/>
    </row>
    <row r="226" spans="1:18" ht="15.75">
      <c r="A226" s="446" t="s">
        <v>14</v>
      </c>
      <c r="B226" s="446"/>
      <c r="C226" s="446"/>
      <c r="D226" s="446"/>
      <c r="E226" s="446"/>
      <c r="F226" s="3"/>
      <c r="H226" s="4"/>
      <c r="K226" s="4"/>
      <c r="L226" s="4"/>
    </row>
    <row r="227" spans="1:18" ht="15.75">
      <c r="A227" s="85" t="s">
        <v>15</v>
      </c>
      <c r="B227" s="85"/>
      <c r="C227" s="85"/>
      <c r="D227" s="85"/>
      <c r="E227" s="85"/>
      <c r="F227" s="5"/>
      <c r="H227" s="4"/>
      <c r="K227" s="4"/>
      <c r="L227" s="4"/>
      <c r="P227" s="6"/>
    </row>
    <row r="228" spans="1:18" ht="15.75">
      <c r="A228" s="85" t="s">
        <v>100</v>
      </c>
      <c r="B228" s="85"/>
      <c r="C228" s="85"/>
      <c r="D228" s="85"/>
      <c r="E228" s="85"/>
      <c r="F228" s="3"/>
      <c r="H228" s="4"/>
      <c r="K228" s="4"/>
      <c r="L228" s="4"/>
    </row>
    <row r="229" spans="1:18" s="8" customFormat="1" ht="27" customHeight="1">
      <c r="A229" s="7"/>
      <c r="B229" s="7"/>
      <c r="C229" s="7"/>
      <c r="D229" s="447" t="s">
        <v>94</v>
      </c>
      <c r="E229" s="447"/>
      <c r="F229" s="447"/>
      <c r="G229" s="447"/>
      <c r="H229" s="447"/>
      <c r="I229" s="447"/>
      <c r="J229" s="447"/>
      <c r="K229" s="447"/>
      <c r="L229" s="447"/>
      <c r="M229" s="7"/>
      <c r="N229" s="7"/>
      <c r="O229" s="7"/>
    </row>
    <row r="230" spans="1:18" ht="23.25" customHeight="1">
      <c r="A230" s="126" t="s">
        <v>101</v>
      </c>
      <c r="B230" s="126"/>
      <c r="C230" s="126"/>
      <c r="D230" s="126"/>
      <c r="E230" s="126"/>
      <c r="F230" s="126"/>
      <c r="G230" s="122"/>
      <c r="H230" s="122"/>
      <c r="I230" s="122" t="e">
        <f>IF(D255="ناجح(ة) دورة1","-الدورة الأولى-","-الدورة الثانية-")</f>
        <v>#N/A</v>
      </c>
      <c r="J230" s="124" t="s">
        <v>48</v>
      </c>
      <c r="K230" s="124"/>
      <c r="L230" s="87"/>
      <c r="M230" s="88"/>
      <c r="N230" s="89"/>
      <c r="O230" s="9"/>
    </row>
    <row r="231" spans="1:18" ht="20.25" customHeight="1">
      <c r="A231" s="476" t="s">
        <v>93</v>
      </c>
      <c r="B231" s="476"/>
      <c r="C231" s="90" t="e">
        <f>INDEX(Commerce_session1!A6:CX792,MATCH("H",Commerce_session1!A6:A792,0),3)</f>
        <v>#N/A</v>
      </c>
      <c r="D231" s="91" t="s">
        <v>92</v>
      </c>
      <c r="E231" s="448" t="e">
        <f>INDEX(Commerce_session1!A6:CX792,MATCH("H",Commerce_session1!A6:A792,0),4)</f>
        <v>#N/A</v>
      </c>
      <c r="F231" s="448" t="e">
        <f>INDEX(Commerce_session1!D179:DA316,MATCH("a",Commerce_session1!D179:D316,0),3)</f>
        <v>#N/A</v>
      </c>
      <c r="G231" s="477" t="s">
        <v>16</v>
      </c>
      <c r="H231" s="477"/>
      <c r="I231" s="477"/>
      <c r="J231" s="478" t="e">
        <f>INDEX(Commerce_session1!A6:CX792,MATCH("H",Commerce_session1!A6:A792,0),6)</f>
        <v>#N/A</v>
      </c>
      <c r="K231" s="478"/>
      <c r="L231" s="88"/>
      <c r="M231" s="92" t="s">
        <v>17</v>
      </c>
      <c r="N231" s="90" t="e">
        <f>INDEX(Commerce_session1!A6:CX792,MATCH("H",Commerce_session1!A6:A792,0),7)</f>
        <v>#N/A</v>
      </c>
      <c r="O231" s="10"/>
    </row>
    <row r="232" spans="1:18" ht="20.25" customHeight="1">
      <c r="A232" s="476" t="s">
        <v>18</v>
      </c>
      <c r="B232" s="476"/>
      <c r="C232" s="448" t="e">
        <f>INDEX(Commerce_session1!A6:CX792,MATCH("H",Commerce_session1!A6:A792,0),5)</f>
        <v>#N/A</v>
      </c>
      <c r="D232" s="448"/>
      <c r="E232" s="91"/>
      <c r="F232" s="88"/>
      <c r="G232" s="93"/>
      <c r="H232" s="88"/>
      <c r="I232" s="88"/>
      <c r="J232" s="93"/>
      <c r="K232" s="88"/>
      <c r="L232" s="88"/>
      <c r="M232" s="88"/>
      <c r="N232" s="88"/>
      <c r="O232" s="10"/>
    </row>
    <row r="233" spans="1:18" ht="20.25" customHeight="1">
      <c r="A233" s="476" t="s">
        <v>102</v>
      </c>
      <c r="B233" s="476"/>
      <c r="C233" s="476"/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  <c r="N233" s="476"/>
      <c r="O233" s="476"/>
    </row>
    <row r="234" spans="1:18" ht="20.25" customHeight="1" thickBot="1">
      <c r="A234" s="459" t="s">
        <v>19</v>
      </c>
      <c r="B234" s="459"/>
      <c r="C234" s="459"/>
      <c r="D234" s="459"/>
      <c r="E234" s="459"/>
      <c r="F234" s="459"/>
      <c r="G234" s="459"/>
      <c r="H234" s="94"/>
      <c r="I234" s="94"/>
      <c r="J234" s="95"/>
      <c r="K234" s="94"/>
      <c r="L234" s="94"/>
      <c r="M234" s="94"/>
      <c r="N234" s="94"/>
      <c r="O234" s="11"/>
    </row>
    <row r="235" spans="1:18" ht="18.75" thickBot="1">
      <c r="A235" s="460" t="s">
        <v>20</v>
      </c>
      <c r="B235" s="463" t="s">
        <v>21</v>
      </c>
      <c r="C235" s="464"/>
      <c r="D235" s="464"/>
      <c r="E235" s="464"/>
      <c r="F235" s="464" t="s">
        <v>22</v>
      </c>
      <c r="G235" s="464"/>
      <c r="H235" s="464"/>
      <c r="I235" s="465" t="s">
        <v>23</v>
      </c>
      <c r="J235" s="466"/>
      <c r="K235" s="466"/>
      <c r="L235" s="466"/>
      <c r="M235" s="466"/>
      <c r="N235" s="466"/>
      <c r="O235" s="467"/>
    </row>
    <row r="236" spans="1:18">
      <c r="A236" s="461"/>
      <c r="B236" s="468" t="s">
        <v>24</v>
      </c>
      <c r="C236" s="470" t="s">
        <v>25</v>
      </c>
      <c r="D236" s="472" t="s">
        <v>26</v>
      </c>
      <c r="E236" s="474" t="s">
        <v>27</v>
      </c>
      <c r="F236" s="479" t="s">
        <v>28</v>
      </c>
      <c r="G236" s="468" t="s">
        <v>11</v>
      </c>
      <c r="H236" s="481" t="s">
        <v>27</v>
      </c>
      <c r="I236" s="482" t="s">
        <v>29</v>
      </c>
      <c r="J236" s="483"/>
      <c r="K236" s="484" t="s">
        <v>30</v>
      </c>
      <c r="L236" s="485"/>
      <c r="M236" s="486"/>
      <c r="N236" s="455" t="s">
        <v>20</v>
      </c>
      <c r="O236" s="456"/>
    </row>
    <row r="237" spans="1:18" ht="15.75" thickBot="1">
      <c r="A237" s="462"/>
      <c r="B237" s="469"/>
      <c r="C237" s="471"/>
      <c r="D237" s="473"/>
      <c r="E237" s="475"/>
      <c r="F237" s="480"/>
      <c r="G237" s="469"/>
      <c r="H237" s="473"/>
      <c r="I237" s="106" t="s">
        <v>10</v>
      </c>
      <c r="J237" s="106" t="s">
        <v>31</v>
      </c>
      <c r="K237" s="106" t="s">
        <v>32</v>
      </c>
      <c r="L237" s="457" t="s">
        <v>33</v>
      </c>
      <c r="M237" s="458"/>
      <c r="N237" s="106" t="s">
        <v>34</v>
      </c>
      <c r="O237" s="107" t="s">
        <v>35</v>
      </c>
    </row>
    <row r="238" spans="1:18" ht="18.75" customHeight="1" thickBot="1">
      <c r="A238" s="549" t="s">
        <v>76</v>
      </c>
      <c r="B238" s="552" t="s">
        <v>36</v>
      </c>
      <c r="C238" s="555" t="s">
        <v>90</v>
      </c>
      <c r="D238" s="556">
        <v>17</v>
      </c>
      <c r="E238" s="449">
        <v>6</v>
      </c>
      <c r="F238" s="96" t="s">
        <v>54</v>
      </c>
      <c r="G238" s="70">
        <v>5</v>
      </c>
      <c r="H238" s="71">
        <v>2</v>
      </c>
      <c r="I238" s="12" t="e">
        <f>INDEX(Commerce_session1!A6:CX792,MATCH("H",Commerce_session1!A6:A792,0),16)</f>
        <v>#N/A</v>
      </c>
      <c r="J238" s="13" t="e">
        <f>INDEX(Commerce_session1!A6:CX792,MATCH("H",Commerce_session1!A6:A792,0),17)</f>
        <v>#N/A</v>
      </c>
      <c r="K238" s="452" t="e">
        <f>INDEX(Commerce_session1!A6:CX792,MATCH("H",Commerce_session1!A6:A792,0),26)</f>
        <v>#N/A</v>
      </c>
      <c r="L238" s="494" t="e">
        <f>INDEX(Commerce_session1!A6:CX792,MATCH("H",Commerce_session1!A6:A792,0),27)</f>
        <v>#N/A</v>
      </c>
      <c r="M238" s="495" t="e">
        <f>INDEX(Commerce_session1!#REF!,MATCH("a",Commerce_session1!#REF!,0),15)</f>
        <v>#REF!</v>
      </c>
      <c r="N238" s="498" t="e">
        <f>INDEX(Commerce_session1!A6:CX792,MATCH("H",Commerce_session1!A6:A792,0),95)</f>
        <v>#N/A</v>
      </c>
      <c r="O238" s="487" t="e">
        <f>INDEX(Commerce_session1!A6:CX792,MATCH("H",Commerce_session1!A6:A792,0),96)</f>
        <v>#N/A</v>
      </c>
    </row>
    <row r="239" spans="1:18" ht="18.75" customHeight="1" thickBot="1">
      <c r="A239" s="550"/>
      <c r="B239" s="553"/>
      <c r="C239" s="503"/>
      <c r="D239" s="557"/>
      <c r="E239" s="450"/>
      <c r="F239" s="97" t="s">
        <v>55</v>
      </c>
      <c r="G239" s="72">
        <v>6</v>
      </c>
      <c r="H239" s="73">
        <v>2</v>
      </c>
      <c r="I239" s="14" t="e">
        <f>INDEX(Commerce_session1!A6:CX792,MATCH("H",Commerce_session1!A6:A792,0),20)</f>
        <v>#N/A</v>
      </c>
      <c r="J239" s="15" t="e">
        <f>INDEX(Commerce_session1!A6:CX792,MATCH("H",Commerce_session1!A6:A792,0),21)</f>
        <v>#N/A</v>
      </c>
      <c r="K239" s="453" t="e">
        <f>INDEX(Commerce_session1!#REF!,MATCH("a",Commerce_session1!#REF!,0),14)</f>
        <v>#REF!</v>
      </c>
      <c r="L239" s="496" t="e">
        <f>INDEX(Commerce_session1!#REF!,MATCH("a",Commerce_session1!#REF!,0),14)</f>
        <v>#REF!</v>
      </c>
      <c r="M239" s="497" t="e">
        <f>INDEX(Commerce_session1!#REF!,MATCH("a",Commerce_session1!#REF!,0),14)</f>
        <v>#REF!</v>
      </c>
      <c r="N239" s="498" t="e">
        <f>INDEX(Commerce_session1!#REF!,MATCH("a",Commerce_session1!#REF!,0),62)</f>
        <v>#REF!</v>
      </c>
      <c r="O239" s="487" t="e">
        <f>INDEX(Commerce_session1!#REF!,MATCH("a",Commerce_session1!#REF!,0),62)</f>
        <v>#REF!</v>
      </c>
    </row>
    <row r="240" spans="1:18" ht="18.75" customHeight="1" thickBot="1">
      <c r="A240" s="550"/>
      <c r="B240" s="554"/>
      <c r="C240" s="504"/>
      <c r="D240" s="558"/>
      <c r="E240" s="451"/>
      <c r="F240" s="98" t="s">
        <v>56</v>
      </c>
      <c r="G240" s="74">
        <v>6</v>
      </c>
      <c r="H240" s="75">
        <v>2</v>
      </c>
      <c r="I240" s="16" t="e">
        <f>INDEX(Commerce_session1!A6:CX792,MATCH("H",Commerce_session1!A6:A792,0),24)</f>
        <v>#N/A</v>
      </c>
      <c r="J240" s="17" t="e">
        <f>INDEX(Commerce_session1!A6:CX792,MATCH("H",Commerce_session1!A6:A792,0),25)</f>
        <v>#N/A</v>
      </c>
      <c r="K240" s="454" t="e">
        <f>INDEX(Commerce_session1!#REF!,MATCH("a",Commerce_session1!#REF!,0),14)</f>
        <v>#REF!</v>
      </c>
      <c r="L240" s="490" t="e">
        <f>INDEX(Commerce_session1!#REF!,MATCH("a",Commerce_session1!#REF!,0),14)</f>
        <v>#REF!</v>
      </c>
      <c r="M240" s="491" t="e">
        <f>INDEX(Commerce_session1!#REF!,MATCH("a",Commerce_session1!#REF!,0),14)</f>
        <v>#REF!</v>
      </c>
      <c r="N240" s="498" t="e">
        <f>INDEX(Commerce_session1!#REF!,MATCH("a",Commerce_session1!#REF!,0),62)</f>
        <v>#REF!</v>
      </c>
      <c r="O240" s="487" t="e">
        <f>INDEX(Commerce_session1!#REF!,MATCH("a",Commerce_session1!#REF!,0),62)</f>
        <v>#REF!</v>
      </c>
    </row>
    <row r="241" spans="1:15" ht="19.5" customHeight="1" thickTop="1" thickBot="1">
      <c r="A241" s="550"/>
      <c r="B241" s="499" t="s">
        <v>37</v>
      </c>
      <c r="C241" s="502" t="s">
        <v>89</v>
      </c>
      <c r="D241" s="505">
        <v>7</v>
      </c>
      <c r="E241" s="508">
        <v>5</v>
      </c>
      <c r="F241" s="99" t="s">
        <v>83</v>
      </c>
      <c r="G241" s="76">
        <v>1</v>
      </c>
      <c r="H241" s="77">
        <v>1</v>
      </c>
      <c r="I241" s="18" t="e">
        <f>INDEX(Commerce_session1!A6:CX792,MATCH("H",Commerce_session1!A6:A792,0),29)</f>
        <v>#N/A</v>
      </c>
      <c r="J241" s="19" t="e">
        <f>INDEX(Commerce_session1!A6:CX792,MATCH("H",Commerce_session1!A6:A792,0),30)</f>
        <v>#N/A</v>
      </c>
      <c r="K241" s="509" t="e">
        <f>INDEX(Commerce_session1!A6:CX792,MATCH("H",Commerce_session1!A6:A792,0),39)</f>
        <v>#N/A</v>
      </c>
      <c r="L241" s="488" t="e">
        <f>INDEX(Commerce_session1!A6:CX792,MATCH("H",Commerce_session1!A6:A792,0),40)</f>
        <v>#N/A</v>
      </c>
      <c r="M241" s="489" t="e">
        <f>INDEX(Commerce_session1!#REF!,MATCH("a",Commerce_session1!#REF!,0),23)</f>
        <v>#REF!</v>
      </c>
      <c r="N241" s="498" t="e">
        <f>INDEX(Commerce_session1!#REF!,MATCH("a",Commerce_session1!#REF!,0),62)</f>
        <v>#REF!</v>
      </c>
      <c r="O241" s="487" t="e">
        <f>INDEX(Commerce_session1!#REF!,MATCH("a",Commerce_session1!#REF!,0),62)</f>
        <v>#REF!</v>
      </c>
    </row>
    <row r="242" spans="1:15" ht="18.75" customHeight="1" thickTop="1" thickBot="1">
      <c r="A242" s="550"/>
      <c r="B242" s="500"/>
      <c r="C242" s="503"/>
      <c r="D242" s="506"/>
      <c r="E242" s="450"/>
      <c r="F242" s="100" t="s">
        <v>99</v>
      </c>
      <c r="G242" s="78">
        <v>3</v>
      </c>
      <c r="H242" s="79">
        <v>2</v>
      </c>
      <c r="I242" s="18" t="e">
        <f>INDEX(Commerce_session1!A6:CX792,MATCH("H",Commerce_session1!A6:A792,0),33)</f>
        <v>#N/A</v>
      </c>
      <c r="J242" s="15" t="e">
        <f>INDEX(Commerce_session1!A6:CX792,MATCH("H",Commerce_session1!A6:A792,0),34)</f>
        <v>#N/A</v>
      </c>
      <c r="K242" s="510" t="e">
        <f>INDEX(Commerce_session1!#REF!,MATCH("a",Commerce_session1!#REF!,0),22)</f>
        <v>#REF!</v>
      </c>
      <c r="L242" s="496" t="e">
        <f>INDEX(Commerce_session1!#REF!,MATCH("a",Commerce_session1!#REF!,0),22)</f>
        <v>#REF!</v>
      </c>
      <c r="M242" s="497" t="e">
        <f>INDEX(Commerce_session1!#REF!,MATCH("a",Commerce_session1!#REF!,0),22)</f>
        <v>#REF!</v>
      </c>
      <c r="N242" s="498" t="e">
        <f>INDEX(Commerce_session1!#REF!,MATCH("a",Commerce_session1!#REF!,0),62)</f>
        <v>#REF!</v>
      </c>
      <c r="O242" s="487" t="e">
        <f>INDEX(Commerce_session1!#REF!,MATCH("a",Commerce_session1!#REF!,0),62)</f>
        <v>#REF!</v>
      </c>
    </row>
    <row r="243" spans="1:15" ht="18.75" customHeight="1" thickBot="1">
      <c r="A243" s="550"/>
      <c r="B243" s="501"/>
      <c r="C243" s="504"/>
      <c r="D243" s="507"/>
      <c r="E243" s="451"/>
      <c r="F243" s="101" t="s">
        <v>84</v>
      </c>
      <c r="G243" s="80">
        <v>3</v>
      </c>
      <c r="H243" s="81">
        <v>2</v>
      </c>
      <c r="I243" s="20" t="e">
        <f>INDEX(Commerce_session1!A6:CX792,MATCH("H",Commerce_session1!A6:A792,0),37)</f>
        <v>#N/A</v>
      </c>
      <c r="J243" s="17" t="e">
        <f>INDEX(Commerce_session1!A6:CX792,MATCH("H",Commerce_session1!A6:A792,0),38)</f>
        <v>#N/A</v>
      </c>
      <c r="K243" s="511" t="e">
        <f>INDEX(Commerce_session1!#REF!,MATCH("a",Commerce_session1!#REF!,0),22)</f>
        <v>#REF!</v>
      </c>
      <c r="L243" s="490" t="e">
        <f>INDEX(Commerce_session1!#REF!,MATCH("a",Commerce_session1!#REF!,0),22)</f>
        <v>#REF!</v>
      </c>
      <c r="M243" s="491" t="e">
        <f>INDEX(Commerce_session1!#REF!,MATCH("a",Commerce_session1!#REF!,0),22)</f>
        <v>#REF!</v>
      </c>
      <c r="N243" s="498" t="e">
        <f>INDEX(Commerce_session1!#REF!,MATCH("a",Commerce_session1!#REF!,0),62)</f>
        <v>#REF!</v>
      </c>
      <c r="O243" s="487" t="e">
        <f>INDEX(Commerce_session1!#REF!,MATCH("a",Commerce_session1!#REF!,0),62)</f>
        <v>#REF!</v>
      </c>
    </row>
    <row r="244" spans="1:15" ht="33.75" customHeight="1" thickTop="1" thickBot="1">
      <c r="A244" s="550"/>
      <c r="B244" s="531" t="s">
        <v>38</v>
      </c>
      <c r="C244" s="559" t="s">
        <v>50</v>
      </c>
      <c r="D244" s="520">
        <v>5</v>
      </c>
      <c r="E244" s="508">
        <v>2</v>
      </c>
      <c r="F244" s="102" t="s">
        <v>63</v>
      </c>
      <c r="G244" s="68">
        <v>4</v>
      </c>
      <c r="H244" s="69">
        <v>1</v>
      </c>
      <c r="I244" s="18" t="e">
        <f>INDEX(Commerce_session1!A6:CX792,MATCH("H",Commerce_session1!A6:A792,0),43)</f>
        <v>#N/A</v>
      </c>
      <c r="J244" s="19" t="e">
        <f>INDEX(Commerce_session1!A6:CX792,MATCH("H",Commerce_session1!A6:A792,0),44)</f>
        <v>#N/A</v>
      </c>
      <c r="K244" s="509" t="e">
        <f>INDEX(Commerce_session1!A6:CX792,MATCH("H",Commerce_session1!A6:A792,0),48)</f>
        <v>#N/A</v>
      </c>
      <c r="L244" s="488" t="e">
        <f>INDEX(Commerce_session1!A6:CX792,MATCH("H",Commerce_session1!A6:A792,0),49)</f>
        <v>#N/A</v>
      </c>
      <c r="M244" s="489" t="e">
        <f>INDEX(Commerce_session1!#REF!,MATCH("a",Commerce_session1!#REF!,0),29)</f>
        <v>#REF!</v>
      </c>
      <c r="N244" s="498" t="e">
        <f>INDEX(Commerce_session1!#REF!,MATCH("a",Commerce_session1!#REF!,0),62)</f>
        <v>#REF!</v>
      </c>
      <c r="O244" s="487" t="e">
        <f>INDEX(Commerce_session1!#REF!,MATCH("a",Commerce_session1!#REF!,0),62)</f>
        <v>#REF!</v>
      </c>
    </row>
    <row r="245" spans="1:15" ht="18.75" customHeight="1" thickBot="1">
      <c r="A245" s="550"/>
      <c r="B245" s="527"/>
      <c r="C245" s="524"/>
      <c r="D245" s="521"/>
      <c r="E245" s="451"/>
      <c r="F245" s="101" t="s">
        <v>62</v>
      </c>
      <c r="G245" s="80">
        <v>1</v>
      </c>
      <c r="H245" s="81">
        <v>1</v>
      </c>
      <c r="I245" s="16" t="e">
        <f>INDEX(Commerce_session1!A6:CX792,MATCH("H",Commerce_session1!A6:A792,0),46)</f>
        <v>#N/A</v>
      </c>
      <c r="J245" s="21" t="e">
        <f>INDEX(Commerce_session1!A6:CX792,MATCH("H",Commerce_session1!A6:A792,0),47)</f>
        <v>#N/A</v>
      </c>
      <c r="K245" s="511" t="e">
        <f>INDEX(Commerce_session1!#REF!,MATCH("a",Commerce_session1!#REF!,0),28)</f>
        <v>#REF!</v>
      </c>
      <c r="L245" s="490" t="e">
        <f>INDEX(Commerce_session1!#REF!,MATCH("a",Commerce_session1!#REF!,0),28)</f>
        <v>#REF!</v>
      </c>
      <c r="M245" s="491" t="e">
        <f>INDEX(Commerce_session1!#REF!,MATCH("a",Commerce_session1!#REF!,0),28)</f>
        <v>#REF!</v>
      </c>
      <c r="N245" s="498" t="e">
        <f>INDEX(Commerce_session1!#REF!,MATCH("a",Commerce_session1!#REF!,0),62)</f>
        <v>#REF!</v>
      </c>
      <c r="O245" s="487" t="e">
        <f>INDEX(Commerce_session1!#REF!,MATCH("a",Commerce_session1!#REF!,0),62)</f>
        <v>#REF!</v>
      </c>
    </row>
    <row r="246" spans="1:15" ht="20.25" customHeight="1" thickTop="1" thickBot="1">
      <c r="A246" s="551"/>
      <c r="B246" s="105" t="s">
        <v>39</v>
      </c>
      <c r="C246" s="104" t="s">
        <v>51</v>
      </c>
      <c r="D246" s="22">
        <v>1</v>
      </c>
      <c r="E246" s="23">
        <v>1</v>
      </c>
      <c r="F246" s="103" t="s">
        <v>64</v>
      </c>
      <c r="G246" s="82">
        <v>1</v>
      </c>
      <c r="H246" s="83">
        <v>1</v>
      </c>
      <c r="I246" s="20" t="e">
        <f>INDEX(Commerce_session1!A6:CX792,MATCH("H",Commerce_session1!A6:A792,0),52)</f>
        <v>#N/A</v>
      </c>
      <c r="J246" s="24" t="e">
        <f>INDEX(Commerce_session1!A6:CX792,MATCH("H",Commerce_session1!A6:A792,0),53)</f>
        <v>#N/A</v>
      </c>
      <c r="K246" s="36" t="e">
        <f>INDEX(Commerce_session1!A6:CX792,MATCH("H",Commerce_session1!A6:A792,0),54)</f>
        <v>#N/A</v>
      </c>
      <c r="L246" s="492" t="e">
        <f>INDEX(Commerce_session1!A6:CX792,MATCH("H",Commerce_session1!A6:A792,0),55)</f>
        <v>#N/A</v>
      </c>
      <c r="M246" s="493" t="e">
        <f>INDEX(Commerce_session1!#REF!,MATCH("a",Commerce_session1!#REF!,0),33)</f>
        <v>#REF!</v>
      </c>
      <c r="N246" s="498" t="e">
        <f>INDEX(Commerce_session1!#REF!,MATCH("a",Commerce_session1!#REF!,0),62)</f>
        <v>#REF!</v>
      </c>
      <c r="O246" s="487" t="e">
        <f>INDEX(Commerce_session1!#REF!,MATCH("a",Commerce_session1!#REF!,0),62)</f>
        <v>#REF!</v>
      </c>
    </row>
    <row r="247" spans="1:15" ht="19.5" customHeight="1" thickTop="1" thickBot="1">
      <c r="A247" s="516" t="s">
        <v>77</v>
      </c>
      <c r="B247" s="525" t="s">
        <v>36</v>
      </c>
      <c r="C247" s="522" t="s">
        <v>88</v>
      </c>
      <c r="D247" s="528">
        <v>16</v>
      </c>
      <c r="E247" s="449">
        <v>5</v>
      </c>
      <c r="F247" s="96" t="s">
        <v>67</v>
      </c>
      <c r="G247" s="114">
        <v>6</v>
      </c>
      <c r="H247" s="115">
        <v>2</v>
      </c>
      <c r="I247" s="18" t="e">
        <f>INDEX(Commerce_session1!A6:CX792,MATCH("H",Commerce_session1!A6:A792,0),60)</f>
        <v>#N/A</v>
      </c>
      <c r="J247" s="19" t="e">
        <f>INDEX(Commerce_session1!A6:CX792,MATCH("H",Commerce_session1!A6:A792,0),61)</f>
        <v>#N/A</v>
      </c>
      <c r="K247" s="519" t="e">
        <f>INDEX(Commerce_session1!A6:CX792,MATCH("H",Commerce_session1!A6:A792,0),70)</f>
        <v>#N/A</v>
      </c>
      <c r="L247" s="494" t="e">
        <f>INDEX(Commerce_session1!A6:CX792,MATCH("H",Commerce_session1!A6:A792,0),71)</f>
        <v>#N/A</v>
      </c>
      <c r="M247" s="495"/>
      <c r="N247" s="498" t="e">
        <f>INDEX(Commerce_session1!A6:CX792,MATCH("H",Commerce_session1!A6:A792,0),97)</f>
        <v>#N/A</v>
      </c>
      <c r="O247" s="487" t="e">
        <f>INDEX(Commerce_session1!A6:CX792,MATCH("H",Commerce_session1!A6:A792,0),98)</f>
        <v>#N/A</v>
      </c>
    </row>
    <row r="248" spans="1:15" ht="18.75" customHeight="1" thickBot="1">
      <c r="A248" s="517"/>
      <c r="B248" s="526"/>
      <c r="C248" s="523"/>
      <c r="D248" s="529"/>
      <c r="E248" s="450"/>
      <c r="F248" s="100" t="s">
        <v>68</v>
      </c>
      <c r="G248" s="116">
        <v>6</v>
      </c>
      <c r="H248" s="117">
        <v>2</v>
      </c>
      <c r="I248" s="14" t="e">
        <f>INDEX(Commerce_session1!A6:CX792,MATCH("H",Commerce_session1!A6:A792,0),64)</f>
        <v>#N/A</v>
      </c>
      <c r="J248" s="15" t="e">
        <f>INDEX(Commerce_session1!A6:CX792,MATCH("H",Commerce_session1!A6:A792,0),65)</f>
        <v>#N/A</v>
      </c>
      <c r="K248" s="510"/>
      <c r="L248" s="496"/>
      <c r="M248" s="497"/>
      <c r="N248" s="498" t="e">
        <f>INDEX(Commerce_session1!#REF!,MATCH("a",Commerce_session1!#REF!,0),42)</f>
        <v>#REF!</v>
      </c>
      <c r="O248" s="487" t="e">
        <f>INDEX(Commerce_session1!#REF!,MATCH("a",Commerce_session1!#REF!,0),42)</f>
        <v>#REF!</v>
      </c>
    </row>
    <row r="249" spans="1:15" ht="20.25" customHeight="1" thickBot="1">
      <c r="A249" s="517"/>
      <c r="B249" s="527"/>
      <c r="C249" s="524"/>
      <c r="D249" s="530"/>
      <c r="E249" s="451"/>
      <c r="F249" s="101" t="s">
        <v>103</v>
      </c>
      <c r="G249" s="118">
        <v>4</v>
      </c>
      <c r="H249" s="119">
        <v>1</v>
      </c>
      <c r="I249" s="127" t="e">
        <f>INDEX(Commerce_session1!A6:CX792,MATCH("H",Commerce_session1!A6:A792,0),68)</f>
        <v>#N/A</v>
      </c>
      <c r="J249" s="21" t="e">
        <f>INDEX(Commerce_session1!A6:CX792,MATCH("H",Commerce_session1!A6:A792,0),69)</f>
        <v>#N/A</v>
      </c>
      <c r="K249" s="511"/>
      <c r="L249" s="490"/>
      <c r="M249" s="491"/>
      <c r="N249" s="498" t="e">
        <f>INDEX(Commerce_session1!#REF!,MATCH("a",Commerce_session1!#REF!,0),42)</f>
        <v>#REF!</v>
      </c>
      <c r="O249" s="487" t="e">
        <f>INDEX(Commerce_session1!#REF!,MATCH("a",Commerce_session1!#REF!,0),42)</f>
        <v>#REF!</v>
      </c>
    </row>
    <row r="250" spans="1:15" ht="22.5" customHeight="1" thickTop="1" thickBot="1">
      <c r="A250" s="517"/>
      <c r="B250" s="531" t="s">
        <v>37</v>
      </c>
      <c r="C250" s="559" t="s">
        <v>87</v>
      </c>
      <c r="D250" s="532">
        <v>10</v>
      </c>
      <c r="E250" s="508">
        <v>4</v>
      </c>
      <c r="F250" s="128" t="s">
        <v>104</v>
      </c>
      <c r="G250" s="76">
        <v>5</v>
      </c>
      <c r="H250" s="77">
        <v>2</v>
      </c>
      <c r="I250" s="18" t="e">
        <f>INDEX(Commerce_session1!A6:CX792,MATCH("H",Commerce_session1!A6:A792,0),74)</f>
        <v>#N/A</v>
      </c>
      <c r="J250" s="19" t="e">
        <f>INDEX(Commerce_session1!A6:CX792,MATCH("H",Commerce_session1!A6:A792,0),75)</f>
        <v>#N/A</v>
      </c>
      <c r="K250" s="509" t="e">
        <f>INDEX(Commerce_session1!A6:CX792,MATCH("H",Commerce_session1!A6:A792,0),80)</f>
        <v>#N/A</v>
      </c>
      <c r="L250" s="488" t="e">
        <f>INDEX(Commerce_session1!A6:CX792,MATCH("H",Commerce_session1!A6:A792,0),81)</f>
        <v>#N/A</v>
      </c>
      <c r="M250" s="489"/>
      <c r="N250" s="498" t="e">
        <f>INDEX(Commerce_session1!#REF!,MATCH("a",Commerce_session1!#REF!,0),43)</f>
        <v>#REF!</v>
      </c>
      <c r="O250" s="487" t="e">
        <f>INDEX(Commerce_session1!#REF!,MATCH("a",Commerce_session1!#REF!,0),43)</f>
        <v>#REF!</v>
      </c>
    </row>
    <row r="251" spans="1:15" ht="18.75" customHeight="1" thickBot="1">
      <c r="A251" s="517"/>
      <c r="B251" s="527"/>
      <c r="C251" s="524"/>
      <c r="D251" s="530"/>
      <c r="E251" s="451"/>
      <c r="F251" s="98" t="s">
        <v>69</v>
      </c>
      <c r="G251" s="74">
        <v>5</v>
      </c>
      <c r="H251" s="75">
        <v>2</v>
      </c>
      <c r="I251" s="20" t="e">
        <f>INDEX(Commerce_session1!A6:CX792,MATCH("H",Commerce_session1!A6:A792,0),78)</f>
        <v>#N/A</v>
      </c>
      <c r="J251" s="17" t="e">
        <f>INDEX(Commerce_session1!A6:CX792,MATCH("H",Commerce_session1!A6:A792,0),79)</f>
        <v>#N/A</v>
      </c>
      <c r="K251" s="511"/>
      <c r="L251" s="490"/>
      <c r="M251" s="491"/>
      <c r="N251" s="498" t="e">
        <f>INDEX(Commerce_session1!#REF!,MATCH("a",Commerce_session1!#REF!,0),42)</f>
        <v>#REF!</v>
      </c>
      <c r="O251" s="487" t="e">
        <f>INDEX(Commerce_session1!#REF!,MATCH("a",Commerce_session1!#REF!,0),42)</f>
        <v>#REF!</v>
      </c>
    </row>
    <row r="252" spans="1:15" ht="18.75" customHeight="1" thickTop="1" thickBot="1">
      <c r="A252" s="517"/>
      <c r="B252" s="105" t="s">
        <v>38</v>
      </c>
      <c r="C252" s="104" t="s">
        <v>85</v>
      </c>
      <c r="D252" s="22">
        <v>3</v>
      </c>
      <c r="E252" s="23">
        <v>2</v>
      </c>
      <c r="F252" s="101" t="s">
        <v>74</v>
      </c>
      <c r="G252" s="74">
        <v>3</v>
      </c>
      <c r="H252" s="75">
        <v>2</v>
      </c>
      <c r="I252" s="20" t="e">
        <f>INDEX(Commerce_session1!A6:CX792,MATCH("H",Commerce_session1!A6:A792,0),84)</f>
        <v>#N/A</v>
      </c>
      <c r="J252" s="17" t="e">
        <f>INDEX(Commerce_session1!A6:CX792,MATCH("H",Commerce_session1!A6:A792,0),85)</f>
        <v>#N/A</v>
      </c>
      <c r="K252" s="123" t="e">
        <f>INDEX(Commerce_session1!A6:CX792,MATCH("H",Commerce_session1!A6:A792,0),86)</f>
        <v>#N/A</v>
      </c>
      <c r="L252" s="512" t="e">
        <f>INDEX(Commerce_session1!A6:CX792,MATCH("H",Commerce_session1!A6:A792,0),87)</f>
        <v>#N/A</v>
      </c>
      <c r="M252" s="513"/>
      <c r="N252" s="498" t="e">
        <f>INDEX(Commerce_session1!#REF!,MATCH("a",Commerce_session1!#REF!,0),42)</f>
        <v>#REF!</v>
      </c>
      <c r="O252" s="487" t="e">
        <f>INDEX(Commerce_session1!#REF!,MATCH("a",Commerce_session1!#REF!,0),42)</f>
        <v>#REF!</v>
      </c>
    </row>
    <row r="253" spans="1:15" ht="20.25" customHeight="1" thickTop="1" thickBot="1">
      <c r="A253" s="518"/>
      <c r="B253" s="105" t="s">
        <v>39</v>
      </c>
      <c r="C253" s="104" t="s">
        <v>86</v>
      </c>
      <c r="D253" s="22">
        <v>1</v>
      </c>
      <c r="E253" s="23">
        <v>1</v>
      </c>
      <c r="F253" s="103" t="s">
        <v>73</v>
      </c>
      <c r="G253" s="82">
        <v>1</v>
      </c>
      <c r="H253" s="83">
        <v>1</v>
      </c>
      <c r="I253" s="25" t="e">
        <f>INDEX(Commerce_session1!A6:CX792,MATCH("H",Commerce_session1!A6:A792,0),89)</f>
        <v>#N/A</v>
      </c>
      <c r="J253" s="26" t="e">
        <f>INDEX(Commerce_session1!A6:CX792,MATCH("H",Commerce_session1!A6:A792,0),90)</f>
        <v>#N/A</v>
      </c>
      <c r="K253" s="27" t="e">
        <f>INDEX(Commerce_session1!A6:CX792,MATCH("H",Commerce_session1!A6:A792,0),91)</f>
        <v>#N/A</v>
      </c>
      <c r="L253" s="514" t="e">
        <f>INDEX(Commerce_session1!A6:CX792,MATCH("H",Commerce_session1!A6:A792,0),92)</f>
        <v>#N/A</v>
      </c>
      <c r="M253" s="515" t="e">
        <f>INDEX(Commerce_session1!#REF!,MATCH("a",Commerce_session1!#REF!,0),61)</f>
        <v>#REF!</v>
      </c>
      <c r="N253" s="498" t="e">
        <f>INDEX(Commerce_session1!#REF!,MATCH("a",Commerce_session1!#REF!,0),42)</f>
        <v>#REF!</v>
      </c>
      <c r="O253" s="487" t="e">
        <f>INDEX(Commerce_session1!#REF!,MATCH("a",Commerce_session1!#REF!,0),42)</f>
        <v>#REF!</v>
      </c>
    </row>
    <row r="254" spans="1:15" ht="20.25">
      <c r="A254" s="535" t="s">
        <v>40</v>
      </c>
      <c r="B254" s="536"/>
      <c r="C254" s="537"/>
      <c r="D254" s="121" t="e">
        <f>INDEX(Commerce_session1!A6:CX792,MATCH("H",Commerce_session1!A6:A792,0),99)</f>
        <v>#N/A</v>
      </c>
      <c r="E254" s="538" t="s">
        <v>41</v>
      </c>
      <c r="F254" s="540"/>
      <c r="G254" s="120" t="e">
        <f>INDEX(Commerce_session1!A6:CX792,MATCH("H",Commerce_session1!A6:A792,0),100)</f>
        <v>#N/A</v>
      </c>
      <c r="H254" s="538" t="s">
        <v>91</v>
      </c>
      <c r="I254" s="539"/>
      <c r="J254" s="539"/>
      <c r="K254" s="540"/>
      <c r="L254" s="541" t="e">
        <f>INDEX(Commerce_session1!A6:CX792,MATCH("H",Commerce_session1!A6:A792,0),101)</f>
        <v>#N/A</v>
      </c>
      <c r="M254" s="542"/>
      <c r="N254" s="8"/>
      <c r="O254" s="8"/>
    </row>
    <row r="255" spans="1:15" ht="22.5">
      <c r="A255" s="546" t="s">
        <v>42</v>
      </c>
      <c r="B255" s="547"/>
      <c r="C255" s="548"/>
      <c r="D255" s="543" t="e">
        <f>INDEX(Commerce_session1!A6:CX792,MATCH("H",Commerce_session1!A6:A792,0),102)</f>
        <v>#N/A</v>
      </c>
      <c r="E255" s="544"/>
      <c r="F255" s="545"/>
      <c r="G255" s="108"/>
      <c r="H255" s="109"/>
      <c r="I255" s="110"/>
      <c r="J255" s="111"/>
      <c r="K255" s="110"/>
      <c r="L255" s="110"/>
      <c r="M255" s="110"/>
      <c r="N255" s="112" t="s">
        <v>43</v>
      </c>
      <c r="O255" s="28">
        <f ca="1">TODAY()</f>
        <v>43626</v>
      </c>
    </row>
    <row r="256" spans="1:15" ht="32.25" customHeight="1">
      <c r="A256" s="113" t="s">
        <v>44</v>
      </c>
      <c r="B256" s="29"/>
      <c r="C256" s="29"/>
      <c r="D256" s="533"/>
      <c r="E256" s="533"/>
      <c r="F256" s="30"/>
      <c r="G256" s="4"/>
      <c r="J256" s="4"/>
      <c r="L256" s="534" t="s">
        <v>46</v>
      </c>
      <c r="M256" s="534"/>
      <c r="N256" s="534"/>
    </row>
    <row r="257" spans="1:18" ht="23.25" customHeight="1" thickBot="1">
      <c r="A257" s="84" t="s">
        <v>12</v>
      </c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445" t="s">
        <v>13</v>
      </c>
      <c r="M257" s="445"/>
      <c r="N257" s="445"/>
      <c r="O257" s="445"/>
      <c r="P257" s="2"/>
      <c r="Q257" s="2"/>
      <c r="R257" s="2"/>
    </row>
    <row r="258" spans="1:18" ht="15.75">
      <c r="A258" s="446" t="s">
        <v>14</v>
      </c>
      <c r="B258" s="446"/>
      <c r="C258" s="446"/>
      <c r="D258" s="446"/>
      <c r="E258" s="446"/>
      <c r="F258" s="3"/>
      <c r="H258" s="4"/>
      <c r="K258" s="4"/>
      <c r="L258" s="4"/>
    </row>
    <row r="259" spans="1:18" ht="15.75">
      <c r="A259" s="85" t="s">
        <v>15</v>
      </c>
      <c r="B259" s="85"/>
      <c r="C259" s="85"/>
      <c r="D259" s="85"/>
      <c r="E259" s="85"/>
      <c r="F259" s="5"/>
      <c r="H259" s="4"/>
      <c r="K259" s="4"/>
      <c r="L259" s="4"/>
      <c r="P259" s="6"/>
    </row>
    <row r="260" spans="1:18" ht="15.75">
      <c r="A260" s="85" t="s">
        <v>100</v>
      </c>
      <c r="B260" s="85"/>
      <c r="C260" s="85"/>
      <c r="D260" s="85"/>
      <c r="E260" s="85"/>
      <c r="F260" s="3"/>
      <c r="H260" s="4"/>
      <c r="K260" s="4"/>
      <c r="L260" s="4"/>
    </row>
    <row r="261" spans="1:18" s="8" customFormat="1" ht="27" customHeight="1">
      <c r="A261" s="7"/>
      <c r="B261" s="7"/>
      <c r="C261" s="7"/>
      <c r="D261" s="447" t="s">
        <v>94</v>
      </c>
      <c r="E261" s="447"/>
      <c r="F261" s="447"/>
      <c r="G261" s="447"/>
      <c r="H261" s="447"/>
      <c r="I261" s="447"/>
      <c r="J261" s="447"/>
      <c r="K261" s="447"/>
      <c r="L261" s="447"/>
      <c r="M261" s="7"/>
      <c r="N261" s="7"/>
      <c r="O261" s="7"/>
    </row>
    <row r="262" spans="1:18" ht="23.25" customHeight="1">
      <c r="A262" s="126" t="s">
        <v>101</v>
      </c>
      <c r="B262" s="126"/>
      <c r="C262" s="126"/>
      <c r="D262" s="126"/>
      <c r="E262" s="126"/>
      <c r="F262" s="126"/>
      <c r="G262" s="122"/>
      <c r="H262" s="122"/>
      <c r="I262" s="122" t="e">
        <f>IF(D287="ناجح(ة) دورة1","-الدورة الأولى-","-الدورة الثانية-")</f>
        <v>#N/A</v>
      </c>
      <c r="J262" s="124" t="s">
        <v>48</v>
      </c>
      <c r="K262" s="124"/>
      <c r="L262" s="87"/>
      <c r="M262" s="88"/>
      <c r="N262" s="89"/>
      <c r="O262" s="9"/>
    </row>
    <row r="263" spans="1:18" ht="20.25" customHeight="1">
      <c r="A263" s="476" t="s">
        <v>93</v>
      </c>
      <c r="B263" s="476"/>
      <c r="C263" s="90" t="e">
        <f>INDEX(Commerce_session1!A6:CX792,MATCH("I",Commerce_session1!A6:A792,0),3)</f>
        <v>#N/A</v>
      </c>
      <c r="D263" s="91" t="s">
        <v>92</v>
      </c>
      <c r="E263" s="448" t="e">
        <f>INDEX(Commerce_session1!A6:CX792,MATCH("I",Commerce_session1!A6:A792,0),4)</f>
        <v>#N/A</v>
      </c>
      <c r="F263" s="448" t="e">
        <f>INDEX(Commerce_session1!D179:DA348,MATCH("a",Commerce_session1!D179:D348,0),3)</f>
        <v>#N/A</v>
      </c>
      <c r="G263" s="477" t="s">
        <v>16</v>
      </c>
      <c r="H263" s="477"/>
      <c r="I263" s="477"/>
      <c r="J263" s="478" t="e">
        <f>INDEX(Commerce_session1!A6:CX792,MATCH("I",Commerce_session1!A6:A792,0),6)</f>
        <v>#N/A</v>
      </c>
      <c r="K263" s="478"/>
      <c r="L263" s="88"/>
      <c r="M263" s="92" t="s">
        <v>17</v>
      </c>
      <c r="N263" s="90" t="e">
        <f>INDEX(Commerce_session1!A6:CX792,MATCH("I",Commerce_session1!A6:A792,0),7)</f>
        <v>#N/A</v>
      </c>
      <c r="O263" s="10"/>
    </row>
    <row r="264" spans="1:18" ht="20.25" customHeight="1">
      <c r="A264" s="476" t="s">
        <v>18</v>
      </c>
      <c r="B264" s="476"/>
      <c r="C264" s="448" t="e">
        <f>INDEX(Commerce_session1!A6:CX792,MATCH("I",Commerce_session1!A6:A792,0),5)</f>
        <v>#N/A</v>
      </c>
      <c r="D264" s="448"/>
      <c r="E264" s="91"/>
      <c r="F264" s="88"/>
      <c r="G264" s="93"/>
      <c r="H264" s="88"/>
      <c r="I264" s="88"/>
      <c r="J264" s="93"/>
      <c r="K264" s="88"/>
      <c r="L264" s="88"/>
      <c r="M264" s="88"/>
      <c r="N264" s="88"/>
      <c r="O264" s="10"/>
    </row>
    <row r="265" spans="1:18" ht="20.25" customHeight="1">
      <c r="A265" s="476" t="s">
        <v>102</v>
      </c>
      <c r="B265" s="476"/>
      <c r="C265" s="476"/>
      <c r="D265" s="476"/>
      <c r="E265" s="476"/>
      <c r="F265" s="476"/>
      <c r="G265" s="476"/>
      <c r="H265" s="476"/>
      <c r="I265" s="476"/>
      <c r="J265" s="476"/>
      <c r="K265" s="476"/>
      <c r="L265" s="476"/>
      <c r="M265" s="476"/>
      <c r="N265" s="476"/>
      <c r="O265" s="476"/>
    </row>
    <row r="266" spans="1:18" ht="20.25" customHeight="1" thickBot="1">
      <c r="A266" s="459" t="s">
        <v>19</v>
      </c>
      <c r="B266" s="459"/>
      <c r="C266" s="459"/>
      <c r="D266" s="459"/>
      <c r="E266" s="459"/>
      <c r="F266" s="459"/>
      <c r="G266" s="459"/>
      <c r="H266" s="94"/>
      <c r="I266" s="94"/>
      <c r="J266" s="95"/>
      <c r="K266" s="94"/>
      <c r="L266" s="94"/>
      <c r="M266" s="94"/>
      <c r="N266" s="94"/>
      <c r="O266" s="11"/>
    </row>
    <row r="267" spans="1:18" ht="18.75" thickBot="1">
      <c r="A267" s="460" t="s">
        <v>20</v>
      </c>
      <c r="B267" s="463" t="s">
        <v>21</v>
      </c>
      <c r="C267" s="464"/>
      <c r="D267" s="464"/>
      <c r="E267" s="464"/>
      <c r="F267" s="464" t="s">
        <v>22</v>
      </c>
      <c r="G267" s="464"/>
      <c r="H267" s="464"/>
      <c r="I267" s="465" t="s">
        <v>23</v>
      </c>
      <c r="J267" s="466"/>
      <c r="K267" s="466"/>
      <c r="L267" s="466"/>
      <c r="M267" s="466"/>
      <c r="N267" s="466"/>
      <c r="O267" s="467"/>
    </row>
    <row r="268" spans="1:18">
      <c r="A268" s="461"/>
      <c r="B268" s="468" t="s">
        <v>24</v>
      </c>
      <c r="C268" s="470" t="s">
        <v>25</v>
      </c>
      <c r="D268" s="472" t="s">
        <v>26</v>
      </c>
      <c r="E268" s="474" t="s">
        <v>27</v>
      </c>
      <c r="F268" s="479" t="s">
        <v>28</v>
      </c>
      <c r="G268" s="468" t="s">
        <v>11</v>
      </c>
      <c r="H268" s="481" t="s">
        <v>27</v>
      </c>
      <c r="I268" s="482" t="s">
        <v>29</v>
      </c>
      <c r="J268" s="483"/>
      <c r="K268" s="484" t="s">
        <v>30</v>
      </c>
      <c r="L268" s="485"/>
      <c r="M268" s="486"/>
      <c r="N268" s="455" t="s">
        <v>20</v>
      </c>
      <c r="O268" s="456"/>
    </row>
    <row r="269" spans="1:18" ht="15.75" thickBot="1">
      <c r="A269" s="462"/>
      <c r="B269" s="469"/>
      <c r="C269" s="471"/>
      <c r="D269" s="473"/>
      <c r="E269" s="475"/>
      <c r="F269" s="480"/>
      <c r="G269" s="469"/>
      <c r="H269" s="473"/>
      <c r="I269" s="106" t="s">
        <v>10</v>
      </c>
      <c r="J269" s="106" t="s">
        <v>31</v>
      </c>
      <c r="K269" s="106" t="s">
        <v>32</v>
      </c>
      <c r="L269" s="457" t="s">
        <v>33</v>
      </c>
      <c r="M269" s="458"/>
      <c r="N269" s="106" t="s">
        <v>34</v>
      </c>
      <c r="O269" s="107" t="s">
        <v>35</v>
      </c>
    </row>
    <row r="270" spans="1:18" ht="18.75" customHeight="1" thickBot="1">
      <c r="A270" s="549" t="s">
        <v>76</v>
      </c>
      <c r="B270" s="552" t="s">
        <v>36</v>
      </c>
      <c r="C270" s="555" t="s">
        <v>90</v>
      </c>
      <c r="D270" s="556">
        <v>17</v>
      </c>
      <c r="E270" s="449">
        <v>6</v>
      </c>
      <c r="F270" s="96" t="s">
        <v>54</v>
      </c>
      <c r="G270" s="70">
        <v>5</v>
      </c>
      <c r="H270" s="71">
        <v>2</v>
      </c>
      <c r="I270" s="12" t="e">
        <f>INDEX(Commerce_session1!A6:CX792,MATCH("I",Commerce_session1!A6:A792,0),16)</f>
        <v>#N/A</v>
      </c>
      <c r="J270" s="13" t="e">
        <f>INDEX(Commerce_session1!A6:CX792,MATCH("I",Commerce_session1!A6:A792,0),17)</f>
        <v>#N/A</v>
      </c>
      <c r="K270" s="452" t="e">
        <f>INDEX(Commerce_session1!A6:CX792,MATCH("I",Commerce_session1!A6:A792,0),26)</f>
        <v>#N/A</v>
      </c>
      <c r="L270" s="494" t="e">
        <f>INDEX(Commerce_session1!A6:CX792,MATCH("I",Commerce_session1!A6:A792,0),27)</f>
        <v>#N/A</v>
      </c>
      <c r="M270" s="495" t="e">
        <f>INDEX(Commerce_session1!#REF!,MATCH("a",Commerce_session1!#REF!,0),15)</f>
        <v>#REF!</v>
      </c>
      <c r="N270" s="498" t="e">
        <f>INDEX(Commerce_session1!A6:CX792,MATCH("I",Commerce_session1!A6:A792,0),95)</f>
        <v>#N/A</v>
      </c>
      <c r="O270" s="487" t="e">
        <f>INDEX(Commerce_session1!A6:CX792,MATCH("I",Commerce_session1!A6:A792,0),96)</f>
        <v>#N/A</v>
      </c>
    </row>
    <row r="271" spans="1:18" ht="18.75" customHeight="1" thickBot="1">
      <c r="A271" s="550"/>
      <c r="B271" s="553"/>
      <c r="C271" s="503"/>
      <c r="D271" s="557"/>
      <c r="E271" s="450"/>
      <c r="F271" s="97" t="s">
        <v>55</v>
      </c>
      <c r="G271" s="72">
        <v>6</v>
      </c>
      <c r="H271" s="73">
        <v>2</v>
      </c>
      <c r="I271" s="14" t="e">
        <f>INDEX(Commerce_session1!A6:CX792,MATCH("I",Commerce_session1!A6:A792,0),20)</f>
        <v>#N/A</v>
      </c>
      <c r="J271" s="15" t="e">
        <f>INDEX(Commerce_session1!A6:CX792,MATCH("I",Commerce_session1!A6:A792,0),21)</f>
        <v>#N/A</v>
      </c>
      <c r="K271" s="453" t="e">
        <f>INDEX(Commerce_session1!#REF!,MATCH("a",Commerce_session1!#REF!,0),14)</f>
        <v>#REF!</v>
      </c>
      <c r="L271" s="496" t="e">
        <f>INDEX(Commerce_session1!#REF!,MATCH("a",Commerce_session1!#REF!,0),14)</f>
        <v>#REF!</v>
      </c>
      <c r="M271" s="497" t="e">
        <f>INDEX(Commerce_session1!#REF!,MATCH("a",Commerce_session1!#REF!,0),14)</f>
        <v>#REF!</v>
      </c>
      <c r="N271" s="498" t="e">
        <f>INDEX(Commerce_session1!#REF!,MATCH("a",Commerce_session1!#REF!,0),62)</f>
        <v>#REF!</v>
      </c>
      <c r="O271" s="487" t="e">
        <f>INDEX(Commerce_session1!#REF!,MATCH("a",Commerce_session1!#REF!,0),62)</f>
        <v>#REF!</v>
      </c>
    </row>
    <row r="272" spans="1:18" ht="18.75" customHeight="1" thickBot="1">
      <c r="A272" s="550"/>
      <c r="B272" s="554"/>
      <c r="C272" s="504"/>
      <c r="D272" s="558"/>
      <c r="E272" s="451"/>
      <c r="F272" s="98" t="s">
        <v>56</v>
      </c>
      <c r="G272" s="74">
        <v>6</v>
      </c>
      <c r="H272" s="75">
        <v>2</v>
      </c>
      <c r="I272" s="16" t="e">
        <f>INDEX(Commerce_session1!A6:CX792,MATCH("I",Commerce_session1!A6:A792,0),24)</f>
        <v>#N/A</v>
      </c>
      <c r="J272" s="17" t="e">
        <f>INDEX(Commerce_session1!A6:CX792,MATCH("I",Commerce_session1!A6:A792,0),25)</f>
        <v>#N/A</v>
      </c>
      <c r="K272" s="454" t="e">
        <f>INDEX(Commerce_session1!#REF!,MATCH("a",Commerce_session1!#REF!,0),14)</f>
        <v>#REF!</v>
      </c>
      <c r="L272" s="490" t="e">
        <f>INDEX(Commerce_session1!#REF!,MATCH("a",Commerce_session1!#REF!,0),14)</f>
        <v>#REF!</v>
      </c>
      <c r="M272" s="491" t="e">
        <f>INDEX(Commerce_session1!#REF!,MATCH("a",Commerce_session1!#REF!,0),14)</f>
        <v>#REF!</v>
      </c>
      <c r="N272" s="498" t="e">
        <f>INDEX(Commerce_session1!#REF!,MATCH("a",Commerce_session1!#REF!,0),62)</f>
        <v>#REF!</v>
      </c>
      <c r="O272" s="487" t="e">
        <f>INDEX(Commerce_session1!#REF!,MATCH("a",Commerce_session1!#REF!,0),62)</f>
        <v>#REF!</v>
      </c>
    </row>
    <row r="273" spans="1:15" ht="19.5" customHeight="1" thickTop="1" thickBot="1">
      <c r="A273" s="550"/>
      <c r="B273" s="499" t="s">
        <v>37</v>
      </c>
      <c r="C273" s="502" t="s">
        <v>89</v>
      </c>
      <c r="D273" s="505">
        <v>7</v>
      </c>
      <c r="E273" s="508">
        <v>5</v>
      </c>
      <c r="F273" s="99" t="s">
        <v>83</v>
      </c>
      <c r="G273" s="76">
        <v>1</v>
      </c>
      <c r="H273" s="77">
        <v>1</v>
      </c>
      <c r="I273" s="18" t="e">
        <f>INDEX(Commerce_session1!A6:CX792,MATCH("I",Commerce_session1!A6:A792,0),29)</f>
        <v>#N/A</v>
      </c>
      <c r="J273" s="19" t="e">
        <f>INDEX(Commerce_session1!A6:CX792,MATCH("I",Commerce_session1!A6:A792,0),30)</f>
        <v>#N/A</v>
      </c>
      <c r="K273" s="509" t="e">
        <f>INDEX(Commerce_session1!A6:CX792,MATCH("I",Commerce_session1!A6:A792,0),39)</f>
        <v>#N/A</v>
      </c>
      <c r="L273" s="488" t="e">
        <f>INDEX(Commerce_session1!A6:CX792,MATCH("I",Commerce_session1!A6:A792,0),40)</f>
        <v>#N/A</v>
      </c>
      <c r="M273" s="489" t="e">
        <f>INDEX(Commerce_session1!#REF!,MATCH("a",Commerce_session1!#REF!,0),23)</f>
        <v>#REF!</v>
      </c>
      <c r="N273" s="498" t="e">
        <f>INDEX(Commerce_session1!#REF!,MATCH("a",Commerce_session1!#REF!,0),62)</f>
        <v>#REF!</v>
      </c>
      <c r="O273" s="487" t="e">
        <f>INDEX(Commerce_session1!#REF!,MATCH("a",Commerce_session1!#REF!,0),62)</f>
        <v>#REF!</v>
      </c>
    </row>
    <row r="274" spans="1:15" ht="18.75" customHeight="1" thickTop="1" thickBot="1">
      <c r="A274" s="550"/>
      <c r="B274" s="500"/>
      <c r="C274" s="503"/>
      <c r="D274" s="506"/>
      <c r="E274" s="450"/>
      <c r="F274" s="100" t="s">
        <v>99</v>
      </c>
      <c r="G274" s="78">
        <v>3</v>
      </c>
      <c r="H274" s="79">
        <v>2</v>
      </c>
      <c r="I274" s="18" t="e">
        <f>INDEX(Commerce_session1!A6:CX792,MATCH("I",Commerce_session1!A6:A792,0),33)</f>
        <v>#N/A</v>
      </c>
      <c r="J274" s="15" t="e">
        <f>INDEX(Commerce_session1!A6:CX792,MATCH("I",Commerce_session1!A6:A792,0),34)</f>
        <v>#N/A</v>
      </c>
      <c r="K274" s="510" t="e">
        <f>INDEX(Commerce_session1!#REF!,MATCH("a",Commerce_session1!#REF!,0),22)</f>
        <v>#REF!</v>
      </c>
      <c r="L274" s="496" t="e">
        <f>INDEX(Commerce_session1!#REF!,MATCH("a",Commerce_session1!#REF!,0),22)</f>
        <v>#REF!</v>
      </c>
      <c r="M274" s="497" t="e">
        <f>INDEX(Commerce_session1!#REF!,MATCH("a",Commerce_session1!#REF!,0),22)</f>
        <v>#REF!</v>
      </c>
      <c r="N274" s="498" t="e">
        <f>INDEX(Commerce_session1!#REF!,MATCH("a",Commerce_session1!#REF!,0),62)</f>
        <v>#REF!</v>
      </c>
      <c r="O274" s="487" t="e">
        <f>INDEX(Commerce_session1!#REF!,MATCH("a",Commerce_session1!#REF!,0),62)</f>
        <v>#REF!</v>
      </c>
    </row>
    <row r="275" spans="1:15" ht="18.75" customHeight="1" thickBot="1">
      <c r="A275" s="550"/>
      <c r="B275" s="501"/>
      <c r="C275" s="504"/>
      <c r="D275" s="507"/>
      <c r="E275" s="451"/>
      <c r="F275" s="101" t="s">
        <v>84</v>
      </c>
      <c r="G275" s="80">
        <v>3</v>
      </c>
      <c r="H275" s="81">
        <v>2</v>
      </c>
      <c r="I275" s="20" t="e">
        <f>INDEX(Commerce_session1!A6:CX792,MATCH("I",Commerce_session1!A6:A792,0),37)</f>
        <v>#N/A</v>
      </c>
      <c r="J275" s="17" t="e">
        <f>INDEX(Commerce_session1!A6:CX792,MATCH("I",Commerce_session1!A6:A792,0),38)</f>
        <v>#N/A</v>
      </c>
      <c r="K275" s="511" t="e">
        <f>INDEX(Commerce_session1!#REF!,MATCH("a",Commerce_session1!#REF!,0),22)</f>
        <v>#REF!</v>
      </c>
      <c r="L275" s="490" t="e">
        <f>INDEX(Commerce_session1!#REF!,MATCH("a",Commerce_session1!#REF!,0),22)</f>
        <v>#REF!</v>
      </c>
      <c r="M275" s="491" t="e">
        <f>INDEX(Commerce_session1!#REF!,MATCH("a",Commerce_session1!#REF!,0),22)</f>
        <v>#REF!</v>
      </c>
      <c r="N275" s="498" t="e">
        <f>INDEX(Commerce_session1!#REF!,MATCH("a",Commerce_session1!#REF!,0),62)</f>
        <v>#REF!</v>
      </c>
      <c r="O275" s="487" t="e">
        <f>INDEX(Commerce_session1!#REF!,MATCH("a",Commerce_session1!#REF!,0),62)</f>
        <v>#REF!</v>
      </c>
    </row>
    <row r="276" spans="1:15" ht="33.75" customHeight="1" thickTop="1" thickBot="1">
      <c r="A276" s="550"/>
      <c r="B276" s="531" t="s">
        <v>38</v>
      </c>
      <c r="C276" s="559" t="s">
        <v>50</v>
      </c>
      <c r="D276" s="520">
        <v>5</v>
      </c>
      <c r="E276" s="508">
        <v>2</v>
      </c>
      <c r="F276" s="102" t="s">
        <v>63</v>
      </c>
      <c r="G276" s="68">
        <v>4</v>
      </c>
      <c r="H276" s="69">
        <v>1</v>
      </c>
      <c r="I276" s="18" t="e">
        <f>INDEX(Commerce_session1!A6:CX792,MATCH("I",Commerce_session1!A6:A792,0),43)</f>
        <v>#N/A</v>
      </c>
      <c r="J276" s="19" t="e">
        <f>INDEX(Commerce_session1!A6:CX792,MATCH("I",Commerce_session1!A6:A792,0),44)</f>
        <v>#N/A</v>
      </c>
      <c r="K276" s="509" t="e">
        <f>INDEX(Commerce_session1!A6:CX792,MATCH("I",Commerce_session1!A6:A792,0),48)</f>
        <v>#N/A</v>
      </c>
      <c r="L276" s="488" t="e">
        <f>INDEX(Commerce_session1!A6:CX792,MATCH("I",Commerce_session1!A6:A792,0),49)</f>
        <v>#N/A</v>
      </c>
      <c r="M276" s="489" t="e">
        <f>INDEX(Commerce_session1!#REF!,MATCH("a",Commerce_session1!#REF!,0),29)</f>
        <v>#REF!</v>
      </c>
      <c r="N276" s="498" t="e">
        <f>INDEX(Commerce_session1!#REF!,MATCH("a",Commerce_session1!#REF!,0),62)</f>
        <v>#REF!</v>
      </c>
      <c r="O276" s="487" t="e">
        <f>INDEX(Commerce_session1!#REF!,MATCH("a",Commerce_session1!#REF!,0),62)</f>
        <v>#REF!</v>
      </c>
    </row>
    <row r="277" spans="1:15" ht="18.75" customHeight="1" thickBot="1">
      <c r="A277" s="550"/>
      <c r="B277" s="527"/>
      <c r="C277" s="524"/>
      <c r="D277" s="521"/>
      <c r="E277" s="451"/>
      <c r="F277" s="101" t="s">
        <v>62</v>
      </c>
      <c r="G277" s="80">
        <v>1</v>
      </c>
      <c r="H277" s="81">
        <v>1</v>
      </c>
      <c r="I277" s="16" t="e">
        <f>INDEX(Commerce_session1!A6:CX792,MATCH("I",Commerce_session1!A6:A792,0),46)</f>
        <v>#N/A</v>
      </c>
      <c r="J277" s="21" t="e">
        <f>INDEX(Commerce_session1!A6:CX792,MATCH("I",Commerce_session1!A6:A792,0),47)</f>
        <v>#N/A</v>
      </c>
      <c r="K277" s="511" t="e">
        <f>INDEX(Commerce_session1!#REF!,MATCH("a",Commerce_session1!#REF!,0),28)</f>
        <v>#REF!</v>
      </c>
      <c r="L277" s="490" t="e">
        <f>INDEX(Commerce_session1!#REF!,MATCH("a",Commerce_session1!#REF!,0),28)</f>
        <v>#REF!</v>
      </c>
      <c r="M277" s="491" t="e">
        <f>INDEX(Commerce_session1!#REF!,MATCH("a",Commerce_session1!#REF!,0),28)</f>
        <v>#REF!</v>
      </c>
      <c r="N277" s="498" t="e">
        <f>INDEX(Commerce_session1!#REF!,MATCH("a",Commerce_session1!#REF!,0),62)</f>
        <v>#REF!</v>
      </c>
      <c r="O277" s="487" t="e">
        <f>INDEX(Commerce_session1!#REF!,MATCH("a",Commerce_session1!#REF!,0),62)</f>
        <v>#REF!</v>
      </c>
    </row>
    <row r="278" spans="1:15" ht="20.25" customHeight="1" thickTop="1" thickBot="1">
      <c r="A278" s="551"/>
      <c r="B278" s="105" t="s">
        <v>39</v>
      </c>
      <c r="C278" s="104" t="s">
        <v>51</v>
      </c>
      <c r="D278" s="22">
        <v>1</v>
      </c>
      <c r="E278" s="23">
        <v>1</v>
      </c>
      <c r="F278" s="103" t="s">
        <v>64</v>
      </c>
      <c r="G278" s="82">
        <v>1</v>
      </c>
      <c r="H278" s="83">
        <v>1</v>
      </c>
      <c r="I278" s="20" t="e">
        <f>INDEX(Commerce_session1!A6:CX792,MATCH("I",Commerce_session1!A6:A792,0),52)</f>
        <v>#N/A</v>
      </c>
      <c r="J278" s="24" t="e">
        <f>INDEX(Commerce_session1!A6:CX792,MATCH("I",Commerce_session1!A6:A792,0),53)</f>
        <v>#N/A</v>
      </c>
      <c r="K278" s="36" t="e">
        <f>INDEX(Commerce_session1!A6:CX792,MATCH("I",Commerce_session1!A6:A792,0),54)</f>
        <v>#N/A</v>
      </c>
      <c r="L278" s="492" t="e">
        <f>INDEX(Commerce_session1!A6:CX792,MATCH("I",Commerce_session1!A6:A792,0),55)</f>
        <v>#N/A</v>
      </c>
      <c r="M278" s="493" t="e">
        <f>INDEX(Commerce_session1!#REF!,MATCH("a",Commerce_session1!#REF!,0),33)</f>
        <v>#REF!</v>
      </c>
      <c r="N278" s="498" t="e">
        <f>INDEX(Commerce_session1!#REF!,MATCH("a",Commerce_session1!#REF!,0),62)</f>
        <v>#REF!</v>
      </c>
      <c r="O278" s="487" t="e">
        <f>INDEX(Commerce_session1!#REF!,MATCH("a",Commerce_session1!#REF!,0),62)</f>
        <v>#REF!</v>
      </c>
    </row>
    <row r="279" spans="1:15" ht="19.5" customHeight="1" thickTop="1" thickBot="1">
      <c r="A279" s="516" t="s">
        <v>77</v>
      </c>
      <c r="B279" s="525" t="s">
        <v>36</v>
      </c>
      <c r="C279" s="522" t="s">
        <v>88</v>
      </c>
      <c r="D279" s="528">
        <v>16</v>
      </c>
      <c r="E279" s="449">
        <v>5</v>
      </c>
      <c r="F279" s="96" t="s">
        <v>67</v>
      </c>
      <c r="G279" s="114">
        <v>6</v>
      </c>
      <c r="H279" s="115">
        <v>2</v>
      </c>
      <c r="I279" s="18" t="e">
        <f>INDEX(Commerce_session1!A6:CX792,MATCH("I",Commerce_session1!A6:A792,0),60)</f>
        <v>#N/A</v>
      </c>
      <c r="J279" s="19" t="e">
        <f>INDEX(Commerce_session1!A6:CX792,MATCH("I",Commerce_session1!A6:A792,0),61)</f>
        <v>#N/A</v>
      </c>
      <c r="K279" s="519" t="e">
        <f>INDEX(Commerce_session1!A6:CX792,MATCH("I",Commerce_session1!A6:A792,0),70)</f>
        <v>#N/A</v>
      </c>
      <c r="L279" s="494" t="e">
        <f>INDEX(Commerce_session1!A6:CX792,MATCH("I",Commerce_session1!A6:A792,0),71)</f>
        <v>#N/A</v>
      </c>
      <c r="M279" s="495"/>
      <c r="N279" s="498" t="e">
        <f>INDEX(Commerce_session1!A6:CX792,MATCH("I",Commerce_session1!A6:A792,0),97)</f>
        <v>#N/A</v>
      </c>
      <c r="O279" s="487" t="e">
        <f>INDEX(Commerce_session1!A6:CX792,MATCH("I",Commerce_session1!A6:A792,0),98)</f>
        <v>#N/A</v>
      </c>
    </row>
    <row r="280" spans="1:15" ht="18.75" customHeight="1" thickBot="1">
      <c r="A280" s="517"/>
      <c r="B280" s="526"/>
      <c r="C280" s="523"/>
      <c r="D280" s="529"/>
      <c r="E280" s="450"/>
      <c r="F280" s="100" t="s">
        <v>68</v>
      </c>
      <c r="G280" s="116">
        <v>6</v>
      </c>
      <c r="H280" s="117">
        <v>2</v>
      </c>
      <c r="I280" s="14" t="e">
        <f>INDEX(Commerce_session1!A6:CX792,MATCH("I",Commerce_session1!A6:A792,0),64)</f>
        <v>#N/A</v>
      </c>
      <c r="J280" s="15" t="e">
        <f>INDEX(Commerce_session1!A6:CX792,MATCH("I",Commerce_session1!A6:A792,0),65)</f>
        <v>#N/A</v>
      </c>
      <c r="K280" s="510"/>
      <c r="L280" s="496"/>
      <c r="M280" s="497"/>
      <c r="N280" s="498" t="e">
        <f>INDEX(Commerce_session1!#REF!,MATCH("a",Commerce_session1!#REF!,0),42)</f>
        <v>#REF!</v>
      </c>
      <c r="O280" s="487" t="e">
        <f>INDEX(Commerce_session1!#REF!,MATCH("a",Commerce_session1!#REF!,0),42)</f>
        <v>#REF!</v>
      </c>
    </row>
    <row r="281" spans="1:15" ht="20.25" customHeight="1" thickBot="1">
      <c r="A281" s="517"/>
      <c r="B281" s="527"/>
      <c r="C281" s="524"/>
      <c r="D281" s="530"/>
      <c r="E281" s="451"/>
      <c r="F281" s="101" t="s">
        <v>103</v>
      </c>
      <c r="G281" s="118">
        <v>4</v>
      </c>
      <c r="H281" s="119">
        <v>1</v>
      </c>
      <c r="I281" s="127" t="e">
        <f>INDEX(Commerce_session1!A6:CX792,MATCH("I",Commerce_session1!A6:A792,0),68)</f>
        <v>#N/A</v>
      </c>
      <c r="J281" s="21" t="e">
        <f>INDEX(Commerce_session1!A6:CX792,MATCH("I",Commerce_session1!A6:A792,0),69)</f>
        <v>#N/A</v>
      </c>
      <c r="K281" s="511"/>
      <c r="L281" s="490"/>
      <c r="M281" s="491"/>
      <c r="N281" s="498" t="e">
        <f>INDEX(Commerce_session1!#REF!,MATCH("a",Commerce_session1!#REF!,0),42)</f>
        <v>#REF!</v>
      </c>
      <c r="O281" s="487" t="e">
        <f>INDEX(Commerce_session1!#REF!,MATCH("a",Commerce_session1!#REF!,0),42)</f>
        <v>#REF!</v>
      </c>
    </row>
    <row r="282" spans="1:15" ht="22.5" customHeight="1" thickTop="1" thickBot="1">
      <c r="A282" s="517"/>
      <c r="B282" s="531" t="s">
        <v>37</v>
      </c>
      <c r="C282" s="559" t="s">
        <v>87</v>
      </c>
      <c r="D282" s="532">
        <v>10</v>
      </c>
      <c r="E282" s="508">
        <v>4</v>
      </c>
      <c r="F282" s="128" t="s">
        <v>104</v>
      </c>
      <c r="G282" s="76">
        <v>5</v>
      </c>
      <c r="H282" s="77">
        <v>2</v>
      </c>
      <c r="I282" s="18" t="e">
        <f>INDEX(Commerce_session1!A6:CX792,MATCH("I",Commerce_session1!A6:A792,0),74)</f>
        <v>#N/A</v>
      </c>
      <c r="J282" s="19" t="e">
        <f>INDEX(Commerce_session1!A6:CX792,MATCH("I",Commerce_session1!A6:A792,0),75)</f>
        <v>#N/A</v>
      </c>
      <c r="K282" s="509" t="e">
        <f>INDEX(Commerce_session1!A6:CX792,MATCH("I",Commerce_session1!A6:A792,0),80)</f>
        <v>#N/A</v>
      </c>
      <c r="L282" s="488" t="e">
        <f>INDEX(Commerce_session1!A6:CX792,MATCH("I",Commerce_session1!A6:A792,0),81)</f>
        <v>#N/A</v>
      </c>
      <c r="M282" s="489"/>
      <c r="N282" s="498" t="e">
        <f>INDEX(Commerce_session1!#REF!,MATCH("a",Commerce_session1!#REF!,0),43)</f>
        <v>#REF!</v>
      </c>
      <c r="O282" s="487" t="e">
        <f>INDEX(Commerce_session1!#REF!,MATCH("a",Commerce_session1!#REF!,0),43)</f>
        <v>#REF!</v>
      </c>
    </row>
    <row r="283" spans="1:15" ht="18.75" customHeight="1" thickBot="1">
      <c r="A283" s="517"/>
      <c r="B283" s="527"/>
      <c r="C283" s="524"/>
      <c r="D283" s="530"/>
      <c r="E283" s="451"/>
      <c r="F283" s="98" t="s">
        <v>69</v>
      </c>
      <c r="G283" s="74">
        <v>5</v>
      </c>
      <c r="H283" s="75">
        <v>2</v>
      </c>
      <c r="I283" s="20" t="e">
        <f>INDEX(Commerce_session1!A6:CX792,MATCH("I",Commerce_session1!A6:A792,0),78)</f>
        <v>#N/A</v>
      </c>
      <c r="J283" s="17" t="e">
        <f>INDEX(Commerce_session1!A6:CX792,MATCH("I",Commerce_session1!A6:A792,0),79)</f>
        <v>#N/A</v>
      </c>
      <c r="K283" s="511"/>
      <c r="L283" s="490"/>
      <c r="M283" s="491"/>
      <c r="N283" s="498" t="e">
        <f>INDEX(Commerce_session1!#REF!,MATCH("a",Commerce_session1!#REF!,0),42)</f>
        <v>#REF!</v>
      </c>
      <c r="O283" s="487" t="e">
        <f>INDEX(Commerce_session1!#REF!,MATCH("a",Commerce_session1!#REF!,0),42)</f>
        <v>#REF!</v>
      </c>
    </row>
    <row r="284" spans="1:15" ht="18.75" customHeight="1" thickTop="1" thickBot="1">
      <c r="A284" s="517"/>
      <c r="B284" s="105" t="s">
        <v>38</v>
      </c>
      <c r="C284" s="104" t="s">
        <v>85</v>
      </c>
      <c r="D284" s="22">
        <v>3</v>
      </c>
      <c r="E284" s="23">
        <v>2</v>
      </c>
      <c r="F284" s="101" t="s">
        <v>74</v>
      </c>
      <c r="G284" s="74">
        <v>3</v>
      </c>
      <c r="H284" s="75">
        <v>2</v>
      </c>
      <c r="I284" s="20" t="e">
        <f>INDEX(Commerce_session1!A6:CX792,MATCH("I",Commerce_session1!A6:A792,0),84)</f>
        <v>#N/A</v>
      </c>
      <c r="J284" s="17" t="e">
        <f>INDEX(Commerce_session1!A6:CX792,MATCH("I",Commerce_session1!A6:A792,0),85)</f>
        <v>#N/A</v>
      </c>
      <c r="K284" s="123" t="e">
        <f>INDEX(Commerce_session1!A6:CX792,MATCH("I",Commerce_session1!A6:A792,0),86)</f>
        <v>#N/A</v>
      </c>
      <c r="L284" s="512" t="e">
        <f>INDEX(Commerce_session1!A6:CX792,MATCH("I",Commerce_session1!A6:A792,0),87)</f>
        <v>#N/A</v>
      </c>
      <c r="M284" s="513"/>
      <c r="N284" s="498" t="e">
        <f>INDEX(Commerce_session1!#REF!,MATCH("a",Commerce_session1!#REF!,0),42)</f>
        <v>#REF!</v>
      </c>
      <c r="O284" s="487" t="e">
        <f>INDEX(Commerce_session1!#REF!,MATCH("a",Commerce_session1!#REF!,0),42)</f>
        <v>#REF!</v>
      </c>
    </row>
    <row r="285" spans="1:15" ht="20.25" customHeight="1" thickTop="1" thickBot="1">
      <c r="A285" s="518"/>
      <c r="B285" s="105" t="s">
        <v>39</v>
      </c>
      <c r="C285" s="104" t="s">
        <v>86</v>
      </c>
      <c r="D285" s="22">
        <v>1</v>
      </c>
      <c r="E285" s="23">
        <v>1</v>
      </c>
      <c r="F285" s="103" t="s">
        <v>73</v>
      </c>
      <c r="G285" s="82">
        <v>1</v>
      </c>
      <c r="H285" s="83">
        <v>1</v>
      </c>
      <c r="I285" s="25" t="e">
        <f>INDEX(Commerce_session1!A6:CX792,MATCH("I",Commerce_session1!A6:A792,0),89)</f>
        <v>#N/A</v>
      </c>
      <c r="J285" s="26" t="e">
        <f>INDEX(Commerce_session1!A6:CX792,MATCH("I",Commerce_session1!A6:A792,0),90)</f>
        <v>#N/A</v>
      </c>
      <c r="K285" s="27" t="e">
        <f>INDEX(Commerce_session1!A6:CX792,MATCH("I",Commerce_session1!A6:A792,0),91)</f>
        <v>#N/A</v>
      </c>
      <c r="L285" s="514" t="e">
        <f>INDEX(Commerce_session1!A6:CX792,MATCH("I",Commerce_session1!A6:A792,0),92)</f>
        <v>#N/A</v>
      </c>
      <c r="M285" s="515" t="e">
        <f>INDEX(Commerce_session1!#REF!,MATCH("a",Commerce_session1!#REF!,0),61)</f>
        <v>#REF!</v>
      </c>
      <c r="N285" s="498" t="e">
        <f>INDEX(Commerce_session1!#REF!,MATCH("a",Commerce_session1!#REF!,0),42)</f>
        <v>#REF!</v>
      </c>
      <c r="O285" s="487" t="e">
        <f>INDEX(Commerce_session1!#REF!,MATCH("a",Commerce_session1!#REF!,0),42)</f>
        <v>#REF!</v>
      </c>
    </row>
    <row r="286" spans="1:15" ht="20.25">
      <c r="A286" s="535" t="s">
        <v>40</v>
      </c>
      <c r="B286" s="536"/>
      <c r="C286" s="537"/>
      <c r="D286" s="121" t="e">
        <f>INDEX(Commerce_session1!A6:CX792,MATCH("I",Commerce_session1!A6:A792,0),99)</f>
        <v>#N/A</v>
      </c>
      <c r="E286" s="538" t="s">
        <v>41</v>
      </c>
      <c r="F286" s="540"/>
      <c r="G286" s="120" t="e">
        <f>INDEX(Commerce_session1!A6:CX792,MATCH("I",Commerce_session1!A6:A792,0),100)</f>
        <v>#N/A</v>
      </c>
      <c r="H286" s="538" t="s">
        <v>91</v>
      </c>
      <c r="I286" s="539"/>
      <c r="J286" s="539"/>
      <c r="K286" s="540"/>
      <c r="L286" s="541" t="e">
        <f>INDEX(Commerce_session1!A6:CX792,MATCH("I",Commerce_session1!A6:A792,0),101)</f>
        <v>#N/A</v>
      </c>
      <c r="M286" s="542"/>
      <c r="N286" s="8"/>
      <c r="O286" s="8"/>
    </row>
    <row r="287" spans="1:15" ht="22.5">
      <c r="A287" s="546" t="s">
        <v>42</v>
      </c>
      <c r="B287" s="547"/>
      <c r="C287" s="548"/>
      <c r="D287" s="543" t="e">
        <f>INDEX(Commerce_session1!A6:CX792,MATCH("I",Commerce_session1!A6:A792,0),102)</f>
        <v>#N/A</v>
      </c>
      <c r="E287" s="544"/>
      <c r="F287" s="545"/>
      <c r="G287" s="108"/>
      <c r="H287" s="109"/>
      <c r="I287" s="110"/>
      <c r="J287" s="111"/>
      <c r="K287" s="110"/>
      <c r="L287" s="110"/>
      <c r="M287" s="110"/>
      <c r="N287" s="112" t="s">
        <v>43</v>
      </c>
      <c r="O287" s="28">
        <f ca="1">TODAY()</f>
        <v>43626</v>
      </c>
    </row>
    <row r="288" spans="1:15" ht="32.25" customHeight="1">
      <c r="A288" s="113" t="s">
        <v>44</v>
      </c>
      <c r="B288" s="29"/>
      <c r="C288" s="29"/>
      <c r="D288" s="533"/>
      <c r="E288" s="533"/>
      <c r="F288" s="30"/>
      <c r="G288" s="4"/>
      <c r="J288" s="4"/>
      <c r="L288" s="534" t="s">
        <v>46</v>
      </c>
      <c r="M288" s="534"/>
      <c r="N288" s="534"/>
    </row>
    <row r="289" spans="1:18" ht="23.25" customHeight="1" thickBot="1">
      <c r="A289" s="84" t="s">
        <v>12</v>
      </c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445" t="s">
        <v>13</v>
      </c>
      <c r="M289" s="445"/>
      <c r="N289" s="445"/>
      <c r="O289" s="445"/>
      <c r="P289" s="2"/>
      <c r="Q289" s="2"/>
      <c r="R289" s="2"/>
    </row>
    <row r="290" spans="1:18" ht="15.75">
      <c r="A290" s="446" t="s">
        <v>14</v>
      </c>
      <c r="B290" s="446"/>
      <c r="C290" s="446"/>
      <c r="D290" s="446"/>
      <c r="E290" s="446"/>
      <c r="F290" s="3"/>
      <c r="H290" s="4"/>
      <c r="K290" s="4"/>
      <c r="L290" s="4"/>
    </row>
    <row r="291" spans="1:18" ht="15.75">
      <c r="A291" s="85" t="s">
        <v>15</v>
      </c>
      <c r="B291" s="85"/>
      <c r="C291" s="85"/>
      <c r="D291" s="85"/>
      <c r="E291" s="85"/>
      <c r="F291" s="5"/>
      <c r="H291" s="4"/>
      <c r="K291" s="4"/>
      <c r="L291" s="4"/>
      <c r="P291" s="6"/>
    </row>
    <row r="292" spans="1:18" ht="15.75">
      <c r="A292" s="85" t="s">
        <v>100</v>
      </c>
      <c r="B292" s="85"/>
      <c r="C292" s="85"/>
      <c r="D292" s="85"/>
      <c r="E292" s="85"/>
      <c r="F292" s="3"/>
      <c r="H292" s="4"/>
      <c r="K292" s="4"/>
      <c r="L292" s="4"/>
    </row>
    <row r="293" spans="1:18" s="8" customFormat="1" ht="27" customHeight="1">
      <c r="A293" s="7"/>
      <c r="B293" s="7"/>
      <c r="C293" s="7"/>
      <c r="D293" s="447" t="s">
        <v>94</v>
      </c>
      <c r="E293" s="447"/>
      <c r="F293" s="447"/>
      <c r="G293" s="447"/>
      <c r="H293" s="447"/>
      <c r="I293" s="447"/>
      <c r="J293" s="447"/>
      <c r="K293" s="447"/>
      <c r="L293" s="447"/>
      <c r="M293" s="7"/>
      <c r="N293" s="7"/>
      <c r="O293" s="7"/>
    </row>
    <row r="294" spans="1:18" ht="23.25" customHeight="1">
      <c r="A294" s="126" t="s">
        <v>101</v>
      </c>
      <c r="B294" s="126"/>
      <c r="C294" s="126"/>
      <c r="D294" s="126"/>
      <c r="E294" s="126"/>
      <c r="F294" s="126"/>
      <c r="G294" s="122"/>
      <c r="H294" s="122"/>
      <c r="I294" s="122" t="e">
        <f>IF(D319="ناجح(ة) دورة1","-الدورة الأولى-","-الدورة الثانية-")</f>
        <v>#N/A</v>
      </c>
      <c r="J294" s="124" t="s">
        <v>48</v>
      </c>
      <c r="K294" s="124"/>
      <c r="L294" s="87"/>
      <c r="M294" s="88"/>
      <c r="N294" s="89"/>
      <c r="O294" s="9"/>
    </row>
    <row r="295" spans="1:18" ht="20.25" customHeight="1">
      <c r="A295" s="476" t="s">
        <v>93</v>
      </c>
      <c r="B295" s="476"/>
      <c r="C295" s="90" t="e">
        <f>INDEX(Commerce_session1!A6:CX792,MATCH("J",Commerce_session1!A6:A792,0),3)</f>
        <v>#N/A</v>
      </c>
      <c r="D295" s="91" t="s">
        <v>92</v>
      </c>
      <c r="E295" s="448" t="e">
        <f>INDEX(Commerce_session1!A6:CX792,MATCH("J",Commerce_session1!A6:A792,0),4)</f>
        <v>#N/A</v>
      </c>
      <c r="F295" s="448" t="e">
        <f>INDEX(Commerce_session1!D179:DA380,MATCH("a",Commerce_session1!D179:D380,0),3)</f>
        <v>#N/A</v>
      </c>
      <c r="G295" s="477" t="s">
        <v>16</v>
      </c>
      <c r="H295" s="477"/>
      <c r="I295" s="477"/>
      <c r="J295" s="478" t="e">
        <f>INDEX(Commerce_session1!A6:CX792,MATCH("J",Commerce_session1!A6:A792,0),6)</f>
        <v>#N/A</v>
      </c>
      <c r="K295" s="478"/>
      <c r="L295" s="88"/>
      <c r="M295" s="92" t="s">
        <v>17</v>
      </c>
      <c r="N295" s="90" t="e">
        <f>INDEX(Commerce_session1!A6:CX792,MATCH("J",Commerce_session1!A6:A792,0),7)</f>
        <v>#N/A</v>
      </c>
      <c r="O295" s="10"/>
    </row>
    <row r="296" spans="1:18" ht="20.25" customHeight="1">
      <c r="A296" s="476" t="s">
        <v>18</v>
      </c>
      <c r="B296" s="476"/>
      <c r="C296" s="448" t="e">
        <f>INDEX(Commerce_session1!A6:CX792,MATCH("J",Commerce_session1!A6:A792,0),5)</f>
        <v>#N/A</v>
      </c>
      <c r="D296" s="448"/>
      <c r="E296" s="91"/>
      <c r="F296" s="88"/>
      <c r="G296" s="93"/>
      <c r="H296" s="88"/>
      <c r="I296" s="88"/>
      <c r="J296" s="93"/>
      <c r="K296" s="88"/>
      <c r="L296" s="88"/>
      <c r="M296" s="88"/>
      <c r="N296" s="88"/>
      <c r="O296" s="10"/>
    </row>
    <row r="297" spans="1:18" ht="20.25" customHeight="1">
      <c r="A297" s="476" t="s">
        <v>102</v>
      </c>
      <c r="B297" s="476"/>
      <c r="C297" s="476"/>
      <c r="D297" s="476"/>
      <c r="E297" s="476"/>
      <c r="F297" s="476"/>
      <c r="G297" s="476"/>
      <c r="H297" s="476"/>
      <c r="I297" s="476"/>
      <c r="J297" s="476"/>
      <c r="K297" s="476"/>
      <c r="L297" s="476"/>
      <c r="M297" s="476"/>
      <c r="N297" s="476"/>
      <c r="O297" s="476"/>
    </row>
    <row r="298" spans="1:18" ht="20.25" customHeight="1" thickBot="1">
      <c r="A298" s="459" t="s">
        <v>19</v>
      </c>
      <c r="B298" s="459"/>
      <c r="C298" s="459"/>
      <c r="D298" s="459"/>
      <c r="E298" s="459"/>
      <c r="F298" s="459"/>
      <c r="G298" s="459"/>
      <c r="H298" s="94"/>
      <c r="I298" s="94"/>
      <c r="J298" s="95"/>
      <c r="K298" s="94"/>
      <c r="L298" s="94"/>
      <c r="M298" s="94"/>
      <c r="N298" s="94"/>
      <c r="O298" s="11"/>
    </row>
    <row r="299" spans="1:18" ht="18.75" thickBot="1">
      <c r="A299" s="460" t="s">
        <v>20</v>
      </c>
      <c r="B299" s="463" t="s">
        <v>21</v>
      </c>
      <c r="C299" s="464"/>
      <c r="D299" s="464"/>
      <c r="E299" s="464"/>
      <c r="F299" s="464" t="s">
        <v>22</v>
      </c>
      <c r="G299" s="464"/>
      <c r="H299" s="464"/>
      <c r="I299" s="465" t="s">
        <v>23</v>
      </c>
      <c r="J299" s="466"/>
      <c r="K299" s="466"/>
      <c r="L299" s="466"/>
      <c r="M299" s="466"/>
      <c r="N299" s="466"/>
      <c r="O299" s="467"/>
    </row>
    <row r="300" spans="1:18">
      <c r="A300" s="461"/>
      <c r="B300" s="468" t="s">
        <v>24</v>
      </c>
      <c r="C300" s="470" t="s">
        <v>25</v>
      </c>
      <c r="D300" s="472" t="s">
        <v>26</v>
      </c>
      <c r="E300" s="474" t="s">
        <v>27</v>
      </c>
      <c r="F300" s="479" t="s">
        <v>28</v>
      </c>
      <c r="G300" s="468" t="s">
        <v>11</v>
      </c>
      <c r="H300" s="481" t="s">
        <v>27</v>
      </c>
      <c r="I300" s="482" t="s">
        <v>29</v>
      </c>
      <c r="J300" s="483"/>
      <c r="K300" s="484" t="s">
        <v>30</v>
      </c>
      <c r="L300" s="485"/>
      <c r="M300" s="486"/>
      <c r="N300" s="455" t="s">
        <v>20</v>
      </c>
      <c r="O300" s="456"/>
    </row>
    <row r="301" spans="1:18" ht="15.75" thickBot="1">
      <c r="A301" s="462"/>
      <c r="B301" s="469"/>
      <c r="C301" s="471"/>
      <c r="D301" s="473"/>
      <c r="E301" s="475"/>
      <c r="F301" s="480"/>
      <c r="G301" s="469"/>
      <c r="H301" s="473"/>
      <c r="I301" s="106" t="s">
        <v>10</v>
      </c>
      <c r="J301" s="106" t="s">
        <v>31</v>
      </c>
      <c r="K301" s="106" t="s">
        <v>32</v>
      </c>
      <c r="L301" s="457" t="s">
        <v>33</v>
      </c>
      <c r="M301" s="458"/>
      <c r="N301" s="106" t="s">
        <v>34</v>
      </c>
      <c r="O301" s="107" t="s">
        <v>35</v>
      </c>
    </row>
    <row r="302" spans="1:18" ht="18.75" customHeight="1" thickBot="1">
      <c r="A302" s="549" t="s">
        <v>76</v>
      </c>
      <c r="B302" s="552" t="s">
        <v>36</v>
      </c>
      <c r="C302" s="555" t="s">
        <v>90</v>
      </c>
      <c r="D302" s="556">
        <v>17</v>
      </c>
      <c r="E302" s="449">
        <v>6</v>
      </c>
      <c r="F302" s="96" t="s">
        <v>54</v>
      </c>
      <c r="G302" s="70">
        <v>5</v>
      </c>
      <c r="H302" s="71">
        <v>2</v>
      </c>
      <c r="I302" s="12" t="e">
        <f>INDEX(Commerce_session1!A6:CX792,MATCH("J",Commerce_session1!A6:A792,0),16)</f>
        <v>#N/A</v>
      </c>
      <c r="J302" s="13" t="e">
        <f>INDEX(Commerce_session1!A6:CX792,MATCH("J",Commerce_session1!A6:A792,0),17)</f>
        <v>#N/A</v>
      </c>
      <c r="K302" s="452" t="e">
        <f>INDEX(Commerce_session1!A6:CX792,MATCH("J",Commerce_session1!A6:A792,0),26)</f>
        <v>#N/A</v>
      </c>
      <c r="L302" s="494" t="e">
        <f>INDEX(Commerce_session1!A6:CX792,MATCH("J",Commerce_session1!A6:A792,0),27)</f>
        <v>#N/A</v>
      </c>
      <c r="M302" s="495" t="e">
        <f>INDEX(Commerce_session1!#REF!,MATCH("a",Commerce_session1!#REF!,0),15)</f>
        <v>#REF!</v>
      </c>
      <c r="N302" s="498" t="e">
        <f>INDEX(Commerce_session1!A6:CX792,MATCH("J",Commerce_session1!A6:A792,0),95)</f>
        <v>#N/A</v>
      </c>
      <c r="O302" s="487" t="e">
        <f>INDEX(Commerce_session1!A6:CX792,MATCH("J",Commerce_session1!A6:A792,0),96)</f>
        <v>#N/A</v>
      </c>
    </row>
    <row r="303" spans="1:18" ht="18.75" customHeight="1" thickBot="1">
      <c r="A303" s="550"/>
      <c r="B303" s="553"/>
      <c r="C303" s="503"/>
      <c r="D303" s="557"/>
      <c r="E303" s="450"/>
      <c r="F303" s="97" t="s">
        <v>55</v>
      </c>
      <c r="G303" s="72">
        <v>6</v>
      </c>
      <c r="H303" s="73">
        <v>2</v>
      </c>
      <c r="I303" s="14" t="e">
        <f>INDEX(Commerce_session1!A6:CX792,MATCH("J",Commerce_session1!A6:A792,0),20)</f>
        <v>#N/A</v>
      </c>
      <c r="J303" s="15" t="e">
        <f>INDEX(Commerce_session1!A6:CX792,MATCH("J",Commerce_session1!A6:A792,0),21)</f>
        <v>#N/A</v>
      </c>
      <c r="K303" s="453" t="e">
        <f>INDEX(Commerce_session1!#REF!,MATCH("a",Commerce_session1!#REF!,0),14)</f>
        <v>#REF!</v>
      </c>
      <c r="L303" s="496" t="e">
        <f>INDEX(Commerce_session1!#REF!,MATCH("a",Commerce_session1!#REF!,0),14)</f>
        <v>#REF!</v>
      </c>
      <c r="M303" s="497" t="e">
        <f>INDEX(Commerce_session1!#REF!,MATCH("a",Commerce_session1!#REF!,0),14)</f>
        <v>#REF!</v>
      </c>
      <c r="N303" s="498" t="e">
        <f>INDEX(Commerce_session1!#REF!,MATCH("a",Commerce_session1!#REF!,0),62)</f>
        <v>#REF!</v>
      </c>
      <c r="O303" s="487" t="e">
        <f>INDEX(Commerce_session1!#REF!,MATCH("a",Commerce_session1!#REF!,0),62)</f>
        <v>#REF!</v>
      </c>
    </row>
    <row r="304" spans="1:18" ht="18.75" customHeight="1" thickBot="1">
      <c r="A304" s="550"/>
      <c r="B304" s="554"/>
      <c r="C304" s="504"/>
      <c r="D304" s="558"/>
      <c r="E304" s="451"/>
      <c r="F304" s="98" t="s">
        <v>56</v>
      </c>
      <c r="G304" s="74">
        <v>6</v>
      </c>
      <c r="H304" s="75">
        <v>2</v>
      </c>
      <c r="I304" s="16" t="e">
        <f>INDEX(Commerce_session1!A6:CX792,MATCH("J",Commerce_session1!A6:A792,0),24)</f>
        <v>#N/A</v>
      </c>
      <c r="J304" s="17" t="e">
        <f>INDEX(Commerce_session1!A6:CX792,MATCH("J",Commerce_session1!A6:A792,0),25)</f>
        <v>#N/A</v>
      </c>
      <c r="K304" s="454" t="e">
        <f>INDEX(Commerce_session1!#REF!,MATCH("a",Commerce_session1!#REF!,0),14)</f>
        <v>#REF!</v>
      </c>
      <c r="L304" s="490" t="e">
        <f>INDEX(Commerce_session1!#REF!,MATCH("a",Commerce_session1!#REF!,0),14)</f>
        <v>#REF!</v>
      </c>
      <c r="M304" s="491" t="e">
        <f>INDEX(Commerce_session1!#REF!,MATCH("a",Commerce_session1!#REF!,0),14)</f>
        <v>#REF!</v>
      </c>
      <c r="N304" s="498" t="e">
        <f>INDEX(Commerce_session1!#REF!,MATCH("a",Commerce_session1!#REF!,0),62)</f>
        <v>#REF!</v>
      </c>
      <c r="O304" s="487" t="e">
        <f>INDEX(Commerce_session1!#REF!,MATCH("a",Commerce_session1!#REF!,0),62)</f>
        <v>#REF!</v>
      </c>
    </row>
    <row r="305" spans="1:15" ht="19.5" customHeight="1" thickTop="1" thickBot="1">
      <c r="A305" s="550"/>
      <c r="B305" s="499" t="s">
        <v>37</v>
      </c>
      <c r="C305" s="502" t="s">
        <v>89</v>
      </c>
      <c r="D305" s="505">
        <v>7</v>
      </c>
      <c r="E305" s="508">
        <v>5</v>
      </c>
      <c r="F305" s="99" t="s">
        <v>83</v>
      </c>
      <c r="G305" s="76">
        <v>1</v>
      </c>
      <c r="H305" s="77">
        <v>1</v>
      </c>
      <c r="I305" s="18" t="e">
        <f>INDEX(Commerce_session1!A6:CX792,MATCH("J",Commerce_session1!A6:A792,0),29)</f>
        <v>#N/A</v>
      </c>
      <c r="J305" s="19" t="e">
        <f>INDEX(Commerce_session1!A6:CX792,MATCH("J",Commerce_session1!A6:A792,0),30)</f>
        <v>#N/A</v>
      </c>
      <c r="K305" s="509" t="e">
        <f>INDEX(Commerce_session1!A6:CX792,MATCH("J",Commerce_session1!A6:A792,0),39)</f>
        <v>#N/A</v>
      </c>
      <c r="L305" s="488" t="e">
        <f>INDEX(Commerce_session1!A6:CX792,MATCH("J",Commerce_session1!A6:A792,0),40)</f>
        <v>#N/A</v>
      </c>
      <c r="M305" s="489" t="e">
        <f>INDEX(Commerce_session1!#REF!,MATCH("a",Commerce_session1!#REF!,0),23)</f>
        <v>#REF!</v>
      </c>
      <c r="N305" s="498" t="e">
        <f>INDEX(Commerce_session1!#REF!,MATCH("a",Commerce_session1!#REF!,0),62)</f>
        <v>#REF!</v>
      </c>
      <c r="O305" s="487" t="e">
        <f>INDEX(Commerce_session1!#REF!,MATCH("a",Commerce_session1!#REF!,0),62)</f>
        <v>#REF!</v>
      </c>
    </row>
    <row r="306" spans="1:15" ht="18.75" customHeight="1" thickTop="1" thickBot="1">
      <c r="A306" s="550"/>
      <c r="B306" s="500"/>
      <c r="C306" s="503"/>
      <c r="D306" s="506"/>
      <c r="E306" s="450"/>
      <c r="F306" s="100" t="s">
        <v>99</v>
      </c>
      <c r="G306" s="78">
        <v>3</v>
      </c>
      <c r="H306" s="79">
        <v>2</v>
      </c>
      <c r="I306" s="18" t="e">
        <f>INDEX(Commerce_session1!A6:CX792,MATCH("J",Commerce_session1!A6:A792,0),33)</f>
        <v>#N/A</v>
      </c>
      <c r="J306" s="15" t="e">
        <f>INDEX(Commerce_session1!A6:CX792,MATCH("J",Commerce_session1!A6:A792,0),34)</f>
        <v>#N/A</v>
      </c>
      <c r="K306" s="510" t="e">
        <f>INDEX(Commerce_session1!#REF!,MATCH("a",Commerce_session1!#REF!,0),22)</f>
        <v>#REF!</v>
      </c>
      <c r="L306" s="496" t="e">
        <f>INDEX(Commerce_session1!#REF!,MATCH("a",Commerce_session1!#REF!,0),22)</f>
        <v>#REF!</v>
      </c>
      <c r="M306" s="497" t="e">
        <f>INDEX(Commerce_session1!#REF!,MATCH("a",Commerce_session1!#REF!,0),22)</f>
        <v>#REF!</v>
      </c>
      <c r="N306" s="498" t="e">
        <f>INDEX(Commerce_session1!#REF!,MATCH("a",Commerce_session1!#REF!,0),62)</f>
        <v>#REF!</v>
      </c>
      <c r="O306" s="487" t="e">
        <f>INDEX(Commerce_session1!#REF!,MATCH("a",Commerce_session1!#REF!,0),62)</f>
        <v>#REF!</v>
      </c>
    </row>
    <row r="307" spans="1:15" ht="18.75" customHeight="1" thickBot="1">
      <c r="A307" s="550"/>
      <c r="B307" s="501"/>
      <c r="C307" s="504"/>
      <c r="D307" s="507"/>
      <c r="E307" s="451"/>
      <c r="F307" s="101" t="s">
        <v>84</v>
      </c>
      <c r="G307" s="80">
        <v>3</v>
      </c>
      <c r="H307" s="81">
        <v>2</v>
      </c>
      <c r="I307" s="20" t="e">
        <f>INDEX(Commerce_session1!A6:CX792,MATCH("J",Commerce_session1!A6:A792,0),37)</f>
        <v>#N/A</v>
      </c>
      <c r="J307" s="17" t="e">
        <f>INDEX(Commerce_session1!A6:CX792,MATCH("J",Commerce_session1!A6:A792,0),38)</f>
        <v>#N/A</v>
      </c>
      <c r="K307" s="511" t="e">
        <f>INDEX(Commerce_session1!#REF!,MATCH("a",Commerce_session1!#REF!,0),22)</f>
        <v>#REF!</v>
      </c>
      <c r="L307" s="490" t="e">
        <f>INDEX(Commerce_session1!#REF!,MATCH("a",Commerce_session1!#REF!,0),22)</f>
        <v>#REF!</v>
      </c>
      <c r="M307" s="491" t="e">
        <f>INDEX(Commerce_session1!#REF!,MATCH("a",Commerce_session1!#REF!,0),22)</f>
        <v>#REF!</v>
      </c>
      <c r="N307" s="498" t="e">
        <f>INDEX(Commerce_session1!#REF!,MATCH("a",Commerce_session1!#REF!,0),62)</f>
        <v>#REF!</v>
      </c>
      <c r="O307" s="487" t="e">
        <f>INDEX(Commerce_session1!#REF!,MATCH("a",Commerce_session1!#REF!,0),62)</f>
        <v>#REF!</v>
      </c>
    </row>
    <row r="308" spans="1:15" ht="33.75" customHeight="1" thickTop="1" thickBot="1">
      <c r="A308" s="550"/>
      <c r="B308" s="531" t="s">
        <v>38</v>
      </c>
      <c r="C308" s="559" t="s">
        <v>50</v>
      </c>
      <c r="D308" s="520">
        <v>5</v>
      </c>
      <c r="E308" s="508">
        <v>2</v>
      </c>
      <c r="F308" s="102" t="s">
        <v>63</v>
      </c>
      <c r="G308" s="68">
        <v>4</v>
      </c>
      <c r="H308" s="69">
        <v>1</v>
      </c>
      <c r="I308" s="18" t="e">
        <f>INDEX(Commerce_session1!A6:CX792,MATCH("J",Commerce_session1!A6:A792,0),43)</f>
        <v>#N/A</v>
      </c>
      <c r="J308" s="19" t="e">
        <f>INDEX(Commerce_session1!A6:CX792,MATCH("J",Commerce_session1!A6:A792,0),44)</f>
        <v>#N/A</v>
      </c>
      <c r="K308" s="509" t="e">
        <f>INDEX(Commerce_session1!A6:CX792,MATCH("J",Commerce_session1!A6:A792,0),48)</f>
        <v>#N/A</v>
      </c>
      <c r="L308" s="488" t="e">
        <f>INDEX(Commerce_session1!A6:CX792,MATCH("J",Commerce_session1!A6:A792,0),49)</f>
        <v>#N/A</v>
      </c>
      <c r="M308" s="489" t="e">
        <f>INDEX(Commerce_session1!#REF!,MATCH("a",Commerce_session1!#REF!,0),29)</f>
        <v>#REF!</v>
      </c>
      <c r="N308" s="498" t="e">
        <f>INDEX(Commerce_session1!#REF!,MATCH("a",Commerce_session1!#REF!,0),62)</f>
        <v>#REF!</v>
      </c>
      <c r="O308" s="487" t="e">
        <f>INDEX(Commerce_session1!#REF!,MATCH("a",Commerce_session1!#REF!,0),62)</f>
        <v>#REF!</v>
      </c>
    </row>
    <row r="309" spans="1:15" ht="18.75" customHeight="1" thickBot="1">
      <c r="A309" s="550"/>
      <c r="B309" s="527"/>
      <c r="C309" s="524"/>
      <c r="D309" s="521"/>
      <c r="E309" s="451"/>
      <c r="F309" s="101" t="s">
        <v>62</v>
      </c>
      <c r="G309" s="80">
        <v>1</v>
      </c>
      <c r="H309" s="81">
        <v>1</v>
      </c>
      <c r="I309" s="16" t="e">
        <f>INDEX(Commerce_session1!A6:CX792,MATCH("J",Commerce_session1!A6:A792,0),46)</f>
        <v>#N/A</v>
      </c>
      <c r="J309" s="21" t="e">
        <f>INDEX(Commerce_session1!A6:CX792,MATCH("J",Commerce_session1!A6:A792,0),47)</f>
        <v>#N/A</v>
      </c>
      <c r="K309" s="511" t="e">
        <f>INDEX(Commerce_session1!#REF!,MATCH("a",Commerce_session1!#REF!,0),28)</f>
        <v>#REF!</v>
      </c>
      <c r="L309" s="490" t="e">
        <f>INDEX(Commerce_session1!#REF!,MATCH("a",Commerce_session1!#REF!,0),28)</f>
        <v>#REF!</v>
      </c>
      <c r="M309" s="491" t="e">
        <f>INDEX(Commerce_session1!#REF!,MATCH("a",Commerce_session1!#REF!,0),28)</f>
        <v>#REF!</v>
      </c>
      <c r="N309" s="498" t="e">
        <f>INDEX(Commerce_session1!#REF!,MATCH("a",Commerce_session1!#REF!,0),62)</f>
        <v>#REF!</v>
      </c>
      <c r="O309" s="487" t="e">
        <f>INDEX(Commerce_session1!#REF!,MATCH("a",Commerce_session1!#REF!,0),62)</f>
        <v>#REF!</v>
      </c>
    </row>
    <row r="310" spans="1:15" ht="20.25" customHeight="1" thickTop="1" thickBot="1">
      <c r="A310" s="551"/>
      <c r="B310" s="105" t="s">
        <v>39</v>
      </c>
      <c r="C310" s="104" t="s">
        <v>51</v>
      </c>
      <c r="D310" s="22">
        <v>1</v>
      </c>
      <c r="E310" s="23">
        <v>1</v>
      </c>
      <c r="F310" s="103" t="s">
        <v>64</v>
      </c>
      <c r="G310" s="82">
        <v>1</v>
      </c>
      <c r="H310" s="83">
        <v>1</v>
      </c>
      <c r="I310" s="20" t="e">
        <f>INDEX(Commerce_session1!A6:CX792,MATCH("J",Commerce_session1!A6:A792,0),52)</f>
        <v>#N/A</v>
      </c>
      <c r="J310" s="24" t="e">
        <f>INDEX(Commerce_session1!A6:CX792,MATCH("J",Commerce_session1!A6:A792,0),53)</f>
        <v>#N/A</v>
      </c>
      <c r="K310" s="36" t="e">
        <f>INDEX(Commerce_session1!A6:CX792,MATCH("J",Commerce_session1!A6:A792,0),54)</f>
        <v>#N/A</v>
      </c>
      <c r="L310" s="492" t="e">
        <f>INDEX(Commerce_session1!A6:CX792,MATCH("J",Commerce_session1!A6:A792,0),55)</f>
        <v>#N/A</v>
      </c>
      <c r="M310" s="493" t="e">
        <f>INDEX(Commerce_session1!#REF!,MATCH("a",Commerce_session1!#REF!,0),33)</f>
        <v>#REF!</v>
      </c>
      <c r="N310" s="498" t="e">
        <f>INDEX(Commerce_session1!#REF!,MATCH("a",Commerce_session1!#REF!,0),62)</f>
        <v>#REF!</v>
      </c>
      <c r="O310" s="487" t="e">
        <f>INDEX(Commerce_session1!#REF!,MATCH("a",Commerce_session1!#REF!,0),62)</f>
        <v>#REF!</v>
      </c>
    </row>
    <row r="311" spans="1:15" ht="19.5" customHeight="1" thickTop="1" thickBot="1">
      <c r="A311" s="516" t="s">
        <v>77</v>
      </c>
      <c r="B311" s="525" t="s">
        <v>36</v>
      </c>
      <c r="C311" s="522" t="s">
        <v>88</v>
      </c>
      <c r="D311" s="528">
        <v>16</v>
      </c>
      <c r="E311" s="449">
        <v>5</v>
      </c>
      <c r="F311" s="96" t="s">
        <v>67</v>
      </c>
      <c r="G311" s="114">
        <v>6</v>
      </c>
      <c r="H311" s="115">
        <v>2</v>
      </c>
      <c r="I311" s="18" t="e">
        <f>INDEX(Commerce_session1!A6:CX792,MATCH("J",Commerce_session1!A6:A792,0),60)</f>
        <v>#N/A</v>
      </c>
      <c r="J311" s="19" t="e">
        <f>INDEX(Commerce_session1!A6:CX792,MATCH("J",Commerce_session1!A6:A792,0),61)</f>
        <v>#N/A</v>
      </c>
      <c r="K311" s="519" t="e">
        <f>INDEX(Commerce_session1!A6:CX792,MATCH("J",Commerce_session1!A6:A792,0),70)</f>
        <v>#N/A</v>
      </c>
      <c r="L311" s="494" t="e">
        <f>INDEX(Commerce_session1!A6:CX792,MATCH("J",Commerce_session1!A6:A792,0),71)</f>
        <v>#N/A</v>
      </c>
      <c r="M311" s="495"/>
      <c r="N311" s="498" t="e">
        <f>INDEX(Commerce_session1!A6:CX792,MATCH("J",Commerce_session1!A6:A792,0),97)</f>
        <v>#N/A</v>
      </c>
      <c r="O311" s="487" t="e">
        <f>INDEX(Commerce_session1!A6:CX792,MATCH("J",Commerce_session1!A6:A792,0),98)</f>
        <v>#N/A</v>
      </c>
    </row>
    <row r="312" spans="1:15" ht="18.75" customHeight="1" thickBot="1">
      <c r="A312" s="517"/>
      <c r="B312" s="526"/>
      <c r="C312" s="523"/>
      <c r="D312" s="529"/>
      <c r="E312" s="450"/>
      <c r="F312" s="100" t="s">
        <v>68</v>
      </c>
      <c r="G312" s="116">
        <v>6</v>
      </c>
      <c r="H312" s="117">
        <v>2</v>
      </c>
      <c r="I312" s="14" t="e">
        <f>INDEX(Commerce_session1!A6:CX792,MATCH("J",Commerce_session1!A6:A792,0),64)</f>
        <v>#N/A</v>
      </c>
      <c r="J312" s="15" t="e">
        <f>INDEX(Commerce_session1!A6:CX792,MATCH("J",Commerce_session1!A6:A792,0),65)</f>
        <v>#N/A</v>
      </c>
      <c r="K312" s="510"/>
      <c r="L312" s="496"/>
      <c r="M312" s="497"/>
      <c r="N312" s="498" t="e">
        <f>INDEX(Commerce_session1!#REF!,MATCH("a",Commerce_session1!#REF!,0),42)</f>
        <v>#REF!</v>
      </c>
      <c r="O312" s="487" t="e">
        <f>INDEX(Commerce_session1!#REF!,MATCH("a",Commerce_session1!#REF!,0),42)</f>
        <v>#REF!</v>
      </c>
    </row>
    <row r="313" spans="1:15" ht="20.25" customHeight="1" thickBot="1">
      <c r="A313" s="517"/>
      <c r="B313" s="527"/>
      <c r="C313" s="524"/>
      <c r="D313" s="530"/>
      <c r="E313" s="451"/>
      <c r="F313" s="101" t="s">
        <v>103</v>
      </c>
      <c r="G313" s="118">
        <v>4</v>
      </c>
      <c r="H313" s="119">
        <v>1</v>
      </c>
      <c r="I313" s="127" t="e">
        <f>INDEX(Commerce_session1!A6:CX792,MATCH("J",Commerce_session1!A6:A792,0),68)</f>
        <v>#N/A</v>
      </c>
      <c r="J313" s="21" t="e">
        <f>INDEX(Commerce_session1!A6:CX792,MATCH("J",Commerce_session1!A6:A792,0),69)</f>
        <v>#N/A</v>
      </c>
      <c r="K313" s="511"/>
      <c r="L313" s="490"/>
      <c r="M313" s="491"/>
      <c r="N313" s="498" t="e">
        <f>INDEX(Commerce_session1!#REF!,MATCH("a",Commerce_session1!#REF!,0),42)</f>
        <v>#REF!</v>
      </c>
      <c r="O313" s="487" t="e">
        <f>INDEX(Commerce_session1!#REF!,MATCH("a",Commerce_session1!#REF!,0),42)</f>
        <v>#REF!</v>
      </c>
    </row>
    <row r="314" spans="1:15" ht="22.5" customHeight="1" thickTop="1" thickBot="1">
      <c r="A314" s="517"/>
      <c r="B314" s="531" t="s">
        <v>37</v>
      </c>
      <c r="C314" s="559" t="s">
        <v>87</v>
      </c>
      <c r="D314" s="532">
        <v>10</v>
      </c>
      <c r="E314" s="508">
        <v>4</v>
      </c>
      <c r="F314" s="128" t="s">
        <v>104</v>
      </c>
      <c r="G314" s="76">
        <v>5</v>
      </c>
      <c r="H314" s="77">
        <v>2</v>
      </c>
      <c r="I314" s="18" t="e">
        <f>INDEX(Commerce_session1!A6:CX792,MATCH("J",Commerce_session1!A6:A792,0),74)</f>
        <v>#N/A</v>
      </c>
      <c r="J314" s="19" t="e">
        <f>INDEX(Commerce_session1!A6:CX792,MATCH("J",Commerce_session1!A6:A792,0),75)</f>
        <v>#N/A</v>
      </c>
      <c r="K314" s="509" t="e">
        <f>INDEX(Commerce_session1!A6:CX792,MATCH("J",Commerce_session1!A6:A792,0),80)</f>
        <v>#N/A</v>
      </c>
      <c r="L314" s="488" t="e">
        <f>INDEX(Commerce_session1!A6:CX792,MATCH("J",Commerce_session1!A6:A792,0),81)</f>
        <v>#N/A</v>
      </c>
      <c r="M314" s="489"/>
      <c r="N314" s="498" t="e">
        <f>INDEX(Commerce_session1!#REF!,MATCH("a",Commerce_session1!#REF!,0),43)</f>
        <v>#REF!</v>
      </c>
      <c r="O314" s="487" t="e">
        <f>INDEX(Commerce_session1!#REF!,MATCH("a",Commerce_session1!#REF!,0),43)</f>
        <v>#REF!</v>
      </c>
    </row>
    <row r="315" spans="1:15" ht="18.75" customHeight="1" thickBot="1">
      <c r="A315" s="517"/>
      <c r="B315" s="527"/>
      <c r="C315" s="524"/>
      <c r="D315" s="530"/>
      <c r="E315" s="451"/>
      <c r="F315" s="98" t="s">
        <v>69</v>
      </c>
      <c r="G315" s="74">
        <v>5</v>
      </c>
      <c r="H315" s="75">
        <v>2</v>
      </c>
      <c r="I315" s="20" t="e">
        <f>INDEX(Commerce_session1!A6:CX792,MATCH("J",Commerce_session1!A6:A792,0),78)</f>
        <v>#N/A</v>
      </c>
      <c r="J315" s="17" t="e">
        <f>INDEX(Commerce_session1!A6:CX792,MATCH("J",Commerce_session1!A6:A792,0),79)</f>
        <v>#N/A</v>
      </c>
      <c r="K315" s="511"/>
      <c r="L315" s="490"/>
      <c r="M315" s="491"/>
      <c r="N315" s="498" t="e">
        <f>INDEX(Commerce_session1!#REF!,MATCH("a",Commerce_session1!#REF!,0),42)</f>
        <v>#REF!</v>
      </c>
      <c r="O315" s="487" t="e">
        <f>INDEX(Commerce_session1!#REF!,MATCH("a",Commerce_session1!#REF!,0),42)</f>
        <v>#REF!</v>
      </c>
    </row>
    <row r="316" spans="1:15" ht="18.75" customHeight="1" thickTop="1" thickBot="1">
      <c r="A316" s="517"/>
      <c r="B316" s="105" t="s">
        <v>38</v>
      </c>
      <c r="C316" s="104" t="s">
        <v>85</v>
      </c>
      <c r="D316" s="22">
        <v>3</v>
      </c>
      <c r="E316" s="23">
        <v>2</v>
      </c>
      <c r="F316" s="101" t="s">
        <v>74</v>
      </c>
      <c r="G316" s="74">
        <v>3</v>
      </c>
      <c r="H316" s="75">
        <v>2</v>
      </c>
      <c r="I316" s="20" t="e">
        <f>INDEX(Commerce_session1!A6:CX792,MATCH("J",Commerce_session1!A6:A792,0),84)</f>
        <v>#N/A</v>
      </c>
      <c r="J316" s="17" t="e">
        <f>INDEX(Commerce_session1!A6:CX792,MATCH("J",Commerce_session1!A6:A792,0),85)</f>
        <v>#N/A</v>
      </c>
      <c r="K316" s="123" t="e">
        <f>INDEX(Commerce_session1!A6:CX792,MATCH("J",Commerce_session1!A6:A792,0),86)</f>
        <v>#N/A</v>
      </c>
      <c r="L316" s="512" t="e">
        <f>INDEX(Commerce_session1!A6:CX792,MATCH("J",Commerce_session1!A6:A792,0),87)</f>
        <v>#N/A</v>
      </c>
      <c r="M316" s="513"/>
      <c r="N316" s="498" t="e">
        <f>INDEX(Commerce_session1!#REF!,MATCH("a",Commerce_session1!#REF!,0),42)</f>
        <v>#REF!</v>
      </c>
      <c r="O316" s="487" t="e">
        <f>INDEX(Commerce_session1!#REF!,MATCH("a",Commerce_session1!#REF!,0),42)</f>
        <v>#REF!</v>
      </c>
    </row>
    <row r="317" spans="1:15" ht="20.25" customHeight="1" thickTop="1" thickBot="1">
      <c r="A317" s="518"/>
      <c r="B317" s="105" t="s">
        <v>39</v>
      </c>
      <c r="C317" s="104" t="s">
        <v>86</v>
      </c>
      <c r="D317" s="22">
        <v>1</v>
      </c>
      <c r="E317" s="23">
        <v>1</v>
      </c>
      <c r="F317" s="103" t="s">
        <v>73</v>
      </c>
      <c r="G317" s="82">
        <v>1</v>
      </c>
      <c r="H317" s="83">
        <v>1</v>
      </c>
      <c r="I317" s="25" t="e">
        <f>INDEX(Commerce_session1!A6:CX792,MATCH("J",Commerce_session1!A6:A792,0),89)</f>
        <v>#N/A</v>
      </c>
      <c r="J317" s="26" t="e">
        <f>INDEX(Commerce_session1!A6:CX792,MATCH("J",Commerce_session1!A6:A792,0),90)</f>
        <v>#N/A</v>
      </c>
      <c r="K317" s="27" t="e">
        <f>INDEX(Commerce_session1!A6:CX792,MATCH("J",Commerce_session1!A6:A792,0),91)</f>
        <v>#N/A</v>
      </c>
      <c r="L317" s="514" t="e">
        <f>INDEX(Commerce_session1!A6:CX792,MATCH("J",Commerce_session1!A6:A792,0),92)</f>
        <v>#N/A</v>
      </c>
      <c r="M317" s="515" t="e">
        <f>INDEX(Commerce_session1!#REF!,MATCH("a",Commerce_session1!#REF!,0),61)</f>
        <v>#REF!</v>
      </c>
      <c r="N317" s="498" t="e">
        <f>INDEX(Commerce_session1!#REF!,MATCH("a",Commerce_session1!#REF!,0),42)</f>
        <v>#REF!</v>
      </c>
      <c r="O317" s="487" t="e">
        <f>INDEX(Commerce_session1!#REF!,MATCH("a",Commerce_session1!#REF!,0),42)</f>
        <v>#REF!</v>
      </c>
    </row>
    <row r="318" spans="1:15" ht="20.25">
      <c r="A318" s="535" t="s">
        <v>40</v>
      </c>
      <c r="B318" s="536"/>
      <c r="C318" s="537"/>
      <c r="D318" s="121" t="e">
        <f>INDEX(Commerce_session1!A6:CX792,MATCH("J",Commerce_session1!A6:A792,0),99)</f>
        <v>#N/A</v>
      </c>
      <c r="E318" s="538" t="s">
        <v>41</v>
      </c>
      <c r="F318" s="540"/>
      <c r="G318" s="120" t="e">
        <f>INDEX(Commerce_session1!A6:CX792,MATCH("J",Commerce_session1!A6:A792,0),100)</f>
        <v>#N/A</v>
      </c>
      <c r="H318" s="538" t="s">
        <v>91</v>
      </c>
      <c r="I318" s="539"/>
      <c r="J318" s="539"/>
      <c r="K318" s="540"/>
      <c r="L318" s="541" t="e">
        <f>INDEX(Commerce_session1!A6:CX792,MATCH("J",Commerce_session1!A6:A792,0),101)</f>
        <v>#N/A</v>
      </c>
      <c r="M318" s="542"/>
      <c r="N318" s="8"/>
      <c r="O318" s="8"/>
    </row>
    <row r="319" spans="1:15" ht="22.5">
      <c r="A319" s="546" t="s">
        <v>42</v>
      </c>
      <c r="B319" s="547"/>
      <c r="C319" s="548"/>
      <c r="D319" s="543" t="e">
        <f>INDEX(Commerce_session1!A6:CX792,MATCH("J",Commerce_session1!A6:A792,0),102)</f>
        <v>#N/A</v>
      </c>
      <c r="E319" s="544"/>
      <c r="F319" s="545"/>
      <c r="G319" s="108"/>
      <c r="H319" s="109"/>
      <c r="I319" s="110"/>
      <c r="J319" s="111"/>
      <c r="K319" s="110"/>
      <c r="L319" s="110"/>
      <c r="M319" s="110"/>
      <c r="N319" s="112" t="s">
        <v>43</v>
      </c>
      <c r="O319" s="28">
        <f ca="1">TODAY()</f>
        <v>43626</v>
      </c>
    </row>
    <row r="320" spans="1:15" ht="32.25" customHeight="1">
      <c r="A320" s="113" t="s">
        <v>44</v>
      </c>
      <c r="B320" s="29"/>
      <c r="C320" s="29"/>
      <c r="D320" s="533"/>
      <c r="E320" s="533"/>
      <c r="F320" s="30"/>
      <c r="G320" s="4"/>
      <c r="J320" s="4"/>
      <c r="L320" s="534" t="s">
        <v>46</v>
      </c>
      <c r="M320" s="534"/>
      <c r="N320" s="534"/>
    </row>
    <row r="321" spans="1:18" ht="23.25" customHeight="1" thickBot="1">
      <c r="A321" s="84" t="s">
        <v>12</v>
      </c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445" t="s">
        <v>13</v>
      </c>
      <c r="M321" s="445"/>
      <c r="N321" s="445"/>
      <c r="O321" s="445"/>
      <c r="P321" s="2"/>
      <c r="Q321" s="2"/>
      <c r="R321" s="2"/>
    </row>
    <row r="322" spans="1:18" ht="15.75">
      <c r="A322" s="446" t="s">
        <v>14</v>
      </c>
      <c r="B322" s="446"/>
      <c r="C322" s="446"/>
      <c r="D322" s="446"/>
      <c r="E322" s="446"/>
      <c r="F322" s="3"/>
      <c r="H322" s="4"/>
      <c r="K322" s="4"/>
      <c r="L322" s="4"/>
    </row>
    <row r="323" spans="1:18" ht="15.75">
      <c r="A323" s="85" t="s">
        <v>15</v>
      </c>
      <c r="B323" s="85"/>
      <c r="C323" s="85"/>
      <c r="D323" s="85"/>
      <c r="E323" s="85"/>
      <c r="F323" s="5"/>
      <c r="H323" s="4"/>
      <c r="K323" s="4"/>
      <c r="L323" s="4"/>
      <c r="P323" s="6"/>
    </row>
    <row r="324" spans="1:18" ht="15.75">
      <c r="A324" s="85" t="s">
        <v>100</v>
      </c>
      <c r="B324" s="85"/>
      <c r="C324" s="85"/>
      <c r="D324" s="85"/>
      <c r="E324" s="85"/>
      <c r="F324" s="3"/>
      <c r="H324" s="4"/>
      <c r="K324" s="4"/>
      <c r="L324" s="4"/>
    </row>
    <row r="325" spans="1:18" s="8" customFormat="1" ht="27" customHeight="1">
      <c r="A325" s="7"/>
      <c r="B325" s="7"/>
      <c r="C325" s="7"/>
      <c r="D325" s="447" t="s">
        <v>94</v>
      </c>
      <c r="E325" s="447"/>
      <c r="F325" s="447"/>
      <c r="G325" s="447"/>
      <c r="H325" s="447"/>
      <c r="I325" s="447"/>
      <c r="J325" s="447"/>
      <c r="K325" s="447"/>
      <c r="L325" s="447"/>
      <c r="M325" s="7"/>
      <c r="N325" s="7"/>
      <c r="O325" s="7"/>
    </row>
    <row r="326" spans="1:18" ht="23.25" customHeight="1">
      <c r="A326" s="126" t="s">
        <v>101</v>
      </c>
      <c r="B326" s="126"/>
      <c r="C326" s="126"/>
      <c r="D326" s="126"/>
      <c r="E326" s="126"/>
      <c r="F326" s="126"/>
      <c r="G326" s="122"/>
      <c r="H326" s="122"/>
      <c r="I326" s="122" t="e">
        <f>IF(D351="ناجح(ة) دورة1","-الدورة الأولى-","-الدورة الثانية-")</f>
        <v>#N/A</v>
      </c>
      <c r="J326" s="124" t="s">
        <v>48</v>
      </c>
      <c r="K326" s="124"/>
      <c r="L326" s="87"/>
      <c r="M326" s="88"/>
      <c r="N326" s="89"/>
      <c r="O326" s="9"/>
    </row>
    <row r="327" spans="1:18" ht="20.25" customHeight="1">
      <c r="A327" s="476" t="s">
        <v>93</v>
      </c>
      <c r="B327" s="476"/>
      <c r="C327" s="90" t="e">
        <f>INDEX(Commerce_session1!A6:CX792,MATCH("K",Commerce_session1!A6:A792,0),3)</f>
        <v>#N/A</v>
      </c>
      <c r="D327" s="91" t="s">
        <v>92</v>
      </c>
      <c r="E327" s="448" t="e">
        <f>INDEX(Commerce_session1!A6:CX792,MATCH("K",Commerce_session1!A6:A792,0),4)</f>
        <v>#N/A</v>
      </c>
      <c r="F327" s="448" t="e">
        <f>INDEX(Commerce_session1!D179:DA412,MATCH("a",Commerce_session1!D179:D412,0),3)</f>
        <v>#N/A</v>
      </c>
      <c r="G327" s="477" t="s">
        <v>16</v>
      </c>
      <c r="H327" s="477"/>
      <c r="I327" s="477"/>
      <c r="J327" s="478" t="e">
        <f>INDEX(Commerce_session1!A6:CX792,MATCH("K",Commerce_session1!A6:A792,0),6)</f>
        <v>#N/A</v>
      </c>
      <c r="K327" s="478"/>
      <c r="L327" s="88"/>
      <c r="M327" s="92" t="s">
        <v>17</v>
      </c>
      <c r="N327" s="90" t="e">
        <f>INDEX(Commerce_session1!A6:CX792,MATCH("K",Commerce_session1!A6:A792,0),7)</f>
        <v>#N/A</v>
      </c>
      <c r="O327" s="10"/>
    </row>
    <row r="328" spans="1:18" ht="20.25" customHeight="1">
      <c r="A328" s="476" t="s">
        <v>18</v>
      </c>
      <c r="B328" s="476"/>
      <c r="C328" s="448" t="e">
        <f>INDEX(Commerce_session1!A6:CX792,MATCH("K",Commerce_session1!A6:A792,0),5)</f>
        <v>#N/A</v>
      </c>
      <c r="D328" s="448"/>
      <c r="E328" s="91"/>
      <c r="F328" s="88"/>
      <c r="G328" s="93"/>
      <c r="H328" s="88"/>
      <c r="I328" s="88"/>
      <c r="J328" s="93"/>
      <c r="K328" s="88"/>
      <c r="L328" s="88"/>
      <c r="M328" s="88"/>
      <c r="N328" s="88"/>
      <c r="O328" s="10"/>
    </row>
    <row r="329" spans="1:18" ht="20.25" customHeight="1">
      <c r="A329" s="476" t="s">
        <v>102</v>
      </c>
      <c r="B329" s="476"/>
      <c r="C329" s="476"/>
      <c r="D329" s="476"/>
      <c r="E329" s="476"/>
      <c r="F329" s="476"/>
      <c r="G329" s="476"/>
      <c r="H329" s="476"/>
      <c r="I329" s="476"/>
      <c r="J329" s="476"/>
      <c r="K329" s="476"/>
      <c r="L329" s="476"/>
      <c r="M329" s="476"/>
      <c r="N329" s="476"/>
      <c r="O329" s="476"/>
    </row>
    <row r="330" spans="1:18" ht="20.25" customHeight="1" thickBot="1">
      <c r="A330" s="459" t="s">
        <v>19</v>
      </c>
      <c r="B330" s="459"/>
      <c r="C330" s="459"/>
      <c r="D330" s="459"/>
      <c r="E330" s="459"/>
      <c r="F330" s="459"/>
      <c r="G330" s="459"/>
      <c r="H330" s="94"/>
      <c r="I330" s="94"/>
      <c r="J330" s="95"/>
      <c r="K330" s="94"/>
      <c r="L330" s="94"/>
      <c r="M330" s="94"/>
      <c r="N330" s="94"/>
      <c r="O330" s="11"/>
    </row>
    <row r="331" spans="1:18" ht="18.75" thickBot="1">
      <c r="A331" s="460" t="s">
        <v>20</v>
      </c>
      <c r="B331" s="463" t="s">
        <v>21</v>
      </c>
      <c r="C331" s="464"/>
      <c r="D331" s="464"/>
      <c r="E331" s="464"/>
      <c r="F331" s="464" t="s">
        <v>22</v>
      </c>
      <c r="G331" s="464"/>
      <c r="H331" s="464"/>
      <c r="I331" s="465" t="s">
        <v>23</v>
      </c>
      <c r="J331" s="466"/>
      <c r="K331" s="466"/>
      <c r="L331" s="466"/>
      <c r="M331" s="466"/>
      <c r="N331" s="466"/>
      <c r="O331" s="467"/>
    </row>
    <row r="332" spans="1:18">
      <c r="A332" s="461"/>
      <c r="B332" s="468" t="s">
        <v>24</v>
      </c>
      <c r="C332" s="470" t="s">
        <v>25</v>
      </c>
      <c r="D332" s="472" t="s">
        <v>26</v>
      </c>
      <c r="E332" s="474" t="s">
        <v>27</v>
      </c>
      <c r="F332" s="479" t="s">
        <v>28</v>
      </c>
      <c r="G332" s="468" t="s">
        <v>11</v>
      </c>
      <c r="H332" s="481" t="s">
        <v>27</v>
      </c>
      <c r="I332" s="482" t="s">
        <v>29</v>
      </c>
      <c r="J332" s="483"/>
      <c r="K332" s="484" t="s">
        <v>30</v>
      </c>
      <c r="L332" s="485"/>
      <c r="M332" s="486"/>
      <c r="N332" s="455" t="s">
        <v>20</v>
      </c>
      <c r="O332" s="456"/>
    </row>
    <row r="333" spans="1:18" ht="15.75" thickBot="1">
      <c r="A333" s="462"/>
      <c r="B333" s="469"/>
      <c r="C333" s="471"/>
      <c r="D333" s="473"/>
      <c r="E333" s="475"/>
      <c r="F333" s="480"/>
      <c r="G333" s="469"/>
      <c r="H333" s="473"/>
      <c r="I333" s="106" t="s">
        <v>10</v>
      </c>
      <c r="J333" s="106" t="s">
        <v>31</v>
      </c>
      <c r="K333" s="106" t="s">
        <v>32</v>
      </c>
      <c r="L333" s="457" t="s">
        <v>33</v>
      </c>
      <c r="M333" s="458"/>
      <c r="N333" s="106" t="s">
        <v>34</v>
      </c>
      <c r="O333" s="107" t="s">
        <v>35</v>
      </c>
    </row>
    <row r="334" spans="1:18" ht="18.75" customHeight="1" thickBot="1">
      <c r="A334" s="549" t="s">
        <v>76</v>
      </c>
      <c r="B334" s="552" t="s">
        <v>36</v>
      </c>
      <c r="C334" s="555" t="s">
        <v>90</v>
      </c>
      <c r="D334" s="556">
        <v>17</v>
      </c>
      <c r="E334" s="449">
        <v>6</v>
      </c>
      <c r="F334" s="96" t="s">
        <v>54</v>
      </c>
      <c r="G334" s="70">
        <v>5</v>
      </c>
      <c r="H334" s="71">
        <v>2</v>
      </c>
      <c r="I334" s="12" t="e">
        <f>INDEX(Commerce_session1!A6:CX792,MATCH("K",Commerce_session1!A6:A792,0),16)</f>
        <v>#N/A</v>
      </c>
      <c r="J334" s="13" t="e">
        <f>INDEX(Commerce_session1!A6:CX792,MATCH("K",Commerce_session1!A6:A792,0),17)</f>
        <v>#N/A</v>
      </c>
      <c r="K334" s="452" t="e">
        <f>INDEX(Commerce_session1!A6:CX792,MATCH("K",Commerce_session1!A6:A792,0),26)</f>
        <v>#N/A</v>
      </c>
      <c r="L334" s="494" t="e">
        <f>INDEX(Commerce_session1!A6:CX792,MATCH("K",Commerce_session1!A6:A792,0),27)</f>
        <v>#N/A</v>
      </c>
      <c r="M334" s="495" t="e">
        <f>INDEX(Commerce_session1!#REF!,MATCH("a",Commerce_session1!#REF!,0),15)</f>
        <v>#REF!</v>
      </c>
      <c r="N334" s="498" t="e">
        <f>INDEX(Commerce_session1!A6:CX792,MATCH("K",Commerce_session1!A6:A792,0),95)</f>
        <v>#N/A</v>
      </c>
      <c r="O334" s="487" t="e">
        <f>INDEX(Commerce_session1!A6:CX792,MATCH("K",Commerce_session1!A6:A792,0),96)</f>
        <v>#N/A</v>
      </c>
    </row>
    <row r="335" spans="1:18" ht="18.75" customHeight="1" thickBot="1">
      <c r="A335" s="550"/>
      <c r="B335" s="553"/>
      <c r="C335" s="503"/>
      <c r="D335" s="557"/>
      <c r="E335" s="450"/>
      <c r="F335" s="97" t="s">
        <v>55</v>
      </c>
      <c r="G335" s="72">
        <v>6</v>
      </c>
      <c r="H335" s="73">
        <v>2</v>
      </c>
      <c r="I335" s="14" t="e">
        <f>INDEX(Commerce_session1!A6:CX792,MATCH("K",Commerce_session1!A6:A792,0),20)</f>
        <v>#N/A</v>
      </c>
      <c r="J335" s="15" t="e">
        <f>INDEX(Commerce_session1!A6:CX792,MATCH("K",Commerce_session1!A6:A792,0),21)</f>
        <v>#N/A</v>
      </c>
      <c r="K335" s="453" t="e">
        <f>INDEX(Commerce_session1!#REF!,MATCH("a",Commerce_session1!#REF!,0),14)</f>
        <v>#REF!</v>
      </c>
      <c r="L335" s="496" t="e">
        <f>INDEX(Commerce_session1!#REF!,MATCH("a",Commerce_session1!#REF!,0),14)</f>
        <v>#REF!</v>
      </c>
      <c r="M335" s="497" t="e">
        <f>INDEX(Commerce_session1!#REF!,MATCH("a",Commerce_session1!#REF!,0),14)</f>
        <v>#REF!</v>
      </c>
      <c r="N335" s="498" t="e">
        <f>INDEX(Commerce_session1!#REF!,MATCH("a",Commerce_session1!#REF!,0),62)</f>
        <v>#REF!</v>
      </c>
      <c r="O335" s="487" t="e">
        <f>INDEX(Commerce_session1!#REF!,MATCH("a",Commerce_session1!#REF!,0),62)</f>
        <v>#REF!</v>
      </c>
    </row>
    <row r="336" spans="1:18" ht="18.75" customHeight="1" thickBot="1">
      <c r="A336" s="550"/>
      <c r="B336" s="554"/>
      <c r="C336" s="504"/>
      <c r="D336" s="558"/>
      <c r="E336" s="451"/>
      <c r="F336" s="98" t="s">
        <v>56</v>
      </c>
      <c r="G336" s="74">
        <v>6</v>
      </c>
      <c r="H336" s="75">
        <v>2</v>
      </c>
      <c r="I336" s="16" t="e">
        <f>INDEX(Commerce_session1!A6:CX792,MATCH("K",Commerce_session1!A6:A792,0),24)</f>
        <v>#N/A</v>
      </c>
      <c r="J336" s="17" t="e">
        <f>INDEX(Commerce_session1!A6:CX792,MATCH("K",Commerce_session1!A6:A792,0),25)</f>
        <v>#N/A</v>
      </c>
      <c r="K336" s="454" t="e">
        <f>INDEX(Commerce_session1!#REF!,MATCH("a",Commerce_session1!#REF!,0),14)</f>
        <v>#REF!</v>
      </c>
      <c r="L336" s="490" t="e">
        <f>INDEX(Commerce_session1!#REF!,MATCH("a",Commerce_session1!#REF!,0),14)</f>
        <v>#REF!</v>
      </c>
      <c r="M336" s="491" t="e">
        <f>INDEX(Commerce_session1!#REF!,MATCH("a",Commerce_session1!#REF!,0),14)</f>
        <v>#REF!</v>
      </c>
      <c r="N336" s="498" t="e">
        <f>INDEX(Commerce_session1!#REF!,MATCH("a",Commerce_session1!#REF!,0),62)</f>
        <v>#REF!</v>
      </c>
      <c r="O336" s="487" t="e">
        <f>INDEX(Commerce_session1!#REF!,MATCH("a",Commerce_session1!#REF!,0),62)</f>
        <v>#REF!</v>
      </c>
    </row>
    <row r="337" spans="1:15" ht="19.5" customHeight="1" thickTop="1" thickBot="1">
      <c r="A337" s="550"/>
      <c r="B337" s="499" t="s">
        <v>37</v>
      </c>
      <c r="C337" s="502" t="s">
        <v>89</v>
      </c>
      <c r="D337" s="505">
        <v>7</v>
      </c>
      <c r="E337" s="508">
        <v>5</v>
      </c>
      <c r="F337" s="99" t="s">
        <v>83</v>
      </c>
      <c r="G337" s="76">
        <v>1</v>
      </c>
      <c r="H337" s="77">
        <v>1</v>
      </c>
      <c r="I337" s="18" t="e">
        <f>INDEX(Commerce_session1!A6:CX792,MATCH("K",Commerce_session1!A6:A792,0),29)</f>
        <v>#N/A</v>
      </c>
      <c r="J337" s="19" t="e">
        <f>INDEX(Commerce_session1!A6:CX792,MATCH("K",Commerce_session1!A6:A792,0),30)</f>
        <v>#N/A</v>
      </c>
      <c r="K337" s="509" t="e">
        <f>INDEX(Commerce_session1!A6:CX792,MATCH("K",Commerce_session1!A6:A792,0),39)</f>
        <v>#N/A</v>
      </c>
      <c r="L337" s="488" t="e">
        <f>INDEX(Commerce_session1!A6:CX792,MATCH("K",Commerce_session1!A6:A792,0),40)</f>
        <v>#N/A</v>
      </c>
      <c r="M337" s="489" t="e">
        <f>INDEX(Commerce_session1!#REF!,MATCH("a",Commerce_session1!#REF!,0),23)</f>
        <v>#REF!</v>
      </c>
      <c r="N337" s="498" t="e">
        <f>INDEX(Commerce_session1!#REF!,MATCH("a",Commerce_session1!#REF!,0),62)</f>
        <v>#REF!</v>
      </c>
      <c r="O337" s="487" t="e">
        <f>INDEX(Commerce_session1!#REF!,MATCH("a",Commerce_session1!#REF!,0),62)</f>
        <v>#REF!</v>
      </c>
    </row>
    <row r="338" spans="1:15" ht="18.75" customHeight="1" thickTop="1" thickBot="1">
      <c r="A338" s="550"/>
      <c r="B338" s="500"/>
      <c r="C338" s="503"/>
      <c r="D338" s="506"/>
      <c r="E338" s="450"/>
      <c r="F338" s="100" t="s">
        <v>99</v>
      </c>
      <c r="G338" s="78">
        <v>3</v>
      </c>
      <c r="H338" s="79">
        <v>2</v>
      </c>
      <c r="I338" s="18" t="e">
        <f>INDEX(Commerce_session1!A6:CX792,MATCH("K",Commerce_session1!A6:A792,0),33)</f>
        <v>#N/A</v>
      </c>
      <c r="J338" s="15" t="e">
        <f>INDEX(Commerce_session1!A6:CX792,MATCH("K",Commerce_session1!A6:A792,0),34)</f>
        <v>#N/A</v>
      </c>
      <c r="K338" s="510" t="e">
        <f>INDEX(Commerce_session1!#REF!,MATCH("a",Commerce_session1!#REF!,0),22)</f>
        <v>#REF!</v>
      </c>
      <c r="L338" s="496" t="e">
        <f>INDEX(Commerce_session1!#REF!,MATCH("a",Commerce_session1!#REF!,0),22)</f>
        <v>#REF!</v>
      </c>
      <c r="M338" s="497" t="e">
        <f>INDEX(Commerce_session1!#REF!,MATCH("a",Commerce_session1!#REF!,0),22)</f>
        <v>#REF!</v>
      </c>
      <c r="N338" s="498" t="e">
        <f>INDEX(Commerce_session1!#REF!,MATCH("a",Commerce_session1!#REF!,0),62)</f>
        <v>#REF!</v>
      </c>
      <c r="O338" s="487" t="e">
        <f>INDEX(Commerce_session1!#REF!,MATCH("a",Commerce_session1!#REF!,0),62)</f>
        <v>#REF!</v>
      </c>
    </row>
    <row r="339" spans="1:15" ht="18.75" customHeight="1" thickBot="1">
      <c r="A339" s="550"/>
      <c r="B339" s="501"/>
      <c r="C339" s="504"/>
      <c r="D339" s="507"/>
      <c r="E339" s="451"/>
      <c r="F339" s="101" t="s">
        <v>84</v>
      </c>
      <c r="G339" s="80">
        <v>3</v>
      </c>
      <c r="H339" s="81">
        <v>2</v>
      </c>
      <c r="I339" s="20" t="e">
        <f>INDEX(Commerce_session1!A6:CX792,MATCH("K",Commerce_session1!A6:A792,0),37)</f>
        <v>#N/A</v>
      </c>
      <c r="J339" s="17" t="e">
        <f>INDEX(Commerce_session1!A6:CX792,MATCH("K",Commerce_session1!A6:A792,0),38)</f>
        <v>#N/A</v>
      </c>
      <c r="K339" s="511" t="e">
        <f>INDEX(Commerce_session1!#REF!,MATCH("a",Commerce_session1!#REF!,0),22)</f>
        <v>#REF!</v>
      </c>
      <c r="L339" s="490" t="e">
        <f>INDEX(Commerce_session1!#REF!,MATCH("a",Commerce_session1!#REF!,0),22)</f>
        <v>#REF!</v>
      </c>
      <c r="M339" s="491" t="e">
        <f>INDEX(Commerce_session1!#REF!,MATCH("a",Commerce_session1!#REF!,0),22)</f>
        <v>#REF!</v>
      </c>
      <c r="N339" s="498" t="e">
        <f>INDEX(Commerce_session1!#REF!,MATCH("a",Commerce_session1!#REF!,0),62)</f>
        <v>#REF!</v>
      </c>
      <c r="O339" s="487" t="e">
        <f>INDEX(Commerce_session1!#REF!,MATCH("a",Commerce_session1!#REF!,0),62)</f>
        <v>#REF!</v>
      </c>
    </row>
    <row r="340" spans="1:15" ht="33.75" customHeight="1" thickTop="1" thickBot="1">
      <c r="A340" s="550"/>
      <c r="B340" s="531" t="s">
        <v>38</v>
      </c>
      <c r="C340" s="559" t="s">
        <v>50</v>
      </c>
      <c r="D340" s="520">
        <v>5</v>
      </c>
      <c r="E340" s="508">
        <v>2</v>
      </c>
      <c r="F340" s="102" t="s">
        <v>63</v>
      </c>
      <c r="G340" s="68">
        <v>4</v>
      </c>
      <c r="H340" s="69">
        <v>1</v>
      </c>
      <c r="I340" s="18" t="e">
        <f>INDEX(Commerce_session1!A6:CX792,MATCH("K",Commerce_session1!A6:A792,0),43)</f>
        <v>#N/A</v>
      </c>
      <c r="J340" s="19" t="e">
        <f>INDEX(Commerce_session1!A6:CX792,MATCH("K",Commerce_session1!A6:A792,0),44)</f>
        <v>#N/A</v>
      </c>
      <c r="K340" s="509" t="e">
        <f>INDEX(Commerce_session1!A6:CX792,MATCH("K",Commerce_session1!A6:A792,0),48)</f>
        <v>#N/A</v>
      </c>
      <c r="L340" s="488" t="e">
        <f>INDEX(Commerce_session1!A6:CX792,MATCH("K",Commerce_session1!A6:A792,0),49)</f>
        <v>#N/A</v>
      </c>
      <c r="M340" s="489" t="e">
        <f>INDEX(Commerce_session1!#REF!,MATCH("a",Commerce_session1!#REF!,0),29)</f>
        <v>#REF!</v>
      </c>
      <c r="N340" s="498" t="e">
        <f>INDEX(Commerce_session1!#REF!,MATCH("a",Commerce_session1!#REF!,0),62)</f>
        <v>#REF!</v>
      </c>
      <c r="O340" s="487" t="e">
        <f>INDEX(Commerce_session1!#REF!,MATCH("a",Commerce_session1!#REF!,0),62)</f>
        <v>#REF!</v>
      </c>
    </row>
    <row r="341" spans="1:15" ht="18.75" customHeight="1" thickBot="1">
      <c r="A341" s="550"/>
      <c r="B341" s="527"/>
      <c r="C341" s="524"/>
      <c r="D341" s="521"/>
      <c r="E341" s="451"/>
      <c r="F341" s="101" t="s">
        <v>62</v>
      </c>
      <c r="G341" s="80">
        <v>1</v>
      </c>
      <c r="H341" s="81">
        <v>1</v>
      </c>
      <c r="I341" s="16" t="e">
        <f>INDEX(Commerce_session1!A6:CX792,MATCH("K",Commerce_session1!A6:A792,0),46)</f>
        <v>#N/A</v>
      </c>
      <c r="J341" s="21" t="e">
        <f>INDEX(Commerce_session1!A6:CX792,MATCH("K",Commerce_session1!A6:A792,0),47)</f>
        <v>#N/A</v>
      </c>
      <c r="K341" s="511" t="e">
        <f>INDEX(Commerce_session1!#REF!,MATCH("a",Commerce_session1!#REF!,0),28)</f>
        <v>#REF!</v>
      </c>
      <c r="L341" s="490" t="e">
        <f>INDEX(Commerce_session1!#REF!,MATCH("a",Commerce_session1!#REF!,0),28)</f>
        <v>#REF!</v>
      </c>
      <c r="M341" s="491" t="e">
        <f>INDEX(Commerce_session1!#REF!,MATCH("a",Commerce_session1!#REF!,0),28)</f>
        <v>#REF!</v>
      </c>
      <c r="N341" s="498" t="e">
        <f>INDEX(Commerce_session1!#REF!,MATCH("a",Commerce_session1!#REF!,0),62)</f>
        <v>#REF!</v>
      </c>
      <c r="O341" s="487" t="e">
        <f>INDEX(Commerce_session1!#REF!,MATCH("a",Commerce_session1!#REF!,0),62)</f>
        <v>#REF!</v>
      </c>
    </row>
    <row r="342" spans="1:15" ht="20.25" customHeight="1" thickTop="1" thickBot="1">
      <c r="A342" s="551"/>
      <c r="B342" s="105" t="s">
        <v>39</v>
      </c>
      <c r="C342" s="104" t="s">
        <v>51</v>
      </c>
      <c r="D342" s="22">
        <v>1</v>
      </c>
      <c r="E342" s="23">
        <v>1</v>
      </c>
      <c r="F342" s="103" t="s">
        <v>64</v>
      </c>
      <c r="G342" s="82">
        <v>1</v>
      </c>
      <c r="H342" s="83">
        <v>1</v>
      </c>
      <c r="I342" s="20" t="e">
        <f>INDEX(Commerce_session1!A6:CX792,MATCH("K",Commerce_session1!A6:A792,0),52)</f>
        <v>#N/A</v>
      </c>
      <c r="J342" s="24" t="e">
        <f>INDEX(Commerce_session1!A6:CX792,MATCH("K",Commerce_session1!A6:A792,0),53)</f>
        <v>#N/A</v>
      </c>
      <c r="K342" s="36" t="e">
        <f>INDEX(Commerce_session1!A6:CX792,MATCH("K",Commerce_session1!A6:A792,0),54)</f>
        <v>#N/A</v>
      </c>
      <c r="L342" s="492" t="e">
        <f>INDEX(Commerce_session1!A6:CX792,MATCH("K",Commerce_session1!A6:A792,0),55)</f>
        <v>#N/A</v>
      </c>
      <c r="M342" s="493" t="e">
        <f>INDEX(Commerce_session1!#REF!,MATCH("a",Commerce_session1!#REF!,0),33)</f>
        <v>#REF!</v>
      </c>
      <c r="N342" s="498" t="e">
        <f>INDEX(Commerce_session1!#REF!,MATCH("a",Commerce_session1!#REF!,0),62)</f>
        <v>#REF!</v>
      </c>
      <c r="O342" s="487" t="e">
        <f>INDEX(Commerce_session1!#REF!,MATCH("a",Commerce_session1!#REF!,0),62)</f>
        <v>#REF!</v>
      </c>
    </row>
    <row r="343" spans="1:15" ht="19.5" customHeight="1" thickTop="1" thickBot="1">
      <c r="A343" s="516" t="s">
        <v>77</v>
      </c>
      <c r="B343" s="525" t="s">
        <v>36</v>
      </c>
      <c r="C343" s="522" t="s">
        <v>88</v>
      </c>
      <c r="D343" s="528">
        <v>16</v>
      </c>
      <c r="E343" s="449">
        <v>5</v>
      </c>
      <c r="F343" s="96" t="s">
        <v>67</v>
      </c>
      <c r="G343" s="114">
        <v>6</v>
      </c>
      <c r="H343" s="115">
        <v>2</v>
      </c>
      <c r="I343" s="18" t="e">
        <f>INDEX(Commerce_session1!A6:CX792,MATCH("K",Commerce_session1!A6:A792,0),60)</f>
        <v>#N/A</v>
      </c>
      <c r="J343" s="19" t="e">
        <f>INDEX(Commerce_session1!A6:CX792,MATCH("K",Commerce_session1!A6:A792,0),61)</f>
        <v>#N/A</v>
      </c>
      <c r="K343" s="519" t="e">
        <f>INDEX(Commerce_session1!A6:CX792,MATCH("K",Commerce_session1!A6:A792,0),70)</f>
        <v>#N/A</v>
      </c>
      <c r="L343" s="494" t="e">
        <f>INDEX(Commerce_session1!A6:CX792,MATCH("K",Commerce_session1!A6:A792,0),71)</f>
        <v>#N/A</v>
      </c>
      <c r="M343" s="495"/>
      <c r="N343" s="498" t="e">
        <f>INDEX(Commerce_session1!A6:CX792,MATCH("K",Commerce_session1!A6:A792,0),97)</f>
        <v>#N/A</v>
      </c>
      <c r="O343" s="487" t="e">
        <f>INDEX(Commerce_session1!A6:CX792,MATCH("K",Commerce_session1!A6:A792,0),98)</f>
        <v>#N/A</v>
      </c>
    </row>
    <row r="344" spans="1:15" ht="18.75" customHeight="1" thickBot="1">
      <c r="A344" s="517"/>
      <c r="B344" s="526"/>
      <c r="C344" s="523"/>
      <c r="D344" s="529"/>
      <c r="E344" s="450"/>
      <c r="F344" s="100" t="s">
        <v>68</v>
      </c>
      <c r="G344" s="116">
        <v>6</v>
      </c>
      <c r="H344" s="117">
        <v>2</v>
      </c>
      <c r="I344" s="14" t="e">
        <f>INDEX(Commerce_session1!A6:CX792,MATCH("K",Commerce_session1!A6:A792,0),64)</f>
        <v>#N/A</v>
      </c>
      <c r="J344" s="15" t="e">
        <f>INDEX(Commerce_session1!A6:CX792,MATCH("K",Commerce_session1!A6:A792,0),65)</f>
        <v>#N/A</v>
      </c>
      <c r="K344" s="510"/>
      <c r="L344" s="496"/>
      <c r="M344" s="497"/>
      <c r="N344" s="498" t="e">
        <f>INDEX(Commerce_session1!#REF!,MATCH("a",Commerce_session1!#REF!,0),42)</f>
        <v>#REF!</v>
      </c>
      <c r="O344" s="487" t="e">
        <f>INDEX(Commerce_session1!#REF!,MATCH("a",Commerce_session1!#REF!,0),42)</f>
        <v>#REF!</v>
      </c>
    </row>
    <row r="345" spans="1:15" ht="20.25" customHeight="1" thickBot="1">
      <c r="A345" s="517"/>
      <c r="B345" s="527"/>
      <c r="C345" s="524"/>
      <c r="D345" s="530"/>
      <c r="E345" s="451"/>
      <c r="F345" s="101" t="s">
        <v>103</v>
      </c>
      <c r="G345" s="118">
        <v>4</v>
      </c>
      <c r="H345" s="119">
        <v>1</v>
      </c>
      <c r="I345" s="127" t="e">
        <f>INDEX(Commerce_session1!A6:CX792,MATCH("K",Commerce_session1!A6:A792,0),68)</f>
        <v>#N/A</v>
      </c>
      <c r="J345" s="21" t="e">
        <f>INDEX(Commerce_session1!A6:CX792,MATCH("K",Commerce_session1!A6:A792,0),69)</f>
        <v>#N/A</v>
      </c>
      <c r="K345" s="511"/>
      <c r="L345" s="490"/>
      <c r="M345" s="491"/>
      <c r="N345" s="498" t="e">
        <f>INDEX(Commerce_session1!#REF!,MATCH("a",Commerce_session1!#REF!,0),42)</f>
        <v>#REF!</v>
      </c>
      <c r="O345" s="487" t="e">
        <f>INDEX(Commerce_session1!#REF!,MATCH("a",Commerce_session1!#REF!,0),42)</f>
        <v>#REF!</v>
      </c>
    </row>
    <row r="346" spans="1:15" ht="22.5" customHeight="1" thickTop="1" thickBot="1">
      <c r="A346" s="517"/>
      <c r="B346" s="531" t="s">
        <v>37</v>
      </c>
      <c r="C346" s="559" t="s">
        <v>87</v>
      </c>
      <c r="D346" s="532">
        <v>10</v>
      </c>
      <c r="E346" s="508">
        <v>4</v>
      </c>
      <c r="F346" s="128" t="s">
        <v>104</v>
      </c>
      <c r="G346" s="76">
        <v>5</v>
      </c>
      <c r="H346" s="77">
        <v>2</v>
      </c>
      <c r="I346" s="18" t="e">
        <f>INDEX(Commerce_session1!A6:CX792,MATCH("K",Commerce_session1!A6:A792,0),74)</f>
        <v>#N/A</v>
      </c>
      <c r="J346" s="19" t="e">
        <f>INDEX(Commerce_session1!A6:CX792,MATCH("K",Commerce_session1!A6:A792,0),75)</f>
        <v>#N/A</v>
      </c>
      <c r="K346" s="509" t="e">
        <f>INDEX(Commerce_session1!A6:CX792,MATCH("K",Commerce_session1!A6:A792,0),80)</f>
        <v>#N/A</v>
      </c>
      <c r="L346" s="488" t="e">
        <f>INDEX(Commerce_session1!A6:CX792,MATCH("K",Commerce_session1!A6:A792,0),81)</f>
        <v>#N/A</v>
      </c>
      <c r="M346" s="489"/>
      <c r="N346" s="498" t="e">
        <f>INDEX(Commerce_session1!#REF!,MATCH("a",Commerce_session1!#REF!,0),43)</f>
        <v>#REF!</v>
      </c>
      <c r="O346" s="487" t="e">
        <f>INDEX(Commerce_session1!#REF!,MATCH("a",Commerce_session1!#REF!,0),43)</f>
        <v>#REF!</v>
      </c>
    </row>
    <row r="347" spans="1:15" ht="18.75" customHeight="1" thickBot="1">
      <c r="A347" s="517"/>
      <c r="B347" s="527"/>
      <c r="C347" s="524"/>
      <c r="D347" s="530"/>
      <c r="E347" s="451"/>
      <c r="F347" s="98" t="s">
        <v>69</v>
      </c>
      <c r="G347" s="74">
        <v>5</v>
      </c>
      <c r="H347" s="75">
        <v>2</v>
      </c>
      <c r="I347" s="20" t="e">
        <f>INDEX(Commerce_session1!A6:CX792,MATCH("K",Commerce_session1!A6:A792,0),78)</f>
        <v>#N/A</v>
      </c>
      <c r="J347" s="17" t="e">
        <f>INDEX(Commerce_session1!A6:CX792,MATCH("K",Commerce_session1!A6:A792,0),79)</f>
        <v>#N/A</v>
      </c>
      <c r="K347" s="511"/>
      <c r="L347" s="490"/>
      <c r="M347" s="491"/>
      <c r="N347" s="498" t="e">
        <f>INDEX(Commerce_session1!#REF!,MATCH("a",Commerce_session1!#REF!,0),42)</f>
        <v>#REF!</v>
      </c>
      <c r="O347" s="487" t="e">
        <f>INDEX(Commerce_session1!#REF!,MATCH("a",Commerce_session1!#REF!,0),42)</f>
        <v>#REF!</v>
      </c>
    </row>
    <row r="348" spans="1:15" ht="18.75" customHeight="1" thickTop="1" thickBot="1">
      <c r="A348" s="517"/>
      <c r="B348" s="105" t="s">
        <v>38</v>
      </c>
      <c r="C348" s="104" t="s">
        <v>85</v>
      </c>
      <c r="D348" s="22">
        <v>3</v>
      </c>
      <c r="E348" s="23">
        <v>2</v>
      </c>
      <c r="F348" s="101" t="s">
        <v>74</v>
      </c>
      <c r="G348" s="74">
        <v>3</v>
      </c>
      <c r="H348" s="75">
        <v>2</v>
      </c>
      <c r="I348" s="20" t="e">
        <f>INDEX(Commerce_session1!A6:CX792,MATCH("K",Commerce_session1!A6:A792,0),84)</f>
        <v>#N/A</v>
      </c>
      <c r="J348" s="17" t="e">
        <f>INDEX(Commerce_session1!A6:CX792,MATCH("K",Commerce_session1!A6:A792,0),85)</f>
        <v>#N/A</v>
      </c>
      <c r="K348" s="123" t="e">
        <f>INDEX(Commerce_session1!A6:CX792,MATCH("K",Commerce_session1!A6:A792,0),86)</f>
        <v>#N/A</v>
      </c>
      <c r="L348" s="512" t="e">
        <f>INDEX(Commerce_session1!A6:CX792,MATCH("K",Commerce_session1!A6:A792,0),87)</f>
        <v>#N/A</v>
      </c>
      <c r="M348" s="513"/>
      <c r="N348" s="498" t="e">
        <f>INDEX(Commerce_session1!#REF!,MATCH("a",Commerce_session1!#REF!,0),42)</f>
        <v>#REF!</v>
      </c>
      <c r="O348" s="487" t="e">
        <f>INDEX(Commerce_session1!#REF!,MATCH("a",Commerce_session1!#REF!,0),42)</f>
        <v>#REF!</v>
      </c>
    </row>
    <row r="349" spans="1:15" ht="20.25" customHeight="1" thickTop="1" thickBot="1">
      <c r="A349" s="518"/>
      <c r="B349" s="105" t="s">
        <v>39</v>
      </c>
      <c r="C349" s="104" t="s">
        <v>86</v>
      </c>
      <c r="D349" s="22">
        <v>1</v>
      </c>
      <c r="E349" s="23">
        <v>1</v>
      </c>
      <c r="F349" s="103" t="s">
        <v>73</v>
      </c>
      <c r="G349" s="82">
        <v>1</v>
      </c>
      <c r="H349" s="83">
        <v>1</v>
      </c>
      <c r="I349" s="25" t="e">
        <f>INDEX(Commerce_session1!A6:CX792,MATCH("K",Commerce_session1!A6:A792,0),89)</f>
        <v>#N/A</v>
      </c>
      <c r="J349" s="26" t="e">
        <f>INDEX(Commerce_session1!A6:CX792,MATCH("K",Commerce_session1!A6:A792,0),90)</f>
        <v>#N/A</v>
      </c>
      <c r="K349" s="27" t="e">
        <f>INDEX(Commerce_session1!A6:CX792,MATCH("K",Commerce_session1!A6:A792,0),91)</f>
        <v>#N/A</v>
      </c>
      <c r="L349" s="514" t="e">
        <f>INDEX(Commerce_session1!A6:CX792,MATCH("K",Commerce_session1!A6:A792,0),92)</f>
        <v>#N/A</v>
      </c>
      <c r="M349" s="515" t="e">
        <f>INDEX(Commerce_session1!#REF!,MATCH("a",Commerce_session1!#REF!,0),61)</f>
        <v>#REF!</v>
      </c>
      <c r="N349" s="498" t="e">
        <f>INDEX(Commerce_session1!#REF!,MATCH("a",Commerce_session1!#REF!,0),42)</f>
        <v>#REF!</v>
      </c>
      <c r="O349" s="487" t="e">
        <f>INDEX(Commerce_session1!#REF!,MATCH("a",Commerce_session1!#REF!,0),42)</f>
        <v>#REF!</v>
      </c>
    </row>
    <row r="350" spans="1:15" ht="20.25">
      <c r="A350" s="535" t="s">
        <v>40</v>
      </c>
      <c r="B350" s="536"/>
      <c r="C350" s="537"/>
      <c r="D350" s="121" t="e">
        <f>INDEX(Commerce_session1!A6:CX792,MATCH("K",Commerce_session1!A6:A792,0),99)</f>
        <v>#N/A</v>
      </c>
      <c r="E350" s="538" t="s">
        <v>41</v>
      </c>
      <c r="F350" s="540"/>
      <c r="G350" s="120" t="e">
        <f>INDEX(Commerce_session1!A6:CX792,MATCH("K",Commerce_session1!A6:A792,0),100)</f>
        <v>#N/A</v>
      </c>
      <c r="H350" s="538" t="s">
        <v>91</v>
      </c>
      <c r="I350" s="539"/>
      <c r="J350" s="539"/>
      <c r="K350" s="540"/>
      <c r="L350" s="541" t="e">
        <f>INDEX(Commerce_session1!A6:CX792,MATCH("K",Commerce_session1!A6:A792,0),101)</f>
        <v>#N/A</v>
      </c>
      <c r="M350" s="542"/>
      <c r="N350" s="8"/>
      <c r="O350" s="8"/>
    </row>
    <row r="351" spans="1:15" ht="22.5">
      <c r="A351" s="546" t="s">
        <v>42</v>
      </c>
      <c r="B351" s="547"/>
      <c r="C351" s="548"/>
      <c r="D351" s="543" t="e">
        <f>INDEX(Commerce_session1!A6:CX792,MATCH("K",Commerce_session1!A6:A792,0),102)</f>
        <v>#N/A</v>
      </c>
      <c r="E351" s="544"/>
      <c r="F351" s="545"/>
      <c r="G351" s="108"/>
      <c r="H351" s="109"/>
      <c r="I351" s="110"/>
      <c r="J351" s="111"/>
      <c r="K351" s="110"/>
      <c r="L351" s="110"/>
      <c r="M351" s="110"/>
      <c r="N351" s="112" t="s">
        <v>43</v>
      </c>
      <c r="O351" s="28">
        <f ca="1">TODAY()</f>
        <v>43626</v>
      </c>
    </row>
    <row r="352" spans="1:15" ht="32.25" customHeight="1">
      <c r="A352" s="113" t="s">
        <v>44</v>
      </c>
      <c r="B352" s="29"/>
      <c r="C352" s="29"/>
      <c r="D352" s="533"/>
      <c r="E352" s="533"/>
      <c r="F352" s="30"/>
      <c r="G352" s="4"/>
      <c r="J352" s="4"/>
      <c r="L352" s="534" t="s">
        <v>46</v>
      </c>
      <c r="M352" s="534"/>
      <c r="N352" s="534"/>
    </row>
    <row r="353" spans="1:18" ht="23.25" customHeight="1" thickBot="1">
      <c r="A353" s="84" t="s">
        <v>12</v>
      </c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445" t="s">
        <v>13</v>
      </c>
      <c r="M353" s="445"/>
      <c r="N353" s="445"/>
      <c r="O353" s="445"/>
      <c r="P353" s="2"/>
      <c r="Q353" s="2"/>
      <c r="R353" s="2"/>
    </row>
    <row r="354" spans="1:18" ht="15.75">
      <c r="A354" s="446" t="s">
        <v>14</v>
      </c>
      <c r="B354" s="446"/>
      <c r="C354" s="446"/>
      <c r="D354" s="446"/>
      <c r="E354" s="446"/>
      <c r="F354" s="3"/>
      <c r="H354" s="4"/>
      <c r="K354" s="4"/>
      <c r="L354" s="4"/>
    </row>
    <row r="355" spans="1:18" ht="15.75">
      <c r="A355" s="85" t="s">
        <v>15</v>
      </c>
      <c r="B355" s="85"/>
      <c r="C355" s="85"/>
      <c r="D355" s="85"/>
      <c r="E355" s="85"/>
      <c r="F355" s="5"/>
      <c r="H355" s="4"/>
      <c r="K355" s="4"/>
      <c r="L355" s="4"/>
      <c r="P355" s="6"/>
    </row>
    <row r="356" spans="1:18" ht="15.75">
      <c r="A356" s="85" t="s">
        <v>100</v>
      </c>
      <c r="B356" s="85"/>
      <c r="C356" s="85"/>
      <c r="D356" s="85"/>
      <c r="E356" s="85"/>
      <c r="F356" s="3"/>
      <c r="H356" s="4"/>
      <c r="K356" s="4"/>
      <c r="L356" s="4"/>
    </row>
    <row r="357" spans="1:18" s="8" customFormat="1" ht="27" customHeight="1">
      <c r="A357" s="7"/>
      <c r="B357" s="7"/>
      <c r="C357" s="7"/>
      <c r="D357" s="447" t="s">
        <v>94</v>
      </c>
      <c r="E357" s="447"/>
      <c r="F357" s="447"/>
      <c r="G357" s="447"/>
      <c r="H357" s="447"/>
      <c r="I357" s="447"/>
      <c r="J357" s="447"/>
      <c r="K357" s="447"/>
      <c r="L357" s="447"/>
      <c r="M357" s="7"/>
      <c r="N357" s="7"/>
      <c r="O357" s="7"/>
    </row>
    <row r="358" spans="1:18" ht="23.25" customHeight="1">
      <c r="A358" s="126" t="s">
        <v>101</v>
      </c>
      <c r="B358" s="126"/>
      <c r="C358" s="126"/>
      <c r="D358" s="126"/>
      <c r="E358" s="126"/>
      <c r="F358" s="126"/>
      <c r="G358" s="122"/>
      <c r="H358" s="122"/>
      <c r="I358" s="122" t="e">
        <f>IF(D383="ناجح(ة) دورة1","-الدورة الأولى-","-الدورة الثانية-")</f>
        <v>#N/A</v>
      </c>
      <c r="J358" s="124" t="s">
        <v>48</v>
      </c>
      <c r="K358" s="124"/>
      <c r="L358" s="87"/>
      <c r="M358" s="88"/>
      <c r="N358" s="89"/>
      <c r="O358" s="9"/>
    </row>
    <row r="359" spans="1:18" ht="20.25" customHeight="1">
      <c r="A359" s="476" t="s">
        <v>93</v>
      </c>
      <c r="B359" s="476"/>
      <c r="C359" s="90" t="e">
        <f>INDEX(Commerce_session1!A6:CX792,MATCH("L",Commerce_session1!A6:A792,0),3)</f>
        <v>#N/A</v>
      </c>
      <c r="D359" s="91" t="s">
        <v>92</v>
      </c>
      <c r="E359" s="448" t="e">
        <f>INDEX(Commerce_session1!A6:CX792,MATCH("L",Commerce_session1!A6:A792,0),4)</f>
        <v>#N/A</v>
      </c>
      <c r="F359" s="448" t="e">
        <f>INDEX(Commerce_session1!D179:DA444,MATCH("a",Commerce_session1!D179:D444,0),3)</f>
        <v>#N/A</v>
      </c>
      <c r="G359" s="477" t="s">
        <v>16</v>
      </c>
      <c r="H359" s="477"/>
      <c r="I359" s="477"/>
      <c r="J359" s="478" t="e">
        <f>INDEX(Commerce_session1!A6:CX792,MATCH("L",Commerce_session1!A6:A792,0),6)</f>
        <v>#N/A</v>
      </c>
      <c r="K359" s="478"/>
      <c r="L359" s="88"/>
      <c r="M359" s="92" t="s">
        <v>17</v>
      </c>
      <c r="N359" s="90" t="e">
        <f>INDEX(Commerce_session1!A6:CX792,MATCH("L",Commerce_session1!A6:A792,0),7)</f>
        <v>#N/A</v>
      </c>
      <c r="O359" s="10"/>
    </row>
    <row r="360" spans="1:18" ht="20.25" customHeight="1">
      <c r="A360" s="476" t="s">
        <v>18</v>
      </c>
      <c r="B360" s="476"/>
      <c r="C360" s="448" t="e">
        <f>INDEX(Commerce_session1!A6:CX792,MATCH("L",Commerce_session1!A6:A792,0),5)</f>
        <v>#N/A</v>
      </c>
      <c r="D360" s="448"/>
      <c r="E360" s="91"/>
      <c r="F360" s="88"/>
      <c r="G360" s="93"/>
      <c r="H360" s="88"/>
      <c r="I360" s="88"/>
      <c r="J360" s="93"/>
      <c r="K360" s="88"/>
      <c r="L360" s="88"/>
      <c r="M360" s="88"/>
      <c r="N360" s="88"/>
      <c r="O360" s="10"/>
    </row>
    <row r="361" spans="1:18" ht="20.25" customHeight="1">
      <c r="A361" s="476" t="s">
        <v>102</v>
      </c>
      <c r="B361" s="476"/>
      <c r="C361" s="476"/>
      <c r="D361" s="476"/>
      <c r="E361" s="476"/>
      <c r="F361" s="476"/>
      <c r="G361" s="476"/>
      <c r="H361" s="476"/>
      <c r="I361" s="476"/>
      <c r="J361" s="476"/>
      <c r="K361" s="476"/>
      <c r="L361" s="476"/>
      <c r="M361" s="476"/>
      <c r="N361" s="476"/>
      <c r="O361" s="476"/>
    </row>
    <row r="362" spans="1:18" ht="20.25" customHeight="1" thickBot="1">
      <c r="A362" s="459" t="s">
        <v>19</v>
      </c>
      <c r="B362" s="459"/>
      <c r="C362" s="459"/>
      <c r="D362" s="459"/>
      <c r="E362" s="459"/>
      <c r="F362" s="459"/>
      <c r="G362" s="459"/>
      <c r="H362" s="94"/>
      <c r="I362" s="94"/>
      <c r="J362" s="95"/>
      <c r="K362" s="94"/>
      <c r="L362" s="94"/>
      <c r="M362" s="94"/>
      <c r="N362" s="94"/>
      <c r="O362" s="11"/>
    </row>
    <row r="363" spans="1:18" ht="18.75" thickBot="1">
      <c r="A363" s="460" t="s">
        <v>20</v>
      </c>
      <c r="B363" s="463" t="s">
        <v>21</v>
      </c>
      <c r="C363" s="464"/>
      <c r="D363" s="464"/>
      <c r="E363" s="464"/>
      <c r="F363" s="464" t="s">
        <v>22</v>
      </c>
      <c r="G363" s="464"/>
      <c r="H363" s="464"/>
      <c r="I363" s="465" t="s">
        <v>23</v>
      </c>
      <c r="J363" s="466"/>
      <c r="K363" s="466"/>
      <c r="L363" s="466"/>
      <c r="M363" s="466"/>
      <c r="N363" s="466"/>
      <c r="O363" s="467"/>
    </row>
    <row r="364" spans="1:18">
      <c r="A364" s="461"/>
      <c r="B364" s="468" t="s">
        <v>24</v>
      </c>
      <c r="C364" s="470" t="s">
        <v>25</v>
      </c>
      <c r="D364" s="472" t="s">
        <v>26</v>
      </c>
      <c r="E364" s="474" t="s">
        <v>27</v>
      </c>
      <c r="F364" s="479" t="s">
        <v>28</v>
      </c>
      <c r="G364" s="468" t="s">
        <v>11</v>
      </c>
      <c r="H364" s="481" t="s">
        <v>27</v>
      </c>
      <c r="I364" s="482" t="s">
        <v>29</v>
      </c>
      <c r="J364" s="483"/>
      <c r="K364" s="484" t="s">
        <v>30</v>
      </c>
      <c r="L364" s="485"/>
      <c r="M364" s="486"/>
      <c r="N364" s="455" t="s">
        <v>20</v>
      </c>
      <c r="O364" s="456"/>
    </row>
    <row r="365" spans="1:18" ht="15.75" thickBot="1">
      <c r="A365" s="462"/>
      <c r="B365" s="469"/>
      <c r="C365" s="471"/>
      <c r="D365" s="473"/>
      <c r="E365" s="475"/>
      <c r="F365" s="480"/>
      <c r="G365" s="469"/>
      <c r="H365" s="473"/>
      <c r="I365" s="106" t="s">
        <v>10</v>
      </c>
      <c r="J365" s="106" t="s">
        <v>31</v>
      </c>
      <c r="K365" s="106" t="s">
        <v>32</v>
      </c>
      <c r="L365" s="457" t="s">
        <v>33</v>
      </c>
      <c r="M365" s="458"/>
      <c r="N365" s="106" t="s">
        <v>34</v>
      </c>
      <c r="O365" s="107" t="s">
        <v>35</v>
      </c>
    </row>
    <row r="366" spans="1:18" ht="18.75" customHeight="1" thickBot="1">
      <c r="A366" s="549" t="s">
        <v>76</v>
      </c>
      <c r="B366" s="552" t="s">
        <v>36</v>
      </c>
      <c r="C366" s="555" t="s">
        <v>90</v>
      </c>
      <c r="D366" s="556">
        <v>17</v>
      </c>
      <c r="E366" s="449">
        <v>6</v>
      </c>
      <c r="F366" s="96" t="s">
        <v>54</v>
      </c>
      <c r="G366" s="70">
        <v>5</v>
      </c>
      <c r="H366" s="71">
        <v>2</v>
      </c>
      <c r="I366" s="12" t="e">
        <f>INDEX(Commerce_session1!A6:CX792,MATCH("L",Commerce_session1!A6:A792,0),16)</f>
        <v>#N/A</v>
      </c>
      <c r="J366" s="13" t="e">
        <f>INDEX(Commerce_session1!A6:CX792,MATCH("L",Commerce_session1!A6:A792,0),17)</f>
        <v>#N/A</v>
      </c>
      <c r="K366" s="452" t="e">
        <f>INDEX(Commerce_session1!A6:CX792,MATCH("L",Commerce_session1!A6:A792,0),26)</f>
        <v>#N/A</v>
      </c>
      <c r="L366" s="494" t="e">
        <f>INDEX(Commerce_session1!A6:CX792,MATCH("L",Commerce_session1!A6:A792,0),27)</f>
        <v>#N/A</v>
      </c>
      <c r="M366" s="495" t="e">
        <f>INDEX(Commerce_session1!D179:CZ192,MATCH("a",Commerce_session1!D179:D192,0),15)</f>
        <v>#N/A</v>
      </c>
      <c r="N366" s="498" t="e">
        <f>INDEX(Commerce_session1!A6:CX792,MATCH("L",Commerce_session1!A6:A792,0),95)</f>
        <v>#N/A</v>
      </c>
      <c r="O366" s="487" t="e">
        <f>INDEX(Commerce_session1!A6:CX792,MATCH("L",Commerce_session1!A6:A792,0),96)</f>
        <v>#N/A</v>
      </c>
    </row>
    <row r="367" spans="1:18" ht="18.75" customHeight="1" thickBot="1">
      <c r="A367" s="550"/>
      <c r="B367" s="553"/>
      <c r="C367" s="503"/>
      <c r="D367" s="557"/>
      <c r="E367" s="450"/>
      <c r="F367" s="97" t="s">
        <v>55</v>
      </c>
      <c r="G367" s="72">
        <v>6</v>
      </c>
      <c r="H367" s="73">
        <v>2</v>
      </c>
      <c r="I367" s="14" t="e">
        <f>INDEX(Commerce_session1!A6:CX792,MATCH("L",Commerce_session1!A6:A792,0),20)</f>
        <v>#N/A</v>
      </c>
      <c r="J367" s="15" t="e">
        <f>INDEX(Commerce_session1!A6:CX792,MATCH("L",Commerce_session1!A6:A792,0),21)</f>
        <v>#N/A</v>
      </c>
      <c r="K367" s="453" t="e">
        <f>INDEX(Commerce_session1!B179:CY192,MATCH("a",Commerce_session1!B179:B192,0),14)</f>
        <v>#N/A</v>
      </c>
      <c r="L367" s="496" t="e">
        <f>INDEX(Commerce_session1!D179:CZ192,MATCH("a",Commerce_session1!D179:D192,0),14)</f>
        <v>#N/A</v>
      </c>
      <c r="M367" s="497" t="e">
        <f>INDEX(Commerce_session1!E179:DA192,MATCH("a",Commerce_session1!E179:E192,0),14)</f>
        <v>#N/A</v>
      </c>
      <c r="N367" s="498" t="e">
        <f>INDEX(Commerce_session1!#REF!,MATCH("a",Commerce_session1!#REF!,0),62)</f>
        <v>#REF!</v>
      </c>
      <c r="O367" s="487" t="e">
        <f>INDEX(Commerce_session1!#REF!,MATCH("a",Commerce_session1!#REF!,0),62)</f>
        <v>#REF!</v>
      </c>
    </row>
    <row r="368" spans="1:18" ht="18.75" customHeight="1" thickBot="1">
      <c r="A368" s="550"/>
      <c r="B368" s="554"/>
      <c r="C368" s="504"/>
      <c r="D368" s="558"/>
      <c r="E368" s="451"/>
      <c r="F368" s="98" t="s">
        <v>56</v>
      </c>
      <c r="G368" s="74">
        <v>6</v>
      </c>
      <c r="H368" s="75">
        <v>2</v>
      </c>
      <c r="I368" s="16" t="e">
        <f>INDEX(Commerce_session1!A6:CX792,MATCH("L",Commerce_session1!A6:A792,0),24)</f>
        <v>#N/A</v>
      </c>
      <c r="J368" s="17" t="e">
        <f>INDEX(Commerce_session1!A6:CX792,MATCH("L",Commerce_session1!A6:A792,0),25)</f>
        <v>#N/A</v>
      </c>
      <c r="K368" s="454" t="e">
        <f>INDEX(Commerce_session1!B179:CY192,MATCH("a",Commerce_session1!B179:B192,0),14)</f>
        <v>#N/A</v>
      </c>
      <c r="L368" s="490" t="e">
        <f>INDEX(Commerce_session1!D179:CZ192,MATCH("a",Commerce_session1!D179:D192,0),14)</f>
        <v>#N/A</v>
      </c>
      <c r="M368" s="491" t="e">
        <f>INDEX(Commerce_session1!E179:DA192,MATCH("a",Commerce_session1!E179:E192,0),14)</f>
        <v>#N/A</v>
      </c>
      <c r="N368" s="498" t="e">
        <f>INDEX(Commerce_session1!#REF!,MATCH("a",Commerce_session1!#REF!,0),62)</f>
        <v>#REF!</v>
      </c>
      <c r="O368" s="487" t="e">
        <f>INDEX(Commerce_session1!#REF!,MATCH("a",Commerce_session1!#REF!,0),62)</f>
        <v>#REF!</v>
      </c>
    </row>
    <row r="369" spans="1:15" ht="19.5" customHeight="1" thickTop="1" thickBot="1">
      <c r="A369" s="550"/>
      <c r="B369" s="499" t="s">
        <v>37</v>
      </c>
      <c r="C369" s="502" t="s">
        <v>89</v>
      </c>
      <c r="D369" s="505">
        <v>7</v>
      </c>
      <c r="E369" s="508">
        <v>5</v>
      </c>
      <c r="F369" s="99" t="s">
        <v>83</v>
      </c>
      <c r="G369" s="76">
        <v>1</v>
      </c>
      <c r="H369" s="77">
        <v>1</v>
      </c>
      <c r="I369" s="18" t="e">
        <f>INDEX(Commerce_session1!A6:CX792,MATCH("L",Commerce_session1!A6:A792,0),29)</f>
        <v>#N/A</v>
      </c>
      <c r="J369" s="19" t="e">
        <f>INDEX(Commerce_session1!A6:CX792,MATCH("L",Commerce_session1!A6:A792,0),30)</f>
        <v>#N/A</v>
      </c>
      <c r="K369" s="509" t="e">
        <f>INDEX(Commerce_session1!A6:CX792,MATCH("L",Commerce_session1!A6:A792,0),39)</f>
        <v>#N/A</v>
      </c>
      <c r="L369" s="488" t="e">
        <f>INDEX(Commerce_session1!A6:CX792,MATCH("L",Commerce_session1!A6:A792,0),40)</f>
        <v>#N/A</v>
      </c>
      <c r="M369" s="489" t="e">
        <f>INDEX(Commerce_session1!D179:CZ192,MATCH("a",Commerce_session1!D179:D192,0),23)</f>
        <v>#N/A</v>
      </c>
      <c r="N369" s="498" t="e">
        <f>INDEX(Commerce_session1!#REF!,MATCH("a",Commerce_session1!#REF!,0),62)</f>
        <v>#REF!</v>
      </c>
      <c r="O369" s="487" t="e">
        <f>INDEX(Commerce_session1!#REF!,MATCH("a",Commerce_session1!#REF!,0),62)</f>
        <v>#REF!</v>
      </c>
    </row>
    <row r="370" spans="1:15" ht="18.75" customHeight="1" thickTop="1" thickBot="1">
      <c r="A370" s="550"/>
      <c r="B370" s="500"/>
      <c r="C370" s="503"/>
      <c r="D370" s="506"/>
      <c r="E370" s="450"/>
      <c r="F370" s="100" t="s">
        <v>99</v>
      </c>
      <c r="G370" s="78">
        <v>3</v>
      </c>
      <c r="H370" s="79">
        <v>2</v>
      </c>
      <c r="I370" s="18" t="e">
        <f>INDEX(Commerce_session1!A6:CX792,MATCH("L",Commerce_session1!A6:A792,0),33)</f>
        <v>#N/A</v>
      </c>
      <c r="J370" s="15" t="e">
        <f>INDEX(Commerce_session1!A6:CX792,MATCH("L",Commerce_session1!A6:A792,0),34)</f>
        <v>#N/A</v>
      </c>
      <c r="K370" s="510" t="e">
        <f>INDEX(Commerce_session1!B179:CY192,MATCH("a",Commerce_session1!B179:B192,0),22)</f>
        <v>#N/A</v>
      </c>
      <c r="L370" s="496" t="e">
        <f>INDEX(Commerce_session1!D179:CZ192,MATCH("a",Commerce_session1!D179:D192,0),22)</f>
        <v>#N/A</v>
      </c>
      <c r="M370" s="497" t="e">
        <f>INDEX(Commerce_session1!E179:DA192,MATCH("a",Commerce_session1!E179:E192,0),22)</f>
        <v>#N/A</v>
      </c>
      <c r="N370" s="498" t="e">
        <f>INDEX(Commerce_session1!#REF!,MATCH("a",Commerce_session1!#REF!,0),62)</f>
        <v>#REF!</v>
      </c>
      <c r="O370" s="487" t="e">
        <f>INDEX(Commerce_session1!#REF!,MATCH("a",Commerce_session1!#REF!,0),62)</f>
        <v>#REF!</v>
      </c>
    </row>
    <row r="371" spans="1:15" ht="18.75" customHeight="1" thickBot="1">
      <c r="A371" s="550"/>
      <c r="B371" s="501"/>
      <c r="C371" s="504"/>
      <c r="D371" s="507"/>
      <c r="E371" s="451"/>
      <c r="F371" s="101" t="s">
        <v>84</v>
      </c>
      <c r="G371" s="80">
        <v>3</v>
      </c>
      <c r="H371" s="81">
        <v>2</v>
      </c>
      <c r="I371" s="20" t="e">
        <f>INDEX(Commerce_session1!A6:CX792,MATCH("L",Commerce_session1!A6:A792,0),37)</f>
        <v>#N/A</v>
      </c>
      <c r="J371" s="17" t="e">
        <f>INDEX(Commerce_session1!A6:CX792,MATCH("L",Commerce_session1!A6:A792,0),38)</f>
        <v>#N/A</v>
      </c>
      <c r="K371" s="511" t="e">
        <f>INDEX(Commerce_session1!B179:CY192,MATCH("a",Commerce_session1!B179:B192,0),22)</f>
        <v>#N/A</v>
      </c>
      <c r="L371" s="490" t="e">
        <f>INDEX(Commerce_session1!D179:CZ192,MATCH("a",Commerce_session1!D179:D192,0),22)</f>
        <v>#N/A</v>
      </c>
      <c r="M371" s="491" t="e">
        <f>INDEX(Commerce_session1!E179:DA192,MATCH("a",Commerce_session1!E179:E192,0),22)</f>
        <v>#N/A</v>
      </c>
      <c r="N371" s="498" t="e">
        <f>INDEX(Commerce_session1!#REF!,MATCH("a",Commerce_session1!#REF!,0),62)</f>
        <v>#REF!</v>
      </c>
      <c r="O371" s="487" t="e">
        <f>INDEX(Commerce_session1!#REF!,MATCH("a",Commerce_session1!#REF!,0),62)</f>
        <v>#REF!</v>
      </c>
    </row>
    <row r="372" spans="1:15" ht="33.75" customHeight="1" thickTop="1" thickBot="1">
      <c r="A372" s="550"/>
      <c r="B372" s="531" t="s">
        <v>38</v>
      </c>
      <c r="C372" s="559" t="s">
        <v>50</v>
      </c>
      <c r="D372" s="520">
        <v>5</v>
      </c>
      <c r="E372" s="508">
        <v>2</v>
      </c>
      <c r="F372" s="102" t="s">
        <v>63</v>
      </c>
      <c r="G372" s="68">
        <v>4</v>
      </c>
      <c r="H372" s="69">
        <v>1</v>
      </c>
      <c r="I372" s="18" t="e">
        <f>INDEX(Commerce_session1!A6:CX792,MATCH("L",Commerce_session1!A6:A792,0),43)</f>
        <v>#N/A</v>
      </c>
      <c r="J372" s="19" t="e">
        <f>INDEX(Commerce_session1!A6:CX792,MATCH("L",Commerce_session1!A6:A792,0),44)</f>
        <v>#N/A</v>
      </c>
      <c r="K372" s="509" t="e">
        <f>INDEX(Commerce_session1!A6:CX792,MATCH("L",Commerce_session1!A6:A792,0),48)</f>
        <v>#N/A</v>
      </c>
      <c r="L372" s="488" t="e">
        <f>INDEX(Commerce_session1!A6:CX792,MATCH("L",Commerce_session1!A6:A792,0),49)</f>
        <v>#N/A</v>
      </c>
      <c r="M372" s="489" t="e">
        <f>INDEX(Commerce_session1!D179:CZ192,MATCH("a",Commerce_session1!D179:D192,0),29)</f>
        <v>#N/A</v>
      </c>
      <c r="N372" s="498" t="e">
        <f>INDEX(Commerce_session1!#REF!,MATCH("a",Commerce_session1!#REF!,0),62)</f>
        <v>#REF!</v>
      </c>
      <c r="O372" s="487" t="e">
        <f>INDEX(Commerce_session1!#REF!,MATCH("a",Commerce_session1!#REF!,0),62)</f>
        <v>#REF!</v>
      </c>
    </row>
    <row r="373" spans="1:15" ht="18.75" customHeight="1" thickBot="1">
      <c r="A373" s="550"/>
      <c r="B373" s="527"/>
      <c r="C373" s="524"/>
      <c r="D373" s="521"/>
      <c r="E373" s="451"/>
      <c r="F373" s="101" t="s">
        <v>62</v>
      </c>
      <c r="G373" s="80">
        <v>1</v>
      </c>
      <c r="H373" s="81">
        <v>1</v>
      </c>
      <c r="I373" s="16" t="e">
        <f>INDEX(Commerce_session1!A6:CX792,MATCH("L",Commerce_session1!A6:A792,0),46)</f>
        <v>#N/A</v>
      </c>
      <c r="J373" s="21" t="e">
        <f>INDEX(Commerce_session1!A6:CX792,MATCH("L",Commerce_session1!A6:A792,0),47)</f>
        <v>#N/A</v>
      </c>
      <c r="K373" s="511" t="e">
        <f>INDEX(Commerce_session1!B179:CY192,MATCH("a",Commerce_session1!B179:B192,0),28)</f>
        <v>#N/A</v>
      </c>
      <c r="L373" s="490" t="e">
        <f>INDEX(Commerce_session1!D179:CZ192,MATCH("a",Commerce_session1!D179:D192,0),28)</f>
        <v>#N/A</v>
      </c>
      <c r="M373" s="491" t="e">
        <f>INDEX(Commerce_session1!E179:DA192,MATCH("a",Commerce_session1!E179:E192,0),28)</f>
        <v>#N/A</v>
      </c>
      <c r="N373" s="498" t="e">
        <f>INDEX(Commerce_session1!#REF!,MATCH("a",Commerce_session1!#REF!,0),62)</f>
        <v>#REF!</v>
      </c>
      <c r="O373" s="487" t="e">
        <f>INDEX(Commerce_session1!#REF!,MATCH("a",Commerce_session1!#REF!,0),62)</f>
        <v>#REF!</v>
      </c>
    </row>
    <row r="374" spans="1:15" ht="20.25" customHeight="1" thickTop="1" thickBot="1">
      <c r="A374" s="551"/>
      <c r="B374" s="105" t="s">
        <v>39</v>
      </c>
      <c r="C374" s="104" t="s">
        <v>51</v>
      </c>
      <c r="D374" s="22">
        <v>1</v>
      </c>
      <c r="E374" s="23">
        <v>1</v>
      </c>
      <c r="F374" s="103" t="s">
        <v>64</v>
      </c>
      <c r="G374" s="82">
        <v>1</v>
      </c>
      <c r="H374" s="83">
        <v>1</v>
      </c>
      <c r="I374" s="20" t="e">
        <f>INDEX(Commerce_session1!A6:CX792,MATCH("L",Commerce_session1!A6:A792,0),52)</f>
        <v>#N/A</v>
      </c>
      <c r="J374" s="24" t="e">
        <f>INDEX(Commerce_session1!A6:CX792,MATCH("L",Commerce_session1!A6:A792,0),53)</f>
        <v>#N/A</v>
      </c>
      <c r="K374" s="36" t="e">
        <f>INDEX(Commerce_session1!A6:CX792,MATCH("L",Commerce_session1!A6:A792,0),54)</f>
        <v>#N/A</v>
      </c>
      <c r="L374" s="492" t="e">
        <f>INDEX(Commerce_session1!A6:CX792,MATCH("L",Commerce_session1!A6:A792,0),55)</f>
        <v>#N/A</v>
      </c>
      <c r="M374" s="493" t="e">
        <f>INDEX(Commerce_session1!D179:CZ192,MATCH("a",Commerce_session1!D179:D192,0),33)</f>
        <v>#N/A</v>
      </c>
      <c r="N374" s="498" t="e">
        <f>INDEX(Commerce_session1!#REF!,MATCH("a",Commerce_session1!#REF!,0),62)</f>
        <v>#REF!</v>
      </c>
      <c r="O374" s="487" t="e">
        <f>INDEX(Commerce_session1!#REF!,MATCH("a",Commerce_session1!#REF!,0),62)</f>
        <v>#REF!</v>
      </c>
    </row>
    <row r="375" spans="1:15" ht="19.5" customHeight="1" thickTop="1" thickBot="1">
      <c r="A375" s="516" t="s">
        <v>77</v>
      </c>
      <c r="B375" s="525" t="s">
        <v>36</v>
      </c>
      <c r="C375" s="522" t="s">
        <v>88</v>
      </c>
      <c r="D375" s="528">
        <v>16</v>
      </c>
      <c r="E375" s="449">
        <v>5</v>
      </c>
      <c r="F375" s="96" t="s">
        <v>67</v>
      </c>
      <c r="G375" s="114">
        <v>6</v>
      </c>
      <c r="H375" s="115">
        <v>2</v>
      </c>
      <c r="I375" s="18" t="e">
        <f>INDEX(Commerce_session1!A6:CX792,MATCH("L",Commerce_session1!A6:A792,0),60)</f>
        <v>#N/A</v>
      </c>
      <c r="J375" s="19" t="e">
        <f>INDEX(Commerce_session1!A6:CX792,MATCH("L",Commerce_session1!A6:A792,0),61)</f>
        <v>#N/A</v>
      </c>
      <c r="K375" s="519" t="e">
        <f>INDEX(Commerce_session1!A6:CX792,MATCH("L",Commerce_session1!A6:A792,0),70)</f>
        <v>#N/A</v>
      </c>
      <c r="L375" s="494" t="e">
        <f>INDEX(Commerce_session1!A6:CX792,MATCH("L",Commerce_session1!A6:A792,0),71)</f>
        <v>#N/A</v>
      </c>
      <c r="M375" s="495"/>
      <c r="N375" s="498" t="e">
        <f>INDEX(Commerce_session1!A6:CX792,MATCH("L",Commerce_session1!A6:A792,0),97)</f>
        <v>#N/A</v>
      </c>
      <c r="O375" s="487" t="e">
        <f>INDEX(Commerce_session1!A6:CX792,MATCH("L",Commerce_session1!A6:A792,0),98)</f>
        <v>#N/A</v>
      </c>
    </row>
    <row r="376" spans="1:15" ht="18.75" customHeight="1" thickBot="1">
      <c r="A376" s="517"/>
      <c r="B376" s="526"/>
      <c r="C376" s="523"/>
      <c r="D376" s="529"/>
      <c r="E376" s="450"/>
      <c r="F376" s="100" t="s">
        <v>68</v>
      </c>
      <c r="G376" s="116">
        <v>6</v>
      </c>
      <c r="H376" s="117">
        <v>2</v>
      </c>
      <c r="I376" s="14" t="e">
        <f>INDEX(Commerce_session1!A6:CX792,MATCH("L",Commerce_session1!A6:A792,0),64)</f>
        <v>#N/A</v>
      </c>
      <c r="J376" s="15" t="e">
        <f>INDEX(Commerce_session1!A6:CX792,MATCH("L",Commerce_session1!A6:A792,0),65)</f>
        <v>#N/A</v>
      </c>
      <c r="K376" s="510"/>
      <c r="L376" s="496"/>
      <c r="M376" s="497"/>
      <c r="N376" s="498" t="e">
        <f>INDEX(Commerce_session1!F179:DA192,MATCH("a",Commerce_session1!F179:F192,0),42)</f>
        <v>#N/A</v>
      </c>
      <c r="O376" s="487" t="e">
        <f>INDEX(Commerce_session1!G179:DA192,MATCH("a",Commerce_session1!G179:G192,0),42)</f>
        <v>#N/A</v>
      </c>
    </row>
    <row r="377" spans="1:15" ht="20.25" customHeight="1" thickBot="1">
      <c r="A377" s="517"/>
      <c r="B377" s="527"/>
      <c r="C377" s="524"/>
      <c r="D377" s="530"/>
      <c r="E377" s="451"/>
      <c r="F377" s="101" t="s">
        <v>103</v>
      </c>
      <c r="G377" s="118">
        <v>4</v>
      </c>
      <c r="H377" s="119">
        <v>1</v>
      </c>
      <c r="I377" s="127" t="e">
        <f>INDEX(Commerce_session1!A6:CX792,MATCH("L",Commerce_session1!A6:A792,0),68)</f>
        <v>#N/A</v>
      </c>
      <c r="J377" s="21" t="e">
        <f>INDEX(Commerce_session1!A6:CX792,MATCH("L",Commerce_session1!A6:A792,0),69)</f>
        <v>#N/A</v>
      </c>
      <c r="K377" s="511"/>
      <c r="L377" s="490"/>
      <c r="M377" s="491"/>
      <c r="N377" s="498" t="e">
        <f>INDEX(Commerce_session1!F179:DA192,MATCH("a",Commerce_session1!F179:F192,0),42)</f>
        <v>#N/A</v>
      </c>
      <c r="O377" s="487" t="e">
        <f>INDEX(Commerce_session1!G179:DA192,MATCH("a",Commerce_session1!G179:G192,0),42)</f>
        <v>#N/A</v>
      </c>
    </row>
    <row r="378" spans="1:15" ht="22.5" customHeight="1" thickTop="1" thickBot="1">
      <c r="A378" s="517"/>
      <c r="B378" s="531" t="s">
        <v>37</v>
      </c>
      <c r="C378" s="559" t="s">
        <v>87</v>
      </c>
      <c r="D378" s="532">
        <v>10</v>
      </c>
      <c r="E378" s="508">
        <v>4</v>
      </c>
      <c r="F378" s="128" t="s">
        <v>104</v>
      </c>
      <c r="G378" s="76">
        <v>5</v>
      </c>
      <c r="H378" s="77">
        <v>2</v>
      </c>
      <c r="I378" s="18" t="e">
        <f>INDEX(Commerce_session1!A6:CX792,MATCH("L",Commerce_session1!A6:A792,0),74)</f>
        <v>#N/A</v>
      </c>
      <c r="J378" s="19" t="e">
        <f>INDEX(Commerce_session1!A6:CX792,MATCH("L",Commerce_session1!A6:A792,0),75)</f>
        <v>#N/A</v>
      </c>
      <c r="K378" s="509" t="e">
        <f>INDEX(Commerce_session1!A6:CX792,MATCH("L",Commerce_session1!A6:A792,0),80)</f>
        <v>#N/A</v>
      </c>
      <c r="L378" s="488" t="e">
        <f>INDEX(Commerce_session1!A6:CX792,MATCH("L",Commerce_session1!A6:A792,0),81)</f>
        <v>#N/A</v>
      </c>
      <c r="M378" s="489"/>
      <c r="N378" s="498" t="e">
        <f>INDEX(Commerce_session1!E179:DA192,MATCH("a",Commerce_session1!E179:E192,0),43)</f>
        <v>#N/A</v>
      </c>
      <c r="O378" s="487" t="e">
        <f>INDEX(Commerce_session1!F179:DA192,MATCH("a",Commerce_session1!F179:F192,0),43)</f>
        <v>#N/A</v>
      </c>
    </row>
    <row r="379" spans="1:15" ht="18.75" customHeight="1" thickBot="1">
      <c r="A379" s="517"/>
      <c r="B379" s="527"/>
      <c r="C379" s="524"/>
      <c r="D379" s="530"/>
      <c r="E379" s="451"/>
      <c r="F379" s="98" t="s">
        <v>69</v>
      </c>
      <c r="G379" s="74">
        <v>5</v>
      </c>
      <c r="H379" s="75">
        <v>2</v>
      </c>
      <c r="I379" s="20" t="e">
        <f>INDEX(Commerce_session1!A6:CX792,MATCH("L",Commerce_session1!A6:A792,0),78)</f>
        <v>#N/A</v>
      </c>
      <c r="J379" s="17" t="e">
        <f>INDEX(Commerce_session1!A6:CX792,MATCH("L",Commerce_session1!A6:A792,0),79)</f>
        <v>#N/A</v>
      </c>
      <c r="K379" s="511"/>
      <c r="L379" s="490"/>
      <c r="M379" s="491"/>
      <c r="N379" s="498" t="e">
        <f>INDEX(Commerce_session1!F179:DA192,MATCH("a",Commerce_session1!F179:F192,0),42)</f>
        <v>#N/A</v>
      </c>
      <c r="O379" s="487" t="e">
        <f>INDEX(Commerce_session1!G179:DA192,MATCH("a",Commerce_session1!G179:G192,0),42)</f>
        <v>#N/A</v>
      </c>
    </row>
    <row r="380" spans="1:15" ht="18.75" customHeight="1" thickTop="1" thickBot="1">
      <c r="A380" s="517"/>
      <c r="B380" s="105" t="s">
        <v>38</v>
      </c>
      <c r="C380" s="104" t="s">
        <v>85</v>
      </c>
      <c r="D380" s="22">
        <v>3</v>
      </c>
      <c r="E380" s="23">
        <v>2</v>
      </c>
      <c r="F380" s="101" t="s">
        <v>74</v>
      </c>
      <c r="G380" s="74">
        <v>3</v>
      </c>
      <c r="H380" s="75">
        <v>2</v>
      </c>
      <c r="I380" s="20" t="e">
        <f>INDEX(Commerce_session1!A6:CX792,MATCH("L",Commerce_session1!A6:A792,0),84)</f>
        <v>#N/A</v>
      </c>
      <c r="J380" s="17" t="e">
        <f>INDEX(Commerce_session1!A6:CX792,MATCH("L",Commerce_session1!A6:A792,0),85)</f>
        <v>#N/A</v>
      </c>
      <c r="K380" s="123" t="e">
        <f>INDEX(Commerce_session1!A6:CX792,MATCH("L",Commerce_session1!A6:A792,0),86)</f>
        <v>#N/A</v>
      </c>
      <c r="L380" s="512" t="e">
        <f>INDEX(Commerce_session1!A6:CX792,MATCH("L",Commerce_session1!A6:A792,0),87)</f>
        <v>#N/A</v>
      </c>
      <c r="M380" s="513"/>
      <c r="N380" s="498" t="e">
        <f>INDEX(Commerce_session1!F179:DA192,MATCH("a",Commerce_session1!F179:F192,0),42)</f>
        <v>#N/A</v>
      </c>
      <c r="O380" s="487" t="e">
        <f>INDEX(Commerce_session1!G179:DA192,MATCH("a",Commerce_session1!G179:G192,0),42)</f>
        <v>#N/A</v>
      </c>
    </row>
    <row r="381" spans="1:15" ht="20.25" customHeight="1" thickTop="1" thickBot="1">
      <c r="A381" s="518"/>
      <c r="B381" s="105" t="s">
        <v>39</v>
      </c>
      <c r="C381" s="104" t="s">
        <v>86</v>
      </c>
      <c r="D381" s="22">
        <v>1</v>
      </c>
      <c r="E381" s="23">
        <v>1</v>
      </c>
      <c r="F381" s="103" t="s">
        <v>73</v>
      </c>
      <c r="G381" s="82">
        <v>1</v>
      </c>
      <c r="H381" s="83">
        <v>1</v>
      </c>
      <c r="I381" s="25" t="e">
        <f>INDEX(Commerce_session1!A6:CX792,MATCH("L",Commerce_session1!A6:A792,0),89)</f>
        <v>#N/A</v>
      </c>
      <c r="J381" s="26" t="e">
        <f>INDEX(Commerce_session1!A6:CX792,MATCH("L",Commerce_session1!A6:A792,0),90)</f>
        <v>#N/A</v>
      </c>
      <c r="K381" s="27" t="e">
        <f>INDEX(Commerce_session1!A6:CX792,MATCH("L",Commerce_session1!A6:A792,0),91)</f>
        <v>#N/A</v>
      </c>
      <c r="L381" s="514" t="e">
        <f>INDEX(Commerce_session1!A6:CX792,MATCH("L",Commerce_session1!A6:A792,0),92)</f>
        <v>#N/A</v>
      </c>
      <c r="M381" s="515" t="e">
        <f>INDEX(Commerce_session1!D179:CZ192,MATCH("a",Commerce_session1!D179:D192,0),61)</f>
        <v>#N/A</v>
      </c>
      <c r="N381" s="498" t="e">
        <f>INDEX(Commerce_session1!F179:DA192,MATCH("a",Commerce_session1!F179:F192,0),42)</f>
        <v>#N/A</v>
      </c>
      <c r="O381" s="487" t="e">
        <f>INDEX(Commerce_session1!G179:DA192,MATCH("a",Commerce_session1!G179:G192,0),42)</f>
        <v>#N/A</v>
      </c>
    </row>
    <row r="382" spans="1:15" ht="20.25">
      <c r="A382" s="535" t="s">
        <v>40</v>
      </c>
      <c r="B382" s="536"/>
      <c r="C382" s="537"/>
      <c r="D382" s="121" t="e">
        <f>INDEX(Commerce_session1!A6:CX792,MATCH("L",Commerce_session1!A6:A792,0),99)</f>
        <v>#N/A</v>
      </c>
      <c r="E382" s="538" t="s">
        <v>41</v>
      </c>
      <c r="F382" s="540"/>
      <c r="G382" s="120" t="e">
        <f>INDEX(Commerce_session1!A6:CX792,MATCH("L",Commerce_session1!A6:A792,0),100)</f>
        <v>#N/A</v>
      </c>
      <c r="H382" s="538" t="s">
        <v>91</v>
      </c>
      <c r="I382" s="539"/>
      <c r="J382" s="539"/>
      <c r="K382" s="540"/>
      <c r="L382" s="541" t="e">
        <f>INDEX(Commerce_session1!A6:CX792,MATCH("L",Commerce_session1!A6:A792,0),101)</f>
        <v>#N/A</v>
      </c>
      <c r="M382" s="542"/>
      <c r="N382" s="8"/>
      <c r="O382" s="8"/>
    </row>
    <row r="383" spans="1:15" ht="22.5">
      <c r="A383" s="546" t="s">
        <v>42</v>
      </c>
      <c r="B383" s="547"/>
      <c r="C383" s="548"/>
      <c r="D383" s="543" t="e">
        <f>INDEX(Commerce_session1!A6:CX792,MATCH("L",Commerce_session1!A6:A792,0),102)</f>
        <v>#N/A</v>
      </c>
      <c r="E383" s="544"/>
      <c r="F383" s="545"/>
      <c r="G383" s="108"/>
      <c r="H383" s="109"/>
      <c r="I383" s="110"/>
      <c r="J383" s="111"/>
      <c r="K383" s="110"/>
      <c r="L383" s="110"/>
      <c r="M383" s="110"/>
      <c r="N383" s="112" t="s">
        <v>43</v>
      </c>
      <c r="O383" s="28">
        <f ca="1">TODAY()</f>
        <v>43626</v>
      </c>
    </row>
    <row r="384" spans="1:15" ht="32.25" customHeight="1">
      <c r="A384" s="113" t="s">
        <v>44</v>
      </c>
      <c r="B384" s="29"/>
      <c r="C384" s="29"/>
      <c r="D384" s="533"/>
      <c r="E384" s="533"/>
      <c r="F384" s="30"/>
      <c r="G384" s="4"/>
      <c r="J384" s="4"/>
      <c r="L384" s="534" t="s">
        <v>46</v>
      </c>
      <c r="M384" s="534"/>
      <c r="N384" s="534"/>
    </row>
    <row r="385" spans="1:18" ht="23.25" customHeight="1" thickBot="1">
      <c r="A385" s="84" t="s">
        <v>12</v>
      </c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445" t="s">
        <v>13</v>
      </c>
      <c r="M385" s="445"/>
      <c r="N385" s="445"/>
      <c r="O385" s="445"/>
      <c r="P385" s="2"/>
      <c r="Q385" s="2"/>
      <c r="R385" s="2"/>
    </row>
    <row r="386" spans="1:18" ht="15.75">
      <c r="A386" s="446" t="s">
        <v>14</v>
      </c>
      <c r="B386" s="446"/>
      <c r="C386" s="446"/>
      <c r="D386" s="446"/>
      <c r="E386" s="446"/>
      <c r="F386" s="3"/>
      <c r="H386" s="4"/>
      <c r="K386" s="4"/>
      <c r="L386" s="4"/>
    </row>
    <row r="387" spans="1:18" ht="15.75">
      <c r="A387" s="85" t="s">
        <v>15</v>
      </c>
      <c r="B387" s="85"/>
      <c r="C387" s="85"/>
      <c r="D387" s="85"/>
      <c r="E387" s="85"/>
      <c r="F387" s="5"/>
      <c r="H387" s="4"/>
      <c r="K387" s="4"/>
      <c r="L387" s="4"/>
      <c r="P387" s="6"/>
    </row>
    <row r="388" spans="1:18" ht="15.75">
      <c r="A388" s="85" t="s">
        <v>100</v>
      </c>
      <c r="B388" s="85"/>
      <c r="C388" s="85"/>
      <c r="D388" s="85"/>
      <c r="E388" s="85"/>
      <c r="F388" s="3"/>
      <c r="H388" s="4"/>
      <c r="K388" s="4"/>
      <c r="L388" s="4"/>
    </row>
    <row r="389" spans="1:18" s="8" customFormat="1" ht="27" customHeight="1">
      <c r="A389" s="7"/>
      <c r="B389" s="7"/>
      <c r="C389" s="7"/>
      <c r="D389" s="447" t="s">
        <v>94</v>
      </c>
      <c r="E389" s="447"/>
      <c r="F389" s="447"/>
      <c r="G389" s="447"/>
      <c r="H389" s="447"/>
      <c r="I389" s="447"/>
      <c r="J389" s="447"/>
      <c r="K389" s="447"/>
      <c r="L389" s="447"/>
      <c r="M389" s="7"/>
      <c r="N389" s="7"/>
      <c r="O389" s="7"/>
    </row>
    <row r="390" spans="1:18" ht="23.25" customHeight="1">
      <c r="A390" s="126" t="s">
        <v>101</v>
      </c>
      <c r="B390" s="126"/>
      <c r="C390" s="126"/>
      <c r="D390" s="126"/>
      <c r="E390" s="126"/>
      <c r="F390" s="126"/>
      <c r="G390" s="122"/>
      <c r="H390" s="122"/>
      <c r="I390" s="122" t="e">
        <f>IF(D415="ناجح(ة) دورة1","-الدورة الأولى-","-الدورة الثانية-")</f>
        <v>#N/A</v>
      </c>
      <c r="J390" s="124" t="s">
        <v>48</v>
      </c>
      <c r="K390" s="124"/>
      <c r="L390" s="87"/>
      <c r="M390" s="88"/>
      <c r="N390" s="89"/>
      <c r="O390" s="9"/>
    </row>
    <row r="391" spans="1:18" ht="20.25" customHeight="1">
      <c r="A391" s="476" t="s">
        <v>93</v>
      </c>
      <c r="B391" s="476"/>
      <c r="C391" s="90" t="e">
        <f>INDEX(Commerce_session1!A6:CX792,MATCH("M",Commerce_session1!A6:A792,0),3)</f>
        <v>#N/A</v>
      </c>
      <c r="D391" s="91" t="s">
        <v>92</v>
      </c>
      <c r="E391" s="448" t="e">
        <f>INDEX(Commerce_session1!A6:CX792,MATCH("M",Commerce_session1!A6:A792,0),4)</f>
        <v>#N/A</v>
      </c>
      <c r="F391" s="448" t="e">
        <f>INDEX(Commerce_session1!D182:DA476,MATCH("a",Commerce_session1!D182:D476,0),3)</f>
        <v>#N/A</v>
      </c>
      <c r="G391" s="477" t="s">
        <v>16</v>
      </c>
      <c r="H391" s="477"/>
      <c r="I391" s="477"/>
      <c r="J391" s="478" t="e">
        <f>INDEX(Commerce_session1!A6:CX792,MATCH("M",Commerce_session1!A6:A792,0),6)</f>
        <v>#N/A</v>
      </c>
      <c r="K391" s="478"/>
      <c r="L391" s="88"/>
      <c r="M391" s="92" t="s">
        <v>17</v>
      </c>
      <c r="N391" s="90" t="e">
        <f>INDEX(Commerce_session1!A6:CX792,MATCH("M",Commerce_session1!A6:A792,0),7)</f>
        <v>#N/A</v>
      </c>
      <c r="O391" s="10"/>
    </row>
    <row r="392" spans="1:18" ht="20.25" customHeight="1">
      <c r="A392" s="476" t="s">
        <v>18</v>
      </c>
      <c r="B392" s="476"/>
      <c r="C392" s="448" t="e">
        <f>INDEX(Commerce_session1!A6:CX792,MATCH("M",Commerce_session1!A6:A792,0),5)</f>
        <v>#N/A</v>
      </c>
      <c r="D392" s="448"/>
      <c r="E392" s="91"/>
      <c r="F392" s="88"/>
      <c r="G392" s="93"/>
      <c r="H392" s="88"/>
      <c r="I392" s="88"/>
      <c r="J392" s="93"/>
      <c r="K392" s="88"/>
      <c r="L392" s="88"/>
      <c r="M392" s="88"/>
      <c r="N392" s="88"/>
      <c r="O392" s="10"/>
    </row>
    <row r="393" spans="1:18" ht="20.25" customHeight="1">
      <c r="A393" s="476" t="s">
        <v>102</v>
      </c>
      <c r="B393" s="476"/>
      <c r="C393" s="476"/>
      <c r="D393" s="476"/>
      <c r="E393" s="476"/>
      <c r="F393" s="476"/>
      <c r="G393" s="476"/>
      <c r="H393" s="476"/>
      <c r="I393" s="476"/>
      <c r="J393" s="476"/>
      <c r="K393" s="476"/>
      <c r="L393" s="476"/>
      <c r="M393" s="476"/>
      <c r="N393" s="476"/>
      <c r="O393" s="476"/>
    </row>
    <row r="394" spans="1:18" ht="20.25" customHeight="1" thickBot="1">
      <c r="A394" s="459" t="s">
        <v>19</v>
      </c>
      <c r="B394" s="459"/>
      <c r="C394" s="459"/>
      <c r="D394" s="459"/>
      <c r="E394" s="459"/>
      <c r="F394" s="459"/>
      <c r="G394" s="459"/>
      <c r="H394" s="94"/>
      <c r="I394" s="94"/>
      <c r="J394" s="95"/>
      <c r="K394" s="94"/>
      <c r="L394" s="94"/>
      <c r="M394" s="94"/>
      <c r="N394" s="94"/>
      <c r="O394" s="11"/>
    </row>
    <row r="395" spans="1:18" ht="18.75" thickBot="1">
      <c r="A395" s="460" t="s">
        <v>20</v>
      </c>
      <c r="B395" s="463" t="s">
        <v>21</v>
      </c>
      <c r="C395" s="464"/>
      <c r="D395" s="464"/>
      <c r="E395" s="464"/>
      <c r="F395" s="464" t="s">
        <v>22</v>
      </c>
      <c r="G395" s="464"/>
      <c r="H395" s="464"/>
      <c r="I395" s="465" t="s">
        <v>23</v>
      </c>
      <c r="J395" s="466"/>
      <c r="K395" s="466"/>
      <c r="L395" s="466"/>
      <c r="M395" s="466"/>
      <c r="N395" s="466"/>
      <c r="O395" s="467"/>
    </row>
    <row r="396" spans="1:18">
      <c r="A396" s="461"/>
      <c r="B396" s="468" t="s">
        <v>24</v>
      </c>
      <c r="C396" s="470" t="s">
        <v>25</v>
      </c>
      <c r="D396" s="472" t="s">
        <v>26</v>
      </c>
      <c r="E396" s="474" t="s">
        <v>27</v>
      </c>
      <c r="F396" s="479" t="s">
        <v>28</v>
      </c>
      <c r="G396" s="468" t="s">
        <v>11</v>
      </c>
      <c r="H396" s="481" t="s">
        <v>27</v>
      </c>
      <c r="I396" s="482" t="s">
        <v>29</v>
      </c>
      <c r="J396" s="483"/>
      <c r="K396" s="484" t="s">
        <v>30</v>
      </c>
      <c r="L396" s="485"/>
      <c r="M396" s="486"/>
      <c r="N396" s="455" t="s">
        <v>20</v>
      </c>
      <c r="O396" s="456"/>
    </row>
    <row r="397" spans="1:18" ht="15.75" thickBot="1">
      <c r="A397" s="462"/>
      <c r="B397" s="469"/>
      <c r="C397" s="471"/>
      <c r="D397" s="473"/>
      <c r="E397" s="475"/>
      <c r="F397" s="480"/>
      <c r="G397" s="469"/>
      <c r="H397" s="473"/>
      <c r="I397" s="106" t="s">
        <v>10</v>
      </c>
      <c r="J397" s="106" t="s">
        <v>31</v>
      </c>
      <c r="K397" s="106" t="s">
        <v>32</v>
      </c>
      <c r="L397" s="457" t="s">
        <v>33</v>
      </c>
      <c r="M397" s="458"/>
      <c r="N397" s="106" t="s">
        <v>34</v>
      </c>
      <c r="O397" s="107" t="s">
        <v>35</v>
      </c>
    </row>
    <row r="398" spans="1:18" ht="18.75" customHeight="1" thickBot="1">
      <c r="A398" s="549" t="s">
        <v>76</v>
      </c>
      <c r="B398" s="552" t="s">
        <v>36</v>
      </c>
      <c r="C398" s="555" t="s">
        <v>90</v>
      </c>
      <c r="D398" s="556">
        <v>17</v>
      </c>
      <c r="E398" s="449">
        <v>6</v>
      </c>
      <c r="F398" s="96" t="s">
        <v>54</v>
      </c>
      <c r="G398" s="70">
        <v>5</v>
      </c>
      <c r="H398" s="71">
        <v>2</v>
      </c>
      <c r="I398" s="12" t="e">
        <f>INDEX(Commerce_session1!A6:CX792,MATCH("M",Commerce_session1!A6:A792,0),16)</f>
        <v>#N/A</v>
      </c>
      <c r="J398" s="13" t="e">
        <f>INDEX(Commerce_session1!A6:CX792,MATCH("M",Commerce_session1!A6:A792,0),17)</f>
        <v>#N/A</v>
      </c>
      <c r="K398" s="452" t="e">
        <f>INDEX(Commerce_session1!A6:CX792,MATCH("M",Commerce_session1!A6:A792,0),26)</f>
        <v>#N/A</v>
      </c>
      <c r="L398" s="494" t="e">
        <f>INDEX(Commerce_session1!A6:CX792,MATCH("M",Commerce_session1!A6:A792,0),27)</f>
        <v>#N/A</v>
      </c>
      <c r="M398" s="495" t="e">
        <f>INDEX(Commerce_session1!D182:CZ224,MATCH("a",Commerce_session1!D182:D224,0),15)</f>
        <v>#N/A</v>
      </c>
      <c r="N398" s="498" t="e">
        <f>INDEX(Commerce_session1!A6:CX792,MATCH("M",Commerce_session1!A6:A792,0),95)</f>
        <v>#N/A</v>
      </c>
      <c r="O398" s="487" t="e">
        <f>INDEX(Commerce_session1!A6:CX792,MATCH("M",Commerce_session1!A6:A792,0),96)</f>
        <v>#N/A</v>
      </c>
    </row>
    <row r="399" spans="1:18" ht="18.75" customHeight="1" thickBot="1">
      <c r="A399" s="550"/>
      <c r="B399" s="553"/>
      <c r="C399" s="503"/>
      <c r="D399" s="557"/>
      <c r="E399" s="450"/>
      <c r="F399" s="97" t="s">
        <v>55</v>
      </c>
      <c r="G399" s="72">
        <v>6</v>
      </c>
      <c r="H399" s="73">
        <v>2</v>
      </c>
      <c r="I399" s="14" t="e">
        <f>INDEX(Commerce_session1!A6:CX792,MATCH("M",Commerce_session1!A6:A792,0),20)</f>
        <v>#N/A</v>
      </c>
      <c r="J399" s="15" t="e">
        <f>INDEX(Commerce_session1!A6:CX792,MATCH("M",Commerce_session1!A6:A792,0),21)</f>
        <v>#N/A</v>
      </c>
      <c r="K399" s="453" t="e">
        <f>INDEX(Commerce_session1!B182:CY224,MATCH("a",Commerce_session1!B182:B224,0),14)</f>
        <v>#N/A</v>
      </c>
      <c r="L399" s="496" t="e">
        <f>INDEX(Commerce_session1!D182:CZ224,MATCH("a",Commerce_session1!D182:D224,0),14)</f>
        <v>#N/A</v>
      </c>
      <c r="M399" s="497" t="e">
        <f>INDEX(Commerce_session1!E182:DA224,MATCH("a",Commerce_session1!E182:E224,0),14)</f>
        <v>#N/A</v>
      </c>
      <c r="N399" s="498" t="e">
        <f>INDEX(Commerce_session1!#REF!,MATCH("a",Commerce_session1!#REF!,0),62)</f>
        <v>#REF!</v>
      </c>
      <c r="O399" s="487" t="e">
        <f>INDEX(Commerce_session1!#REF!,MATCH("a",Commerce_session1!#REF!,0),62)</f>
        <v>#REF!</v>
      </c>
    </row>
    <row r="400" spans="1:18" ht="18.75" customHeight="1" thickBot="1">
      <c r="A400" s="550"/>
      <c r="B400" s="554"/>
      <c r="C400" s="504"/>
      <c r="D400" s="558"/>
      <c r="E400" s="451"/>
      <c r="F400" s="98" t="s">
        <v>56</v>
      </c>
      <c r="G400" s="74">
        <v>6</v>
      </c>
      <c r="H400" s="75">
        <v>2</v>
      </c>
      <c r="I400" s="16" t="e">
        <f>INDEX(Commerce_session1!A6:CX792,MATCH("M",Commerce_session1!A6:A792,0),24)</f>
        <v>#N/A</v>
      </c>
      <c r="J400" s="17" t="e">
        <f>INDEX(Commerce_session1!A6:CX792,MATCH("M",Commerce_session1!A6:A792,0),25)</f>
        <v>#N/A</v>
      </c>
      <c r="K400" s="454" t="e">
        <f>INDEX(Commerce_session1!B184:CY224,MATCH("a",Commerce_session1!B184:B224,0),14)</f>
        <v>#N/A</v>
      </c>
      <c r="L400" s="490" t="e">
        <f>INDEX(Commerce_session1!D184:CZ224,MATCH("a",Commerce_session1!D184:D224,0),14)</f>
        <v>#N/A</v>
      </c>
      <c r="M400" s="491" t="e">
        <f>INDEX(Commerce_session1!E184:DA224,MATCH("a",Commerce_session1!E184:E224,0),14)</f>
        <v>#N/A</v>
      </c>
      <c r="N400" s="498" t="e">
        <f>INDEX(Commerce_session1!#REF!,MATCH("a",Commerce_session1!#REF!,0),62)</f>
        <v>#REF!</v>
      </c>
      <c r="O400" s="487" t="e">
        <f>INDEX(Commerce_session1!#REF!,MATCH("a",Commerce_session1!#REF!,0),62)</f>
        <v>#REF!</v>
      </c>
    </row>
    <row r="401" spans="1:15" ht="19.5" customHeight="1" thickTop="1" thickBot="1">
      <c r="A401" s="550"/>
      <c r="B401" s="499" t="s">
        <v>37</v>
      </c>
      <c r="C401" s="502" t="s">
        <v>89</v>
      </c>
      <c r="D401" s="505">
        <v>7</v>
      </c>
      <c r="E401" s="508">
        <v>5</v>
      </c>
      <c r="F401" s="99" t="s">
        <v>83</v>
      </c>
      <c r="G401" s="76">
        <v>1</v>
      </c>
      <c r="H401" s="77">
        <v>1</v>
      </c>
      <c r="I401" s="18" t="e">
        <f>INDEX(Commerce_session1!A6:CX792,MATCH("M",Commerce_session1!A6:A792,0),29)</f>
        <v>#N/A</v>
      </c>
      <c r="J401" s="19" t="e">
        <f>INDEX(Commerce_session1!A6:CX792,MATCH("M",Commerce_session1!A6:A792,0),30)</f>
        <v>#N/A</v>
      </c>
      <c r="K401" s="509" t="e">
        <f>INDEX(Commerce_session1!A6:CX792,MATCH("M",Commerce_session1!A6:A792,0),39)</f>
        <v>#N/A</v>
      </c>
      <c r="L401" s="488" t="e">
        <f>INDEX(Commerce_session1!A6:CX792,MATCH("M",Commerce_session1!A6:A792,0),40)</f>
        <v>#N/A</v>
      </c>
      <c r="M401" s="489" t="e">
        <f>INDEX(Commerce_session1!D182:CZ224,MATCH("a",Commerce_session1!D182:D224,0),23)</f>
        <v>#N/A</v>
      </c>
      <c r="N401" s="498" t="e">
        <f>INDEX(Commerce_session1!#REF!,MATCH("a",Commerce_session1!#REF!,0),62)</f>
        <v>#REF!</v>
      </c>
      <c r="O401" s="487" t="e">
        <f>INDEX(Commerce_session1!#REF!,MATCH("a",Commerce_session1!#REF!,0),62)</f>
        <v>#REF!</v>
      </c>
    </row>
    <row r="402" spans="1:15" ht="18.75" customHeight="1" thickTop="1" thickBot="1">
      <c r="A402" s="550"/>
      <c r="B402" s="500"/>
      <c r="C402" s="503"/>
      <c r="D402" s="506"/>
      <c r="E402" s="450"/>
      <c r="F402" s="100" t="s">
        <v>99</v>
      </c>
      <c r="G402" s="78">
        <v>3</v>
      </c>
      <c r="H402" s="79">
        <v>2</v>
      </c>
      <c r="I402" s="18" t="e">
        <f>INDEX(Commerce_session1!A6:CX792,MATCH("M",Commerce_session1!A6:A792,0),33)</f>
        <v>#N/A</v>
      </c>
      <c r="J402" s="15" t="e">
        <f>INDEX(Commerce_session1!A6:CX792,MATCH("M",Commerce_session1!A6:A792,0),34)</f>
        <v>#N/A</v>
      </c>
      <c r="K402" s="510" t="e">
        <f>INDEX(Commerce_session1!B181:CY224,MATCH("a",Commerce_session1!B181:B224,0),22)</f>
        <v>#N/A</v>
      </c>
      <c r="L402" s="496" t="e">
        <f>INDEX(Commerce_session1!D181:CZ224,MATCH("a",Commerce_session1!D181:D224,0),22)</f>
        <v>#N/A</v>
      </c>
      <c r="M402" s="497" t="e">
        <f>INDEX(Commerce_session1!E181:DA224,MATCH("a",Commerce_session1!E181:E224,0),22)</f>
        <v>#N/A</v>
      </c>
      <c r="N402" s="498" t="e">
        <f>INDEX(Commerce_session1!#REF!,MATCH("a",Commerce_session1!#REF!,0),62)</f>
        <v>#REF!</v>
      </c>
      <c r="O402" s="487" t="e">
        <f>INDEX(Commerce_session1!#REF!,MATCH("a",Commerce_session1!#REF!,0),62)</f>
        <v>#REF!</v>
      </c>
    </row>
    <row r="403" spans="1:15" ht="18.75" customHeight="1" thickBot="1">
      <c r="A403" s="550"/>
      <c r="B403" s="501"/>
      <c r="C403" s="504"/>
      <c r="D403" s="507"/>
      <c r="E403" s="451"/>
      <c r="F403" s="101" t="s">
        <v>84</v>
      </c>
      <c r="G403" s="80">
        <v>3</v>
      </c>
      <c r="H403" s="81">
        <v>2</v>
      </c>
      <c r="I403" s="20" t="e">
        <f>INDEX(Commerce_session1!A6:CX792,MATCH("M",Commerce_session1!A6:A792,0),37)</f>
        <v>#N/A</v>
      </c>
      <c r="J403" s="17" t="e">
        <f>INDEX(Commerce_session1!A6:CX792,MATCH("M",Commerce_session1!A6:A792,0),38)</f>
        <v>#N/A</v>
      </c>
      <c r="K403" s="511" t="e">
        <f>INDEX(Commerce_session1!B182:CY224,MATCH("a",Commerce_session1!B182:B224,0),22)</f>
        <v>#N/A</v>
      </c>
      <c r="L403" s="490" t="e">
        <f>INDEX(Commerce_session1!D182:CZ224,MATCH("a",Commerce_session1!D182:D224,0),22)</f>
        <v>#N/A</v>
      </c>
      <c r="M403" s="491" t="e">
        <f>INDEX(Commerce_session1!E182:DA224,MATCH("a",Commerce_session1!E182:E224,0),22)</f>
        <v>#N/A</v>
      </c>
      <c r="N403" s="498" t="e">
        <f>INDEX(Commerce_session1!#REF!,MATCH("a",Commerce_session1!#REF!,0),62)</f>
        <v>#REF!</v>
      </c>
      <c r="O403" s="487" t="e">
        <f>INDEX(Commerce_session1!#REF!,MATCH("a",Commerce_session1!#REF!,0),62)</f>
        <v>#REF!</v>
      </c>
    </row>
    <row r="404" spans="1:15" ht="33.75" customHeight="1" thickTop="1" thickBot="1">
      <c r="A404" s="550"/>
      <c r="B404" s="531" t="s">
        <v>38</v>
      </c>
      <c r="C404" s="559" t="s">
        <v>50</v>
      </c>
      <c r="D404" s="520">
        <v>5</v>
      </c>
      <c r="E404" s="508">
        <v>2</v>
      </c>
      <c r="F404" s="102" t="s">
        <v>63</v>
      </c>
      <c r="G404" s="68">
        <v>4</v>
      </c>
      <c r="H404" s="69">
        <v>1</v>
      </c>
      <c r="I404" s="18" t="e">
        <f>INDEX(Commerce_session1!A6:CX792,MATCH("M",Commerce_session1!A6:A792,0),43)</f>
        <v>#N/A</v>
      </c>
      <c r="J404" s="19" t="e">
        <f>INDEX(Commerce_session1!A6:CX792,MATCH("M",Commerce_session1!A6:A792,0),44)</f>
        <v>#N/A</v>
      </c>
      <c r="K404" s="509" t="e">
        <f>INDEX(Commerce_session1!A6:CX792,MATCH("M",Commerce_session1!A6:A792,0),48)</f>
        <v>#N/A</v>
      </c>
      <c r="L404" s="488" t="e">
        <f>INDEX(Commerce_session1!A6:CX792,MATCH("M",Commerce_session1!A6:A792,0),49)</f>
        <v>#N/A</v>
      </c>
      <c r="M404" s="489" t="e">
        <f>INDEX(Commerce_session1!D182:CZ224,MATCH("a",Commerce_session1!D182:D224,0),29)</f>
        <v>#N/A</v>
      </c>
      <c r="N404" s="498" t="e">
        <f>INDEX(Commerce_session1!#REF!,MATCH("a",Commerce_session1!#REF!,0),62)</f>
        <v>#REF!</v>
      </c>
      <c r="O404" s="487" t="e">
        <f>INDEX(Commerce_session1!#REF!,MATCH("a",Commerce_session1!#REF!,0),62)</f>
        <v>#REF!</v>
      </c>
    </row>
    <row r="405" spans="1:15" ht="18.75" customHeight="1" thickBot="1">
      <c r="A405" s="550"/>
      <c r="B405" s="527"/>
      <c r="C405" s="524"/>
      <c r="D405" s="521"/>
      <c r="E405" s="451"/>
      <c r="F405" s="101" t="s">
        <v>62</v>
      </c>
      <c r="G405" s="80">
        <v>1</v>
      </c>
      <c r="H405" s="81">
        <v>1</v>
      </c>
      <c r="I405" s="16" t="e">
        <f>INDEX(Commerce_session1!A6:CX792,MATCH("M",Commerce_session1!A6:A792,0),46)</f>
        <v>#N/A</v>
      </c>
      <c r="J405" s="21" t="e">
        <f>INDEX(Commerce_session1!A6:CX792,MATCH("M",Commerce_session1!A6:A792,0),47)</f>
        <v>#N/A</v>
      </c>
      <c r="K405" s="511" t="e">
        <f>INDEX(Commerce_session1!B182:CY224,MATCH("a",Commerce_session1!B182:B224,0),28)</f>
        <v>#N/A</v>
      </c>
      <c r="L405" s="490" t="e">
        <f>INDEX(Commerce_session1!D182:CZ224,MATCH("a",Commerce_session1!D182:D224,0),28)</f>
        <v>#N/A</v>
      </c>
      <c r="M405" s="491" t="e">
        <f>INDEX(Commerce_session1!E182:DA224,MATCH("a",Commerce_session1!E182:E224,0),28)</f>
        <v>#N/A</v>
      </c>
      <c r="N405" s="498" t="e">
        <f>INDEX(Commerce_session1!#REF!,MATCH("a",Commerce_session1!#REF!,0),62)</f>
        <v>#REF!</v>
      </c>
      <c r="O405" s="487" t="e">
        <f>INDEX(Commerce_session1!#REF!,MATCH("a",Commerce_session1!#REF!,0),62)</f>
        <v>#REF!</v>
      </c>
    </row>
    <row r="406" spans="1:15" ht="20.25" customHeight="1" thickTop="1" thickBot="1">
      <c r="A406" s="551"/>
      <c r="B406" s="105" t="s">
        <v>39</v>
      </c>
      <c r="C406" s="104" t="s">
        <v>51</v>
      </c>
      <c r="D406" s="22">
        <v>1</v>
      </c>
      <c r="E406" s="23">
        <v>1</v>
      </c>
      <c r="F406" s="103" t="s">
        <v>64</v>
      </c>
      <c r="G406" s="82">
        <v>1</v>
      </c>
      <c r="H406" s="83">
        <v>1</v>
      </c>
      <c r="I406" s="20" t="e">
        <f>INDEX(Commerce_session1!A6:CX792,MATCH("M",Commerce_session1!A6:A792,0),52)</f>
        <v>#N/A</v>
      </c>
      <c r="J406" s="24" t="e">
        <f>INDEX(Commerce_session1!A6:CX792,MATCH("M",Commerce_session1!A6:A792,0),53)</f>
        <v>#N/A</v>
      </c>
      <c r="K406" s="36" t="e">
        <f>INDEX(Commerce_session1!A6:CX792,MATCH("M",Commerce_session1!A6:A792,0),54)</f>
        <v>#N/A</v>
      </c>
      <c r="L406" s="492" t="e">
        <f>INDEX(Commerce_session1!A6:CX792,MATCH("M",Commerce_session1!A6:A792,0),55)</f>
        <v>#N/A</v>
      </c>
      <c r="M406" s="493" t="e">
        <f>INDEX(Commerce_session1!D182:CZ224,MATCH("a",Commerce_session1!D182:D224,0),33)</f>
        <v>#N/A</v>
      </c>
      <c r="N406" s="498" t="e">
        <f>INDEX(Commerce_session1!#REF!,MATCH("a",Commerce_session1!#REF!,0),62)</f>
        <v>#REF!</v>
      </c>
      <c r="O406" s="487" t="e">
        <f>INDEX(Commerce_session1!#REF!,MATCH("a",Commerce_session1!#REF!,0),62)</f>
        <v>#REF!</v>
      </c>
    </row>
    <row r="407" spans="1:15" ht="19.5" customHeight="1" thickTop="1" thickBot="1">
      <c r="A407" s="516" t="s">
        <v>77</v>
      </c>
      <c r="B407" s="525" t="s">
        <v>36</v>
      </c>
      <c r="C407" s="522" t="s">
        <v>88</v>
      </c>
      <c r="D407" s="528">
        <v>16</v>
      </c>
      <c r="E407" s="449">
        <v>5</v>
      </c>
      <c r="F407" s="96" t="s">
        <v>67</v>
      </c>
      <c r="G407" s="114">
        <v>6</v>
      </c>
      <c r="H407" s="115">
        <v>2</v>
      </c>
      <c r="I407" s="18" t="e">
        <f>INDEX(Commerce_session1!A6:CX792,MATCH("M",Commerce_session1!A6:A792,0),60)</f>
        <v>#N/A</v>
      </c>
      <c r="J407" s="19" t="e">
        <f>INDEX(Commerce_session1!A6:CX792,MATCH("M",Commerce_session1!A6:A792,0),61)</f>
        <v>#N/A</v>
      </c>
      <c r="K407" s="519" t="e">
        <f>INDEX(Commerce_session1!A6:CX792,MATCH("M",Commerce_session1!A6:A792,0),70)</f>
        <v>#N/A</v>
      </c>
      <c r="L407" s="494" t="e">
        <f>INDEX(Commerce_session1!A6:CX792,MATCH("M",Commerce_session1!A6:A792,0),71)</f>
        <v>#N/A</v>
      </c>
      <c r="M407" s="495"/>
      <c r="N407" s="498" t="e">
        <f>INDEX(Commerce_session1!A6:CX792,MATCH("M",Commerce_session1!A6:A792,0),97)</f>
        <v>#N/A</v>
      </c>
      <c r="O407" s="487" t="e">
        <f>INDEX(Commerce_session1!A6:CX792,MATCH("M",Commerce_session1!A6:A792,0),98)</f>
        <v>#N/A</v>
      </c>
    </row>
    <row r="408" spans="1:15" ht="18.75" customHeight="1" thickBot="1">
      <c r="A408" s="517"/>
      <c r="B408" s="526"/>
      <c r="C408" s="523"/>
      <c r="D408" s="529"/>
      <c r="E408" s="450"/>
      <c r="F408" s="100" t="s">
        <v>68</v>
      </c>
      <c r="G408" s="116">
        <v>6</v>
      </c>
      <c r="H408" s="117">
        <v>2</v>
      </c>
      <c r="I408" s="14" t="e">
        <f>INDEX(Commerce_session1!A6:CX792,MATCH("M",Commerce_session1!A6:A792,0),64)</f>
        <v>#N/A</v>
      </c>
      <c r="J408" s="15" t="e">
        <f>INDEX(Commerce_session1!A6:CX792,MATCH("M",Commerce_session1!A6:A792,0),65)</f>
        <v>#N/A</v>
      </c>
      <c r="K408" s="510"/>
      <c r="L408" s="496"/>
      <c r="M408" s="497"/>
      <c r="N408" s="498" t="e">
        <f>INDEX(Commerce_session1!F182:DA224,MATCH("a",Commerce_session1!F182:F224,0),42)</f>
        <v>#N/A</v>
      </c>
      <c r="O408" s="487" t="e">
        <f>INDEX(Commerce_session1!G182:DA224,MATCH("a",Commerce_session1!G182:G224,0),42)</f>
        <v>#N/A</v>
      </c>
    </row>
    <row r="409" spans="1:15" ht="20.25" customHeight="1" thickBot="1">
      <c r="A409" s="517"/>
      <c r="B409" s="527"/>
      <c r="C409" s="524"/>
      <c r="D409" s="530"/>
      <c r="E409" s="451"/>
      <c r="F409" s="101" t="s">
        <v>103</v>
      </c>
      <c r="G409" s="118">
        <v>4</v>
      </c>
      <c r="H409" s="119">
        <v>1</v>
      </c>
      <c r="I409" s="127" t="e">
        <f>INDEX(Commerce_session1!A6:CX792,MATCH("M",Commerce_session1!A6:A792,0),68)</f>
        <v>#N/A</v>
      </c>
      <c r="J409" s="21" t="e">
        <f>INDEX(Commerce_session1!A6:CX792,MATCH("M",Commerce_session1!A6:A792,0),69)</f>
        <v>#N/A</v>
      </c>
      <c r="K409" s="511"/>
      <c r="L409" s="490"/>
      <c r="M409" s="491"/>
      <c r="N409" s="498" t="e">
        <f>INDEX(Commerce_session1!F183:DA224,MATCH("a",Commerce_session1!F183:F224,0),42)</f>
        <v>#N/A</v>
      </c>
      <c r="O409" s="487" t="e">
        <f>INDEX(Commerce_session1!G183:DA224,MATCH("a",Commerce_session1!G183:G224,0),42)</f>
        <v>#N/A</v>
      </c>
    </row>
    <row r="410" spans="1:15" ht="22.5" customHeight="1" thickTop="1" thickBot="1">
      <c r="A410" s="517"/>
      <c r="B410" s="531" t="s">
        <v>37</v>
      </c>
      <c r="C410" s="559" t="s">
        <v>87</v>
      </c>
      <c r="D410" s="532">
        <v>10</v>
      </c>
      <c r="E410" s="508">
        <v>4</v>
      </c>
      <c r="F410" s="128" t="s">
        <v>104</v>
      </c>
      <c r="G410" s="76">
        <v>5</v>
      </c>
      <c r="H410" s="77">
        <v>2</v>
      </c>
      <c r="I410" s="18" t="e">
        <f>INDEX(Commerce_session1!A6:CX792,MATCH("M",Commerce_session1!A6:A792,0),74)</f>
        <v>#N/A</v>
      </c>
      <c r="J410" s="19" t="e">
        <f>INDEX(Commerce_session1!A6:CX792,MATCH("M",Commerce_session1!A6:A792,0),75)</f>
        <v>#N/A</v>
      </c>
      <c r="K410" s="509" t="e">
        <f>INDEX(Commerce_session1!A6:CX792,MATCH("M",Commerce_session1!A6:A792,0),80)</f>
        <v>#N/A</v>
      </c>
      <c r="L410" s="488" t="e">
        <f>INDEX(Commerce_session1!A6:CX792,MATCH("M",Commerce_session1!A6:A792,0),81)</f>
        <v>#N/A</v>
      </c>
      <c r="M410" s="489"/>
      <c r="N410" s="498" t="e">
        <f>INDEX(Commerce_session1!E185:DA224,MATCH("a",Commerce_session1!E185:E224,0),43)</f>
        <v>#N/A</v>
      </c>
      <c r="O410" s="487" t="e">
        <f>INDEX(Commerce_session1!F185:DA224,MATCH("a",Commerce_session1!F185:F224,0),43)</f>
        <v>#N/A</v>
      </c>
    </row>
    <row r="411" spans="1:15" ht="18.75" customHeight="1" thickBot="1">
      <c r="A411" s="517"/>
      <c r="B411" s="527"/>
      <c r="C411" s="524"/>
      <c r="D411" s="530"/>
      <c r="E411" s="451"/>
      <c r="F411" s="98" t="s">
        <v>69</v>
      </c>
      <c r="G411" s="74">
        <v>5</v>
      </c>
      <c r="H411" s="75">
        <v>2</v>
      </c>
      <c r="I411" s="20" t="e">
        <f>INDEX(Commerce_session1!A6:CX792,MATCH("M",Commerce_session1!A6:A792,0),78)</f>
        <v>#N/A</v>
      </c>
      <c r="J411" s="17" t="e">
        <f>INDEX(Commerce_session1!A6:CX792,MATCH("M",Commerce_session1!A6:A792,0),79)</f>
        <v>#N/A</v>
      </c>
      <c r="K411" s="511"/>
      <c r="L411" s="490"/>
      <c r="M411" s="491"/>
      <c r="N411" s="498" t="e">
        <f>INDEX(Commerce_session1!F186:DA224,MATCH("a",Commerce_session1!F186:F224,0),42)</f>
        <v>#N/A</v>
      </c>
      <c r="O411" s="487" t="e">
        <f>INDEX(Commerce_session1!G186:DA224,MATCH("a",Commerce_session1!G186:G224,0),42)</f>
        <v>#N/A</v>
      </c>
    </row>
    <row r="412" spans="1:15" ht="18.75" customHeight="1" thickTop="1" thickBot="1">
      <c r="A412" s="517"/>
      <c r="B412" s="105" t="s">
        <v>38</v>
      </c>
      <c r="C412" s="104" t="s">
        <v>85</v>
      </c>
      <c r="D412" s="22">
        <v>3</v>
      </c>
      <c r="E412" s="23">
        <v>2</v>
      </c>
      <c r="F412" s="101" t="s">
        <v>74</v>
      </c>
      <c r="G412" s="74">
        <v>3</v>
      </c>
      <c r="H412" s="75">
        <v>2</v>
      </c>
      <c r="I412" s="20" t="e">
        <f>INDEX(Commerce_session1!A6:CX792,MATCH("M",Commerce_session1!A6:A792,0),84)</f>
        <v>#N/A</v>
      </c>
      <c r="J412" s="17" t="e">
        <f>INDEX(Commerce_session1!A6:CX792,MATCH("M",Commerce_session1!A6:A792,0),85)</f>
        <v>#N/A</v>
      </c>
      <c r="K412" s="123" t="e">
        <f>INDEX(Commerce_session1!A6:CX792,MATCH("M",Commerce_session1!A6:A792,0),86)</f>
        <v>#N/A</v>
      </c>
      <c r="L412" s="512" t="e">
        <f>INDEX(Commerce_session1!A6:CX792,MATCH("M",Commerce_session1!A6:A792,0),87)</f>
        <v>#N/A</v>
      </c>
      <c r="M412" s="513"/>
      <c r="N412" s="498" t="e">
        <f>INDEX(Commerce_session1!F188:DA224,MATCH("a",Commerce_session1!F188:F224,0),42)</f>
        <v>#N/A</v>
      </c>
      <c r="O412" s="487" t="e">
        <f>INDEX(Commerce_session1!G188:DA224,MATCH("a",Commerce_session1!G188:G224,0),42)</f>
        <v>#N/A</v>
      </c>
    </row>
    <row r="413" spans="1:15" ht="20.25" customHeight="1" thickTop="1" thickBot="1">
      <c r="A413" s="518"/>
      <c r="B413" s="105" t="s">
        <v>39</v>
      </c>
      <c r="C413" s="104" t="s">
        <v>86</v>
      </c>
      <c r="D413" s="22">
        <v>1</v>
      </c>
      <c r="E413" s="23">
        <v>1</v>
      </c>
      <c r="F413" s="103" t="s">
        <v>73</v>
      </c>
      <c r="G413" s="82">
        <v>1</v>
      </c>
      <c r="H413" s="83">
        <v>1</v>
      </c>
      <c r="I413" s="25" t="e">
        <f>INDEX(Commerce_session1!A6:CX792,MATCH("M",Commerce_session1!A6:A792,0),89)</f>
        <v>#N/A</v>
      </c>
      <c r="J413" s="26" t="e">
        <f>INDEX(Commerce_session1!A6:CX792,MATCH("M",Commerce_session1!A6:A792,0),90)</f>
        <v>#N/A</v>
      </c>
      <c r="K413" s="27" t="e">
        <f>INDEX(Commerce_session1!A6:CX792,MATCH("M",Commerce_session1!A6:A792,0),91)</f>
        <v>#N/A</v>
      </c>
      <c r="L413" s="514" t="e">
        <f>INDEX(Commerce_session1!A6:CX792,MATCH("M",Commerce_session1!A6:A792,0),92)</f>
        <v>#N/A</v>
      </c>
      <c r="M413" s="515" t="e">
        <f>INDEX(Commerce_session1!D182:CZ224,MATCH("a",Commerce_session1!D182:D224,0),61)</f>
        <v>#N/A</v>
      </c>
      <c r="N413" s="498" t="e">
        <f>INDEX(Commerce_session1!F189:DA224,MATCH("a",Commerce_session1!F189:F224,0),42)</f>
        <v>#N/A</v>
      </c>
      <c r="O413" s="487" t="e">
        <f>INDEX(Commerce_session1!G189:DA224,MATCH("a",Commerce_session1!G189:G224,0),42)</f>
        <v>#N/A</v>
      </c>
    </row>
    <row r="414" spans="1:15" ht="20.25">
      <c r="A414" s="535" t="s">
        <v>40</v>
      </c>
      <c r="B414" s="536"/>
      <c r="C414" s="537"/>
      <c r="D414" s="121" t="e">
        <f>INDEX(Commerce_session1!A6:CX792,MATCH("M",Commerce_session1!A6:A792,0),99)</f>
        <v>#N/A</v>
      </c>
      <c r="E414" s="538" t="s">
        <v>41</v>
      </c>
      <c r="F414" s="540"/>
      <c r="G414" s="120" t="e">
        <f>INDEX(Commerce_session1!A6:CX792,MATCH("M",Commerce_session1!A6:A792,0),100)</f>
        <v>#N/A</v>
      </c>
      <c r="H414" s="538" t="s">
        <v>91</v>
      </c>
      <c r="I414" s="539"/>
      <c r="J414" s="539"/>
      <c r="K414" s="540"/>
      <c r="L414" s="541" t="e">
        <f>INDEX(Commerce_session1!A6:CX792,MATCH("M",Commerce_session1!A6:A792,0),101)</f>
        <v>#N/A</v>
      </c>
      <c r="M414" s="542"/>
      <c r="N414" s="8"/>
      <c r="O414" s="8"/>
    </row>
    <row r="415" spans="1:15" ht="22.5">
      <c r="A415" s="546" t="s">
        <v>42</v>
      </c>
      <c r="B415" s="547"/>
      <c r="C415" s="548"/>
      <c r="D415" s="543" t="e">
        <f>INDEX(Commerce_session1!A6:CX792,MATCH("M",Commerce_session1!A6:A792,0),102)</f>
        <v>#N/A</v>
      </c>
      <c r="E415" s="544"/>
      <c r="F415" s="545"/>
      <c r="G415" s="108"/>
      <c r="H415" s="109"/>
      <c r="I415" s="110"/>
      <c r="J415" s="111"/>
      <c r="K415" s="110"/>
      <c r="L415" s="110"/>
      <c r="M415" s="110"/>
      <c r="N415" s="112" t="s">
        <v>43</v>
      </c>
      <c r="O415" s="28">
        <f ca="1">TODAY()</f>
        <v>43626</v>
      </c>
    </row>
    <row r="416" spans="1:15" ht="32.25" customHeight="1">
      <c r="A416" s="113" t="s">
        <v>44</v>
      </c>
      <c r="B416" s="29"/>
      <c r="C416" s="29"/>
      <c r="D416" s="533"/>
      <c r="E416" s="533"/>
      <c r="F416" s="30"/>
      <c r="G416" s="4"/>
      <c r="J416" s="4"/>
      <c r="L416" s="534" t="s">
        <v>46</v>
      </c>
      <c r="M416" s="534"/>
      <c r="N416" s="534"/>
    </row>
    <row r="417" spans="1:18" ht="23.25" customHeight="1" thickBot="1">
      <c r="A417" s="84" t="s">
        <v>12</v>
      </c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445" t="s">
        <v>13</v>
      </c>
      <c r="M417" s="445"/>
      <c r="N417" s="445"/>
      <c r="O417" s="445"/>
      <c r="P417" s="2"/>
      <c r="Q417" s="2"/>
      <c r="R417" s="2"/>
    </row>
    <row r="418" spans="1:18" ht="15.75">
      <c r="A418" s="446" t="s">
        <v>14</v>
      </c>
      <c r="B418" s="446"/>
      <c r="C418" s="446"/>
      <c r="D418" s="446"/>
      <c r="E418" s="446"/>
      <c r="F418" s="3"/>
      <c r="H418" s="4"/>
      <c r="K418" s="4"/>
      <c r="L418" s="4"/>
    </row>
    <row r="419" spans="1:18" ht="15.75">
      <c r="A419" s="85" t="s">
        <v>15</v>
      </c>
      <c r="B419" s="85"/>
      <c r="C419" s="85"/>
      <c r="D419" s="85"/>
      <c r="E419" s="85"/>
      <c r="F419" s="5"/>
      <c r="H419" s="4"/>
      <c r="K419" s="4"/>
      <c r="L419" s="4"/>
      <c r="P419" s="6"/>
    </row>
    <row r="420" spans="1:18" ht="15.75">
      <c r="A420" s="85" t="s">
        <v>100</v>
      </c>
      <c r="B420" s="85"/>
      <c r="C420" s="85"/>
      <c r="D420" s="85"/>
      <c r="E420" s="85"/>
      <c r="F420" s="3"/>
      <c r="H420" s="4"/>
      <c r="K420" s="4"/>
      <c r="L420" s="4"/>
    </row>
    <row r="421" spans="1:18" s="8" customFormat="1" ht="27" customHeight="1">
      <c r="A421" s="7"/>
      <c r="B421" s="7"/>
      <c r="C421" s="7"/>
      <c r="D421" s="447" t="s">
        <v>94</v>
      </c>
      <c r="E421" s="447"/>
      <c r="F421" s="447"/>
      <c r="G421" s="447"/>
      <c r="H421" s="447"/>
      <c r="I421" s="447"/>
      <c r="J421" s="447"/>
      <c r="K421" s="447"/>
      <c r="L421" s="447"/>
      <c r="M421" s="7"/>
      <c r="N421" s="7"/>
      <c r="O421" s="7"/>
    </row>
    <row r="422" spans="1:18" ht="23.25" customHeight="1">
      <c r="A422" s="126" t="s">
        <v>101</v>
      </c>
      <c r="B422" s="126"/>
      <c r="C422" s="126"/>
      <c r="D422" s="126"/>
      <c r="E422" s="126"/>
      <c r="F422" s="126"/>
      <c r="G422" s="122"/>
      <c r="H422" s="122"/>
      <c r="I422" s="122" t="e">
        <f>IF(D447="ناجح(ة) دورة1","-الدورة الأولى-","-الدورة الثانية-")</f>
        <v>#N/A</v>
      </c>
      <c r="J422" s="124" t="s">
        <v>48</v>
      </c>
      <c r="K422" s="124"/>
      <c r="L422" s="87"/>
      <c r="M422" s="88"/>
      <c r="N422" s="89"/>
      <c r="O422" s="9"/>
    </row>
    <row r="423" spans="1:18" ht="20.25" customHeight="1">
      <c r="A423" s="476" t="s">
        <v>93</v>
      </c>
      <c r="B423" s="476"/>
      <c r="C423" s="90" t="e">
        <f>INDEX(Commerce_session1!A6:CX792,MATCH("N",Commerce_session1!A6:A792,0),3)</f>
        <v>#N/A</v>
      </c>
      <c r="D423" s="91" t="s">
        <v>92</v>
      </c>
      <c r="E423" s="448" t="e">
        <f>INDEX(Commerce_session1!A6:CX792,MATCH("N",Commerce_session1!A6:A792,0),4)</f>
        <v>#N/A</v>
      </c>
      <c r="F423" s="448" t="e">
        <f>INDEX(Commerce_session1!D214:DA508,MATCH("a",Commerce_session1!D214:D508,0),3)</f>
        <v>#N/A</v>
      </c>
      <c r="G423" s="477" t="s">
        <v>16</v>
      </c>
      <c r="H423" s="477"/>
      <c r="I423" s="477"/>
      <c r="J423" s="478" t="e">
        <f>INDEX(Commerce_session1!A6:CX792,MATCH("N",Commerce_session1!A6:A792,0),6)</f>
        <v>#N/A</v>
      </c>
      <c r="K423" s="478"/>
      <c r="L423" s="88"/>
      <c r="M423" s="92" t="s">
        <v>17</v>
      </c>
      <c r="N423" s="90" t="e">
        <f>INDEX(Commerce_session1!A6:CX792,MATCH("N",Commerce_session1!A6:A792,0),7)</f>
        <v>#N/A</v>
      </c>
      <c r="O423" s="10"/>
    </row>
    <row r="424" spans="1:18" ht="20.25" customHeight="1">
      <c r="A424" s="476" t="s">
        <v>18</v>
      </c>
      <c r="B424" s="476"/>
      <c r="C424" s="448" t="e">
        <f>INDEX(Commerce_session1!A6:CX792,MATCH("N",Commerce_session1!A6:A792,0),5)</f>
        <v>#N/A</v>
      </c>
      <c r="D424" s="448"/>
      <c r="E424" s="91"/>
      <c r="F424" s="88"/>
      <c r="G424" s="93"/>
      <c r="H424" s="88"/>
      <c r="I424" s="88"/>
      <c r="J424" s="93"/>
      <c r="K424" s="88"/>
      <c r="L424" s="88"/>
      <c r="M424" s="88"/>
      <c r="N424" s="88"/>
      <c r="O424" s="10"/>
    </row>
    <row r="425" spans="1:18" ht="20.25" customHeight="1">
      <c r="A425" s="476" t="s">
        <v>102</v>
      </c>
      <c r="B425" s="476"/>
      <c r="C425" s="476"/>
      <c r="D425" s="476"/>
      <c r="E425" s="476"/>
      <c r="F425" s="476"/>
      <c r="G425" s="476"/>
      <c r="H425" s="476"/>
      <c r="I425" s="476"/>
      <c r="J425" s="476"/>
      <c r="K425" s="476"/>
      <c r="L425" s="476"/>
      <c r="M425" s="476"/>
      <c r="N425" s="476"/>
      <c r="O425" s="476"/>
    </row>
    <row r="426" spans="1:18" ht="20.25" customHeight="1" thickBot="1">
      <c r="A426" s="459" t="s">
        <v>19</v>
      </c>
      <c r="B426" s="459"/>
      <c r="C426" s="459"/>
      <c r="D426" s="459"/>
      <c r="E426" s="459"/>
      <c r="F426" s="459"/>
      <c r="G426" s="459"/>
      <c r="H426" s="94"/>
      <c r="I426" s="94"/>
      <c r="J426" s="95"/>
      <c r="K426" s="94"/>
      <c r="L426" s="94"/>
      <c r="M426" s="94"/>
      <c r="N426" s="94"/>
      <c r="O426" s="11"/>
    </row>
    <row r="427" spans="1:18" ht="18.75" thickBot="1">
      <c r="A427" s="460" t="s">
        <v>20</v>
      </c>
      <c r="B427" s="463" t="s">
        <v>21</v>
      </c>
      <c r="C427" s="464"/>
      <c r="D427" s="464"/>
      <c r="E427" s="464"/>
      <c r="F427" s="464" t="s">
        <v>22</v>
      </c>
      <c r="G427" s="464"/>
      <c r="H427" s="464"/>
      <c r="I427" s="465" t="s">
        <v>23</v>
      </c>
      <c r="J427" s="466"/>
      <c r="K427" s="466"/>
      <c r="L427" s="466"/>
      <c r="M427" s="466"/>
      <c r="N427" s="466"/>
      <c r="O427" s="467"/>
    </row>
    <row r="428" spans="1:18">
      <c r="A428" s="461"/>
      <c r="B428" s="468" t="s">
        <v>24</v>
      </c>
      <c r="C428" s="470" t="s">
        <v>25</v>
      </c>
      <c r="D428" s="472" t="s">
        <v>26</v>
      </c>
      <c r="E428" s="474" t="s">
        <v>27</v>
      </c>
      <c r="F428" s="479" t="s">
        <v>28</v>
      </c>
      <c r="G428" s="468" t="s">
        <v>11</v>
      </c>
      <c r="H428" s="481" t="s">
        <v>27</v>
      </c>
      <c r="I428" s="482" t="s">
        <v>29</v>
      </c>
      <c r="J428" s="483"/>
      <c r="K428" s="484" t="s">
        <v>30</v>
      </c>
      <c r="L428" s="485"/>
      <c r="M428" s="486"/>
      <c r="N428" s="455" t="s">
        <v>20</v>
      </c>
      <c r="O428" s="456"/>
    </row>
    <row r="429" spans="1:18" ht="15.75" thickBot="1">
      <c r="A429" s="462"/>
      <c r="B429" s="469"/>
      <c r="C429" s="471"/>
      <c r="D429" s="473"/>
      <c r="E429" s="475"/>
      <c r="F429" s="480"/>
      <c r="G429" s="469"/>
      <c r="H429" s="473"/>
      <c r="I429" s="106" t="s">
        <v>10</v>
      </c>
      <c r="J429" s="106" t="s">
        <v>31</v>
      </c>
      <c r="K429" s="106" t="s">
        <v>32</v>
      </c>
      <c r="L429" s="457" t="s">
        <v>33</v>
      </c>
      <c r="M429" s="458"/>
      <c r="N429" s="106" t="s">
        <v>34</v>
      </c>
      <c r="O429" s="107" t="s">
        <v>35</v>
      </c>
    </row>
    <row r="430" spans="1:18" ht="18.75" customHeight="1" thickBot="1">
      <c r="A430" s="549" t="s">
        <v>76</v>
      </c>
      <c r="B430" s="552" t="s">
        <v>36</v>
      </c>
      <c r="C430" s="555" t="s">
        <v>90</v>
      </c>
      <c r="D430" s="556">
        <v>17</v>
      </c>
      <c r="E430" s="449">
        <v>6</v>
      </c>
      <c r="F430" s="96" t="s">
        <v>54</v>
      </c>
      <c r="G430" s="70">
        <v>5</v>
      </c>
      <c r="H430" s="71">
        <v>2</v>
      </c>
      <c r="I430" s="12" t="e">
        <f>INDEX(Commerce_session1!A6:CX792,MATCH("N",Commerce_session1!A6:A792,0),16)</f>
        <v>#N/A</v>
      </c>
      <c r="J430" s="13" t="e">
        <f>INDEX(Commerce_session1!A6:CX792,MATCH("N",Commerce_session1!A6:A792,0),17)</f>
        <v>#N/A</v>
      </c>
      <c r="K430" s="452" t="e">
        <f>INDEX(Commerce_session1!A6:CX792,MATCH("N",Commerce_session1!A6:A792,0),26)</f>
        <v>#N/A</v>
      </c>
      <c r="L430" s="494" t="e">
        <f>INDEX(Commerce_session1!A6:CX792,MATCH("N",Commerce_session1!A6:A792,0),27)</f>
        <v>#N/A</v>
      </c>
      <c r="M430" s="495" t="e">
        <f>INDEX(Commerce_session1!D214:CZ256,MATCH("a",Commerce_session1!D214:D256,0),15)</f>
        <v>#N/A</v>
      </c>
      <c r="N430" s="498" t="e">
        <f>INDEX(Commerce_session1!A6:CX792,MATCH("N",Commerce_session1!A6:A792,0),95)</f>
        <v>#N/A</v>
      </c>
      <c r="O430" s="487" t="e">
        <f>INDEX(Commerce_session1!A6:CX792,MATCH("N",Commerce_session1!A6:A792,0),96)</f>
        <v>#N/A</v>
      </c>
    </row>
    <row r="431" spans="1:18" ht="18.75" customHeight="1" thickBot="1">
      <c r="A431" s="550"/>
      <c r="B431" s="553"/>
      <c r="C431" s="503"/>
      <c r="D431" s="557"/>
      <c r="E431" s="450"/>
      <c r="F431" s="97" t="s">
        <v>55</v>
      </c>
      <c r="G431" s="72">
        <v>6</v>
      </c>
      <c r="H431" s="73">
        <v>2</v>
      </c>
      <c r="I431" s="14" t="e">
        <f>INDEX(Commerce_session1!A6:CX792,MATCH("N",Commerce_session1!A6:A792,0),20)</f>
        <v>#N/A</v>
      </c>
      <c r="J431" s="15" t="e">
        <f>INDEX(Commerce_session1!A6:CX792,MATCH("N",Commerce_session1!A6:A792,0),21)</f>
        <v>#N/A</v>
      </c>
      <c r="K431" s="453" t="e">
        <f>INDEX(Commerce_session1!B214:CY256,MATCH("a",Commerce_session1!B214:B256,0),14)</f>
        <v>#N/A</v>
      </c>
      <c r="L431" s="496" t="e">
        <f>INDEX(Commerce_session1!D214:CZ256,MATCH("a",Commerce_session1!D214:D256,0),14)</f>
        <v>#N/A</v>
      </c>
      <c r="M431" s="497" t="e">
        <f>INDEX(Commerce_session1!E214:DA256,MATCH("a",Commerce_session1!E214:E256,0),14)</f>
        <v>#N/A</v>
      </c>
      <c r="N431" s="498" t="e">
        <f>INDEX(Commerce_session1!#REF!,MATCH("a",Commerce_session1!#REF!,0),62)</f>
        <v>#REF!</v>
      </c>
      <c r="O431" s="487" t="e">
        <f>INDEX(Commerce_session1!#REF!,MATCH("a",Commerce_session1!#REF!,0),62)</f>
        <v>#REF!</v>
      </c>
    </row>
    <row r="432" spans="1:18" ht="18.75" customHeight="1" thickBot="1">
      <c r="A432" s="550"/>
      <c r="B432" s="554"/>
      <c r="C432" s="504"/>
      <c r="D432" s="558"/>
      <c r="E432" s="451"/>
      <c r="F432" s="98" t="s">
        <v>56</v>
      </c>
      <c r="G432" s="74">
        <v>6</v>
      </c>
      <c r="H432" s="75">
        <v>2</v>
      </c>
      <c r="I432" s="16" t="e">
        <f>INDEX(Commerce_session1!A6:CX792,MATCH("N",Commerce_session1!A6:A792,0),24)</f>
        <v>#N/A</v>
      </c>
      <c r="J432" s="17" t="e">
        <f>INDEX(Commerce_session1!A6:CX792,MATCH("N",Commerce_session1!A6:A792,0),25)</f>
        <v>#N/A</v>
      </c>
      <c r="K432" s="454" t="e">
        <f>INDEX(Commerce_session1!B216:CY256,MATCH("a",Commerce_session1!B216:B256,0),14)</f>
        <v>#N/A</v>
      </c>
      <c r="L432" s="490" t="e">
        <f>INDEX(Commerce_session1!D216:CZ256,MATCH("a",Commerce_session1!D216:D256,0),14)</f>
        <v>#N/A</v>
      </c>
      <c r="M432" s="491" t="e">
        <f>INDEX(Commerce_session1!E216:DA256,MATCH("a",Commerce_session1!E216:E256,0),14)</f>
        <v>#N/A</v>
      </c>
      <c r="N432" s="498" t="e">
        <f>INDEX(Commerce_session1!#REF!,MATCH("a",Commerce_session1!#REF!,0),62)</f>
        <v>#REF!</v>
      </c>
      <c r="O432" s="487" t="e">
        <f>INDEX(Commerce_session1!#REF!,MATCH("a",Commerce_session1!#REF!,0),62)</f>
        <v>#REF!</v>
      </c>
    </row>
    <row r="433" spans="1:15" ht="19.5" customHeight="1" thickTop="1" thickBot="1">
      <c r="A433" s="550"/>
      <c r="B433" s="499" t="s">
        <v>37</v>
      </c>
      <c r="C433" s="502" t="s">
        <v>89</v>
      </c>
      <c r="D433" s="505">
        <v>7</v>
      </c>
      <c r="E433" s="508">
        <v>5</v>
      </c>
      <c r="F433" s="99" t="s">
        <v>83</v>
      </c>
      <c r="G433" s="76">
        <v>1</v>
      </c>
      <c r="H433" s="77">
        <v>1</v>
      </c>
      <c r="I433" s="18" t="e">
        <f>INDEX(Commerce_session1!A6:CX792,MATCH("N",Commerce_session1!A6:A792,0),29)</f>
        <v>#N/A</v>
      </c>
      <c r="J433" s="19" t="e">
        <f>INDEX(Commerce_session1!A6:CX792,MATCH("N",Commerce_session1!A6:A792,0),30)</f>
        <v>#N/A</v>
      </c>
      <c r="K433" s="509" t="e">
        <f>INDEX(Commerce_session1!A6:CX792,MATCH("N",Commerce_session1!A6:A792,0),39)</f>
        <v>#N/A</v>
      </c>
      <c r="L433" s="488" t="e">
        <f>INDEX(Commerce_session1!A6:CX792,MATCH("N",Commerce_session1!A6:A792,0),40)</f>
        <v>#N/A</v>
      </c>
      <c r="M433" s="489" t="e">
        <f>INDEX(Commerce_session1!D214:CZ256,MATCH("a",Commerce_session1!D214:D256,0),23)</f>
        <v>#N/A</v>
      </c>
      <c r="N433" s="498" t="e">
        <f>INDEX(Commerce_session1!#REF!,MATCH("a",Commerce_session1!#REF!,0),62)</f>
        <v>#REF!</v>
      </c>
      <c r="O433" s="487" t="e">
        <f>INDEX(Commerce_session1!#REF!,MATCH("a",Commerce_session1!#REF!,0),62)</f>
        <v>#REF!</v>
      </c>
    </row>
    <row r="434" spans="1:15" ht="18.75" customHeight="1" thickTop="1" thickBot="1">
      <c r="A434" s="550"/>
      <c r="B434" s="500"/>
      <c r="C434" s="503"/>
      <c r="D434" s="506"/>
      <c r="E434" s="450"/>
      <c r="F434" s="100" t="s">
        <v>99</v>
      </c>
      <c r="G434" s="78">
        <v>3</v>
      </c>
      <c r="H434" s="79">
        <v>2</v>
      </c>
      <c r="I434" s="18" t="e">
        <f>INDEX(Commerce_session1!A6:CX792,MATCH("N",Commerce_session1!A6:A792,0),33)</f>
        <v>#N/A</v>
      </c>
      <c r="J434" s="15" t="e">
        <f>INDEX(Commerce_session1!A6:CX792,MATCH("N",Commerce_session1!A6:A792,0),34)</f>
        <v>#N/A</v>
      </c>
      <c r="K434" s="510" t="e">
        <f>INDEX(Commerce_session1!B213:CY256,MATCH("a",Commerce_session1!B213:B256,0),22)</f>
        <v>#N/A</v>
      </c>
      <c r="L434" s="496" t="e">
        <f>INDEX(Commerce_session1!D213:CZ256,MATCH("a",Commerce_session1!D213:D256,0),22)</f>
        <v>#N/A</v>
      </c>
      <c r="M434" s="497" t="e">
        <f>INDEX(Commerce_session1!E213:DA256,MATCH("a",Commerce_session1!E213:E256,0),22)</f>
        <v>#N/A</v>
      </c>
      <c r="N434" s="498" t="e">
        <f>INDEX(Commerce_session1!#REF!,MATCH("a",Commerce_session1!#REF!,0),62)</f>
        <v>#REF!</v>
      </c>
      <c r="O434" s="487" t="e">
        <f>INDEX(Commerce_session1!#REF!,MATCH("a",Commerce_session1!#REF!,0),62)</f>
        <v>#REF!</v>
      </c>
    </row>
    <row r="435" spans="1:15" ht="18.75" customHeight="1" thickBot="1">
      <c r="A435" s="550"/>
      <c r="B435" s="501"/>
      <c r="C435" s="504"/>
      <c r="D435" s="507"/>
      <c r="E435" s="451"/>
      <c r="F435" s="101" t="s">
        <v>84</v>
      </c>
      <c r="G435" s="80">
        <v>3</v>
      </c>
      <c r="H435" s="81">
        <v>2</v>
      </c>
      <c r="I435" s="20" t="e">
        <f>INDEX(Commerce_session1!A6:CX792,MATCH("N",Commerce_session1!A6:A792,0),37)</f>
        <v>#N/A</v>
      </c>
      <c r="J435" s="17" t="e">
        <f>INDEX(Commerce_session1!A6:CX792,MATCH("N",Commerce_session1!A6:A792,0),38)</f>
        <v>#N/A</v>
      </c>
      <c r="K435" s="511" t="e">
        <f>INDEX(Commerce_session1!B214:CY256,MATCH("a",Commerce_session1!B214:B256,0),22)</f>
        <v>#N/A</v>
      </c>
      <c r="L435" s="490" t="e">
        <f>INDEX(Commerce_session1!D214:CZ256,MATCH("a",Commerce_session1!D214:D256,0),22)</f>
        <v>#N/A</v>
      </c>
      <c r="M435" s="491" t="e">
        <f>INDEX(Commerce_session1!E214:DA256,MATCH("a",Commerce_session1!E214:E256,0),22)</f>
        <v>#N/A</v>
      </c>
      <c r="N435" s="498" t="e">
        <f>INDEX(Commerce_session1!#REF!,MATCH("a",Commerce_session1!#REF!,0),62)</f>
        <v>#REF!</v>
      </c>
      <c r="O435" s="487" t="e">
        <f>INDEX(Commerce_session1!#REF!,MATCH("a",Commerce_session1!#REF!,0),62)</f>
        <v>#REF!</v>
      </c>
    </row>
    <row r="436" spans="1:15" ht="33.75" customHeight="1" thickTop="1" thickBot="1">
      <c r="A436" s="550"/>
      <c r="B436" s="531" t="s">
        <v>38</v>
      </c>
      <c r="C436" s="559" t="s">
        <v>50</v>
      </c>
      <c r="D436" s="520">
        <v>5</v>
      </c>
      <c r="E436" s="508">
        <v>2</v>
      </c>
      <c r="F436" s="102" t="s">
        <v>63</v>
      </c>
      <c r="G436" s="68">
        <v>4</v>
      </c>
      <c r="H436" s="69">
        <v>1</v>
      </c>
      <c r="I436" s="18" t="e">
        <f>INDEX(Commerce_session1!A6:CX792,MATCH("N",Commerce_session1!A6:A792,0),43)</f>
        <v>#N/A</v>
      </c>
      <c r="J436" s="19" t="e">
        <f>INDEX(Commerce_session1!A6:CX792,MATCH("N",Commerce_session1!A6:A792,0),44)</f>
        <v>#N/A</v>
      </c>
      <c r="K436" s="509" t="e">
        <f>INDEX(Commerce_session1!A6:CX792,MATCH("N",Commerce_session1!A6:A792,0),48)</f>
        <v>#N/A</v>
      </c>
      <c r="L436" s="488" t="e">
        <f>INDEX(Commerce_session1!A6:CX792,MATCH("N",Commerce_session1!A6:A792,0),49)</f>
        <v>#N/A</v>
      </c>
      <c r="M436" s="489" t="e">
        <f>INDEX(Commerce_session1!D214:CZ256,MATCH("a",Commerce_session1!D214:D256,0),29)</f>
        <v>#N/A</v>
      </c>
      <c r="N436" s="498" t="e">
        <f>INDEX(Commerce_session1!#REF!,MATCH("a",Commerce_session1!#REF!,0),62)</f>
        <v>#REF!</v>
      </c>
      <c r="O436" s="487" t="e">
        <f>INDEX(Commerce_session1!#REF!,MATCH("a",Commerce_session1!#REF!,0),62)</f>
        <v>#REF!</v>
      </c>
    </row>
    <row r="437" spans="1:15" ht="18.75" customHeight="1" thickBot="1">
      <c r="A437" s="550"/>
      <c r="B437" s="527"/>
      <c r="C437" s="524"/>
      <c r="D437" s="521"/>
      <c r="E437" s="451"/>
      <c r="F437" s="101" t="s">
        <v>62</v>
      </c>
      <c r="G437" s="80">
        <v>1</v>
      </c>
      <c r="H437" s="81">
        <v>1</v>
      </c>
      <c r="I437" s="16" t="e">
        <f>INDEX(Commerce_session1!A6:CX792,MATCH("N",Commerce_session1!A6:A792,0),46)</f>
        <v>#N/A</v>
      </c>
      <c r="J437" s="21" t="e">
        <f>INDEX(Commerce_session1!A6:CX792,MATCH("N",Commerce_session1!A6:A792,0),47)</f>
        <v>#N/A</v>
      </c>
      <c r="K437" s="511" t="e">
        <f>INDEX(Commerce_session1!B214:CY256,MATCH("a",Commerce_session1!B214:B256,0),28)</f>
        <v>#N/A</v>
      </c>
      <c r="L437" s="490" t="e">
        <f>INDEX(Commerce_session1!D214:CZ256,MATCH("a",Commerce_session1!D214:D256,0),28)</f>
        <v>#N/A</v>
      </c>
      <c r="M437" s="491" t="e">
        <f>INDEX(Commerce_session1!E214:DA256,MATCH("a",Commerce_session1!E214:E256,0),28)</f>
        <v>#N/A</v>
      </c>
      <c r="N437" s="498" t="e">
        <f>INDEX(Commerce_session1!#REF!,MATCH("a",Commerce_session1!#REF!,0),62)</f>
        <v>#REF!</v>
      </c>
      <c r="O437" s="487" t="e">
        <f>INDEX(Commerce_session1!#REF!,MATCH("a",Commerce_session1!#REF!,0),62)</f>
        <v>#REF!</v>
      </c>
    </row>
    <row r="438" spans="1:15" ht="20.25" customHeight="1" thickTop="1" thickBot="1">
      <c r="A438" s="551"/>
      <c r="B438" s="105" t="s">
        <v>39</v>
      </c>
      <c r="C438" s="104" t="s">
        <v>51</v>
      </c>
      <c r="D438" s="22">
        <v>1</v>
      </c>
      <c r="E438" s="23">
        <v>1</v>
      </c>
      <c r="F438" s="103" t="s">
        <v>64</v>
      </c>
      <c r="G438" s="82">
        <v>1</v>
      </c>
      <c r="H438" s="83">
        <v>1</v>
      </c>
      <c r="I438" s="20" t="e">
        <f>INDEX(Commerce_session1!A6:CX792,MATCH("N",Commerce_session1!A6:A792,0),52)</f>
        <v>#N/A</v>
      </c>
      <c r="J438" s="24" t="e">
        <f>INDEX(Commerce_session1!A6:CX792,MATCH("N",Commerce_session1!A6:A792,0),53)</f>
        <v>#N/A</v>
      </c>
      <c r="K438" s="36" t="e">
        <f>INDEX(Commerce_session1!A6:CX792,MATCH("N",Commerce_session1!A6:A792,0),54)</f>
        <v>#N/A</v>
      </c>
      <c r="L438" s="492" t="e">
        <f>INDEX(Commerce_session1!A6:CX792,MATCH("N",Commerce_session1!A6:A792,0),55)</f>
        <v>#N/A</v>
      </c>
      <c r="M438" s="493" t="e">
        <f>INDEX(Commerce_session1!D214:CZ256,MATCH("a",Commerce_session1!D214:D256,0),33)</f>
        <v>#N/A</v>
      </c>
      <c r="N438" s="498" t="e">
        <f>INDEX(Commerce_session1!#REF!,MATCH("a",Commerce_session1!#REF!,0),62)</f>
        <v>#REF!</v>
      </c>
      <c r="O438" s="487" t="e">
        <f>INDEX(Commerce_session1!#REF!,MATCH("a",Commerce_session1!#REF!,0),62)</f>
        <v>#REF!</v>
      </c>
    </row>
    <row r="439" spans="1:15" ht="19.5" customHeight="1" thickTop="1" thickBot="1">
      <c r="A439" s="516" t="s">
        <v>77</v>
      </c>
      <c r="B439" s="525" t="s">
        <v>36</v>
      </c>
      <c r="C439" s="522" t="s">
        <v>88</v>
      </c>
      <c r="D439" s="528">
        <v>16</v>
      </c>
      <c r="E439" s="449">
        <v>5</v>
      </c>
      <c r="F439" s="96" t="s">
        <v>67</v>
      </c>
      <c r="G439" s="114">
        <v>6</v>
      </c>
      <c r="H439" s="115">
        <v>2</v>
      </c>
      <c r="I439" s="18" t="e">
        <f>INDEX(Commerce_session1!A6:CX792,MATCH("N",Commerce_session1!A6:A792,0),60)</f>
        <v>#N/A</v>
      </c>
      <c r="J439" s="19" t="e">
        <f>INDEX(Commerce_session1!A6:CX792,MATCH("N",Commerce_session1!A6:A792,0),61)</f>
        <v>#N/A</v>
      </c>
      <c r="K439" s="519" t="e">
        <f>INDEX(Commerce_session1!A6:CX792,MATCH("N",Commerce_session1!A6:A792,0),70)</f>
        <v>#N/A</v>
      </c>
      <c r="L439" s="494" t="e">
        <f>INDEX(Commerce_session1!A6:CX792,MATCH("N",Commerce_session1!A6:A792,0),71)</f>
        <v>#N/A</v>
      </c>
      <c r="M439" s="495"/>
      <c r="N439" s="498" t="e">
        <f>INDEX(Commerce_session1!A6:CX792,MATCH("N",Commerce_session1!A6:A792,0),97)</f>
        <v>#N/A</v>
      </c>
      <c r="O439" s="487" t="e">
        <f>INDEX(Commerce_session1!A6:CX792,MATCH("N",Commerce_session1!A6:A792,0),98)</f>
        <v>#N/A</v>
      </c>
    </row>
    <row r="440" spans="1:15" ht="18.75" customHeight="1" thickBot="1">
      <c r="A440" s="517"/>
      <c r="B440" s="526"/>
      <c r="C440" s="523"/>
      <c r="D440" s="529"/>
      <c r="E440" s="450"/>
      <c r="F440" s="100" t="s">
        <v>68</v>
      </c>
      <c r="G440" s="116">
        <v>6</v>
      </c>
      <c r="H440" s="117">
        <v>2</v>
      </c>
      <c r="I440" s="14" t="e">
        <f>INDEX(Commerce_session1!A6:CX792,MATCH("N",Commerce_session1!A6:A792,0),64)</f>
        <v>#N/A</v>
      </c>
      <c r="J440" s="15" t="e">
        <f>INDEX(Commerce_session1!A6:CX792,MATCH("N",Commerce_session1!A6:A792,0),65)</f>
        <v>#N/A</v>
      </c>
      <c r="K440" s="510"/>
      <c r="L440" s="496"/>
      <c r="M440" s="497"/>
      <c r="N440" s="498" t="e">
        <f>INDEX(Commerce_session1!F214:DA256,MATCH("a",Commerce_session1!F214:F256,0),42)</f>
        <v>#N/A</v>
      </c>
      <c r="O440" s="487" t="e">
        <f>INDEX(Commerce_session1!G214:DA256,MATCH("a",Commerce_session1!G214:G256,0),42)</f>
        <v>#N/A</v>
      </c>
    </row>
    <row r="441" spans="1:15" ht="20.25" customHeight="1" thickBot="1">
      <c r="A441" s="517"/>
      <c r="B441" s="527"/>
      <c r="C441" s="524"/>
      <c r="D441" s="530"/>
      <c r="E441" s="451"/>
      <c r="F441" s="101" t="s">
        <v>103</v>
      </c>
      <c r="G441" s="118">
        <v>4</v>
      </c>
      <c r="H441" s="119">
        <v>1</v>
      </c>
      <c r="I441" s="127" t="e">
        <f>INDEX(Commerce_session1!A6:CX792,MATCH("N",Commerce_session1!A6:A792,0),68)</f>
        <v>#N/A</v>
      </c>
      <c r="J441" s="21" t="e">
        <f>INDEX(Commerce_session1!A6:CX792,MATCH("N",Commerce_session1!A6:A792,0),69)</f>
        <v>#N/A</v>
      </c>
      <c r="K441" s="511"/>
      <c r="L441" s="490"/>
      <c r="M441" s="491"/>
      <c r="N441" s="498" t="e">
        <f>INDEX(Commerce_session1!F215:DA256,MATCH("a",Commerce_session1!F215:F256,0),42)</f>
        <v>#N/A</v>
      </c>
      <c r="O441" s="487" t="e">
        <f>INDEX(Commerce_session1!G215:DA256,MATCH("a",Commerce_session1!G215:G256,0),42)</f>
        <v>#N/A</v>
      </c>
    </row>
    <row r="442" spans="1:15" ht="22.5" customHeight="1" thickTop="1" thickBot="1">
      <c r="A442" s="517"/>
      <c r="B442" s="531" t="s">
        <v>37</v>
      </c>
      <c r="C442" s="559" t="s">
        <v>87</v>
      </c>
      <c r="D442" s="532">
        <v>10</v>
      </c>
      <c r="E442" s="508">
        <v>4</v>
      </c>
      <c r="F442" s="128" t="s">
        <v>104</v>
      </c>
      <c r="G442" s="76">
        <v>5</v>
      </c>
      <c r="H442" s="77">
        <v>2</v>
      </c>
      <c r="I442" s="18" t="e">
        <f>INDEX(Commerce_session1!A6:CX792,MATCH("N",Commerce_session1!A6:A792,0),74)</f>
        <v>#N/A</v>
      </c>
      <c r="J442" s="19" t="e">
        <f>INDEX(Commerce_session1!A6:CX792,MATCH("N",Commerce_session1!A6:A792,0),75)</f>
        <v>#N/A</v>
      </c>
      <c r="K442" s="509" t="e">
        <f>INDEX(Commerce_session1!A6:CX792,MATCH("N",Commerce_session1!A6:A792,0),80)</f>
        <v>#N/A</v>
      </c>
      <c r="L442" s="488" t="e">
        <f>INDEX(Commerce_session1!A6:CX792,MATCH("N",Commerce_session1!A6:A792,0),81)</f>
        <v>#N/A</v>
      </c>
      <c r="M442" s="489"/>
      <c r="N442" s="498" t="e">
        <f>INDEX(Commerce_session1!E217:DA256,MATCH("a",Commerce_session1!E217:E256,0),43)</f>
        <v>#N/A</v>
      </c>
      <c r="O442" s="487" t="e">
        <f>INDEX(Commerce_session1!F217:DA256,MATCH("a",Commerce_session1!F217:F256,0),43)</f>
        <v>#N/A</v>
      </c>
    </row>
    <row r="443" spans="1:15" ht="18.75" customHeight="1" thickBot="1">
      <c r="A443" s="517"/>
      <c r="B443" s="527"/>
      <c r="C443" s="524"/>
      <c r="D443" s="530"/>
      <c r="E443" s="451"/>
      <c r="F443" s="98" t="s">
        <v>69</v>
      </c>
      <c r="G443" s="74">
        <v>5</v>
      </c>
      <c r="H443" s="75">
        <v>2</v>
      </c>
      <c r="I443" s="20" t="e">
        <f>INDEX(Commerce_session1!A6:CX792,MATCH("N",Commerce_session1!A6:A792,0),78)</f>
        <v>#N/A</v>
      </c>
      <c r="J443" s="17" t="e">
        <f>INDEX(Commerce_session1!A6:CX792,MATCH("N",Commerce_session1!A6:A792,0),79)</f>
        <v>#N/A</v>
      </c>
      <c r="K443" s="511"/>
      <c r="L443" s="490"/>
      <c r="M443" s="491"/>
      <c r="N443" s="498" t="e">
        <f>INDEX(Commerce_session1!F218:DA256,MATCH("a",Commerce_session1!F218:F256,0),42)</f>
        <v>#N/A</v>
      </c>
      <c r="O443" s="487" t="e">
        <f>INDEX(Commerce_session1!G218:DA256,MATCH("a",Commerce_session1!G218:G256,0),42)</f>
        <v>#N/A</v>
      </c>
    </row>
    <row r="444" spans="1:15" ht="18.75" customHeight="1" thickTop="1" thickBot="1">
      <c r="A444" s="517"/>
      <c r="B444" s="105" t="s">
        <v>38</v>
      </c>
      <c r="C444" s="104" t="s">
        <v>85</v>
      </c>
      <c r="D444" s="22">
        <v>3</v>
      </c>
      <c r="E444" s="23">
        <v>2</v>
      </c>
      <c r="F444" s="101" t="s">
        <v>74</v>
      </c>
      <c r="G444" s="74">
        <v>3</v>
      </c>
      <c r="H444" s="75">
        <v>2</v>
      </c>
      <c r="I444" s="20" t="e">
        <f>INDEX(Commerce_session1!A6:CX792,MATCH("N",Commerce_session1!A6:A792,0),84)</f>
        <v>#N/A</v>
      </c>
      <c r="J444" s="17" t="e">
        <f>INDEX(Commerce_session1!A6:CX792,MATCH("N",Commerce_session1!A6:A792,0),85)</f>
        <v>#N/A</v>
      </c>
      <c r="K444" s="123" t="e">
        <f>INDEX(Commerce_session1!A6:CX792,MATCH("N",Commerce_session1!A6:A792,0),86)</f>
        <v>#N/A</v>
      </c>
      <c r="L444" s="512" t="e">
        <f>INDEX(Commerce_session1!A6:CX792,MATCH("N",Commerce_session1!A6:A792,0),87)</f>
        <v>#N/A</v>
      </c>
      <c r="M444" s="513"/>
      <c r="N444" s="498" t="e">
        <f>INDEX(Commerce_session1!F220:DA256,MATCH("a",Commerce_session1!F220:F256,0),42)</f>
        <v>#N/A</v>
      </c>
      <c r="O444" s="487" t="e">
        <f>INDEX(Commerce_session1!G220:DA256,MATCH("a",Commerce_session1!G220:G256,0),42)</f>
        <v>#N/A</v>
      </c>
    </row>
    <row r="445" spans="1:15" ht="20.25" customHeight="1" thickTop="1" thickBot="1">
      <c r="A445" s="518"/>
      <c r="B445" s="105" t="s">
        <v>39</v>
      </c>
      <c r="C445" s="104" t="s">
        <v>86</v>
      </c>
      <c r="D445" s="22">
        <v>1</v>
      </c>
      <c r="E445" s="23">
        <v>1</v>
      </c>
      <c r="F445" s="103" t="s">
        <v>73</v>
      </c>
      <c r="G445" s="82">
        <v>1</v>
      </c>
      <c r="H445" s="83">
        <v>1</v>
      </c>
      <c r="I445" s="25" t="e">
        <f>INDEX(Commerce_session1!A6:CX792,MATCH("N",Commerce_session1!A6:A792,0),89)</f>
        <v>#N/A</v>
      </c>
      <c r="J445" s="26" t="e">
        <f>INDEX(Commerce_session1!A6:CX792,MATCH("N",Commerce_session1!A6:A792,0),90)</f>
        <v>#N/A</v>
      </c>
      <c r="K445" s="27" t="e">
        <f>INDEX(Commerce_session1!A6:CX792,MATCH("N",Commerce_session1!A6:A792,0),91)</f>
        <v>#N/A</v>
      </c>
      <c r="L445" s="514" t="e">
        <f>INDEX(Commerce_session1!A6:CX792,MATCH("N",Commerce_session1!A6:A792,0),92)</f>
        <v>#N/A</v>
      </c>
      <c r="M445" s="515" t="e">
        <f>INDEX(Commerce_session1!D214:CZ256,MATCH("a",Commerce_session1!D214:D256,0),61)</f>
        <v>#N/A</v>
      </c>
      <c r="N445" s="498" t="e">
        <f>INDEX(Commerce_session1!F221:DA256,MATCH("a",Commerce_session1!F221:F256,0),42)</f>
        <v>#N/A</v>
      </c>
      <c r="O445" s="487" t="e">
        <f>INDEX(Commerce_session1!G221:DA256,MATCH("a",Commerce_session1!G221:G256,0),42)</f>
        <v>#N/A</v>
      </c>
    </row>
    <row r="446" spans="1:15" ht="20.25">
      <c r="A446" s="535" t="s">
        <v>40</v>
      </c>
      <c r="B446" s="536"/>
      <c r="C446" s="537"/>
      <c r="D446" s="121" t="e">
        <f>INDEX(Commerce_session1!A6:CX792,MATCH("N",Commerce_session1!A6:A792,0),99)</f>
        <v>#N/A</v>
      </c>
      <c r="E446" s="538" t="s">
        <v>41</v>
      </c>
      <c r="F446" s="540"/>
      <c r="G446" s="120" t="e">
        <f>INDEX(Commerce_session1!A6:CX792,MATCH("N",Commerce_session1!A6:A792,0),100)</f>
        <v>#N/A</v>
      </c>
      <c r="H446" s="538" t="s">
        <v>91</v>
      </c>
      <c r="I446" s="539"/>
      <c r="J446" s="539"/>
      <c r="K446" s="540"/>
      <c r="L446" s="541" t="e">
        <f>INDEX(Commerce_session1!A6:CX792,MATCH("N",Commerce_session1!A6:A792,0),101)</f>
        <v>#N/A</v>
      </c>
      <c r="M446" s="542"/>
      <c r="N446" s="8"/>
      <c r="O446" s="8"/>
    </row>
    <row r="447" spans="1:15" ht="22.5">
      <c r="A447" s="546" t="s">
        <v>42</v>
      </c>
      <c r="B447" s="547"/>
      <c r="C447" s="548"/>
      <c r="D447" s="543" t="e">
        <f>INDEX(Commerce_session1!A6:CX792,MATCH("N",Commerce_session1!A6:A792,0),102)</f>
        <v>#N/A</v>
      </c>
      <c r="E447" s="544"/>
      <c r="F447" s="545"/>
      <c r="G447" s="108"/>
      <c r="H447" s="109"/>
      <c r="I447" s="110"/>
      <c r="J447" s="111"/>
      <c r="K447" s="110"/>
      <c r="L447" s="110"/>
      <c r="M447" s="110"/>
      <c r="N447" s="112" t="s">
        <v>43</v>
      </c>
      <c r="O447" s="28">
        <f ca="1">TODAY()</f>
        <v>43626</v>
      </c>
    </row>
    <row r="448" spans="1:15" ht="32.25" customHeight="1">
      <c r="A448" s="113" t="s">
        <v>44</v>
      </c>
      <c r="B448" s="29"/>
      <c r="C448" s="29"/>
      <c r="D448" s="533"/>
      <c r="E448" s="533"/>
      <c r="F448" s="30"/>
      <c r="G448" s="4"/>
      <c r="J448" s="4"/>
      <c r="L448" s="534" t="s">
        <v>46</v>
      </c>
      <c r="M448" s="534"/>
      <c r="N448" s="534"/>
    </row>
    <row r="449" spans="1:18" ht="23.25" customHeight="1" thickBot="1">
      <c r="A449" s="84" t="s">
        <v>12</v>
      </c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445" t="s">
        <v>13</v>
      </c>
      <c r="M449" s="445"/>
      <c r="N449" s="445"/>
      <c r="O449" s="445"/>
      <c r="P449" s="2"/>
      <c r="Q449" s="2"/>
      <c r="R449" s="2"/>
    </row>
    <row r="450" spans="1:18" ht="15.75">
      <c r="A450" s="446" t="s">
        <v>14</v>
      </c>
      <c r="B450" s="446"/>
      <c r="C450" s="446"/>
      <c r="D450" s="446"/>
      <c r="E450" s="446"/>
      <c r="F450" s="3"/>
      <c r="H450" s="4"/>
      <c r="K450" s="4"/>
      <c r="L450" s="4"/>
    </row>
    <row r="451" spans="1:18" ht="15.75">
      <c r="A451" s="85" t="s">
        <v>15</v>
      </c>
      <c r="B451" s="85"/>
      <c r="C451" s="85"/>
      <c r="D451" s="85"/>
      <c r="E451" s="85"/>
      <c r="F451" s="5"/>
      <c r="H451" s="4"/>
      <c r="K451" s="4"/>
      <c r="L451" s="4"/>
      <c r="P451" s="6"/>
    </row>
    <row r="452" spans="1:18" ht="15.75">
      <c r="A452" s="85" t="s">
        <v>100</v>
      </c>
      <c r="B452" s="85"/>
      <c r="C452" s="85"/>
      <c r="D452" s="85"/>
      <c r="E452" s="85"/>
      <c r="F452" s="3"/>
      <c r="H452" s="4"/>
      <c r="K452" s="4"/>
      <c r="L452" s="4"/>
    </row>
    <row r="453" spans="1:18" s="8" customFormat="1" ht="27" customHeight="1">
      <c r="A453" s="7"/>
      <c r="B453" s="7"/>
      <c r="C453" s="7"/>
      <c r="D453" s="447" t="s">
        <v>94</v>
      </c>
      <c r="E453" s="447"/>
      <c r="F453" s="447"/>
      <c r="G453" s="447"/>
      <c r="H453" s="447"/>
      <c r="I453" s="447"/>
      <c r="J453" s="447"/>
      <c r="K453" s="447"/>
      <c r="L453" s="447"/>
      <c r="M453" s="7"/>
      <c r="N453" s="7"/>
      <c r="O453" s="7"/>
    </row>
    <row r="454" spans="1:18" ht="23.25" customHeight="1">
      <c r="A454" s="126" t="s">
        <v>101</v>
      </c>
      <c r="B454" s="126"/>
      <c r="C454" s="126"/>
      <c r="D454" s="126"/>
      <c r="E454" s="126"/>
      <c r="F454" s="126"/>
      <c r="G454" s="122"/>
      <c r="H454" s="122"/>
      <c r="I454" s="122" t="e">
        <f>IF(D479="ناجح(ة) دورة1","-الدورة الأولى-","-الدورة الثانية-")</f>
        <v>#N/A</v>
      </c>
      <c r="J454" s="124" t="s">
        <v>48</v>
      </c>
      <c r="K454" s="124"/>
      <c r="L454" s="87"/>
      <c r="M454" s="88"/>
      <c r="N454" s="89"/>
      <c r="O454" s="9"/>
    </row>
    <row r="455" spans="1:18" ht="20.25" customHeight="1">
      <c r="A455" s="476" t="s">
        <v>93</v>
      </c>
      <c r="B455" s="476"/>
      <c r="C455" s="90" t="e">
        <f>INDEX(Commerce_session1!A6:CX792,MATCH("O",Commerce_session1!A6:A792,0),3)</f>
        <v>#N/A</v>
      </c>
      <c r="D455" s="91" t="s">
        <v>92</v>
      </c>
      <c r="E455" s="448" t="e">
        <f>INDEX(Commerce_session1!A6:CX792,MATCH("O",Commerce_session1!A6:A792,0),4)</f>
        <v>#N/A</v>
      </c>
      <c r="F455" s="448" t="e">
        <f>INDEX(Commerce_session1!D246:DA540,MATCH("a",Commerce_session1!D246:D540,0),3)</f>
        <v>#N/A</v>
      </c>
      <c r="G455" s="477" t="s">
        <v>16</v>
      </c>
      <c r="H455" s="477"/>
      <c r="I455" s="477"/>
      <c r="J455" s="478" t="e">
        <f>INDEX(Commerce_session1!A6:CX792,MATCH("O",Commerce_session1!A6:A792,0),6)</f>
        <v>#N/A</v>
      </c>
      <c r="K455" s="478"/>
      <c r="L455" s="88"/>
      <c r="M455" s="92" t="s">
        <v>17</v>
      </c>
      <c r="N455" s="90" t="e">
        <f>INDEX(Commerce_session1!A6:CX792,MATCH("O",Commerce_session1!A6:A792,0),7)</f>
        <v>#N/A</v>
      </c>
      <c r="O455" s="10"/>
    </row>
    <row r="456" spans="1:18" ht="20.25" customHeight="1">
      <c r="A456" s="476" t="s">
        <v>18</v>
      </c>
      <c r="B456" s="476"/>
      <c r="C456" s="448" t="e">
        <f>INDEX(Commerce_session1!A6:CX792,MATCH("O",Commerce_session1!A6:A792,0),5)</f>
        <v>#N/A</v>
      </c>
      <c r="D456" s="448"/>
      <c r="E456" s="91"/>
      <c r="F456" s="88"/>
      <c r="G456" s="93"/>
      <c r="H456" s="88"/>
      <c r="I456" s="88"/>
      <c r="J456" s="93"/>
      <c r="K456" s="88"/>
      <c r="L456" s="88"/>
      <c r="M456" s="88"/>
      <c r="N456" s="88"/>
      <c r="O456" s="10"/>
    </row>
    <row r="457" spans="1:18" ht="20.25" customHeight="1">
      <c r="A457" s="476" t="s">
        <v>102</v>
      </c>
      <c r="B457" s="476"/>
      <c r="C457" s="476"/>
      <c r="D457" s="476"/>
      <c r="E457" s="476"/>
      <c r="F457" s="476"/>
      <c r="G457" s="476"/>
      <c r="H457" s="476"/>
      <c r="I457" s="476"/>
      <c r="J457" s="476"/>
      <c r="K457" s="476"/>
      <c r="L457" s="476"/>
      <c r="M457" s="476"/>
      <c r="N457" s="476"/>
      <c r="O457" s="476"/>
    </row>
    <row r="458" spans="1:18" ht="20.25" customHeight="1" thickBot="1">
      <c r="A458" s="459" t="s">
        <v>19</v>
      </c>
      <c r="B458" s="459"/>
      <c r="C458" s="459"/>
      <c r="D458" s="459"/>
      <c r="E458" s="459"/>
      <c r="F458" s="459"/>
      <c r="G458" s="459"/>
      <c r="H458" s="94"/>
      <c r="I458" s="94"/>
      <c r="J458" s="95"/>
      <c r="K458" s="94"/>
      <c r="L458" s="94"/>
      <c r="M458" s="94"/>
      <c r="N458" s="94"/>
      <c r="O458" s="11"/>
    </row>
    <row r="459" spans="1:18" ht="18.75" thickBot="1">
      <c r="A459" s="460" t="s">
        <v>20</v>
      </c>
      <c r="B459" s="463" t="s">
        <v>21</v>
      </c>
      <c r="C459" s="464"/>
      <c r="D459" s="464"/>
      <c r="E459" s="464"/>
      <c r="F459" s="464" t="s">
        <v>22</v>
      </c>
      <c r="G459" s="464"/>
      <c r="H459" s="464"/>
      <c r="I459" s="465" t="s">
        <v>23</v>
      </c>
      <c r="J459" s="466"/>
      <c r="K459" s="466"/>
      <c r="L459" s="466"/>
      <c r="M459" s="466"/>
      <c r="N459" s="466"/>
      <c r="O459" s="467"/>
    </row>
    <row r="460" spans="1:18">
      <c r="A460" s="461"/>
      <c r="B460" s="468" t="s">
        <v>24</v>
      </c>
      <c r="C460" s="470" t="s">
        <v>25</v>
      </c>
      <c r="D460" s="472" t="s">
        <v>26</v>
      </c>
      <c r="E460" s="474" t="s">
        <v>27</v>
      </c>
      <c r="F460" s="479" t="s">
        <v>28</v>
      </c>
      <c r="G460" s="468" t="s">
        <v>11</v>
      </c>
      <c r="H460" s="481" t="s">
        <v>27</v>
      </c>
      <c r="I460" s="482" t="s">
        <v>29</v>
      </c>
      <c r="J460" s="483"/>
      <c r="K460" s="484" t="s">
        <v>30</v>
      </c>
      <c r="L460" s="485"/>
      <c r="M460" s="486"/>
      <c r="N460" s="455" t="s">
        <v>20</v>
      </c>
      <c r="O460" s="456"/>
    </row>
    <row r="461" spans="1:18" ht="15.75" thickBot="1">
      <c r="A461" s="462"/>
      <c r="B461" s="469"/>
      <c r="C461" s="471"/>
      <c r="D461" s="473"/>
      <c r="E461" s="475"/>
      <c r="F461" s="480"/>
      <c r="G461" s="469"/>
      <c r="H461" s="473"/>
      <c r="I461" s="106" t="s">
        <v>10</v>
      </c>
      <c r="J461" s="106" t="s">
        <v>31</v>
      </c>
      <c r="K461" s="106" t="s">
        <v>32</v>
      </c>
      <c r="L461" s="457" t="s">
        <v>33</v>
      </c>
      <c r="M461" s="458"/>
      <c r="N461" s="106" t="s">
        <v>34</v>
      </c>
      <c r="O461" s="107" t="s">
        <v>35</v>
      </c>
    </row>
    <row r="462" spans="1:18" ht="18.75" customHeight="1" thickBot="1">
      <c r="A462" s="549" t="s">
        <v>76</v>
      </c>
      <c r="B462" s="552" t="s">
        <v>36</v>
      </c>
      <c r="C462" s="555" t="s">
        <v>90</v>
      </c>
      <c r="D462" s="556">
        <v>17</v>
      </c>
      <c r="E462" s="449">
        <v>6</v>
      </c>
      <c r="F462" s="96" t="s">
        <v>54</v>
      </c>
      <c r="G462" s="70">
        <v>5</v>
      </c>
      <c r="H462" s="71">
        <v>2</v>
      </c>
      <c r="I462" s="12" t="e">
        <f>INDEX(Commerce_session1!A6:CX792,MATCH("O",Commerce_session1!A6:A792,0),16)</f>
        <v>#N/A</v>
      </c>
      <c r="J462" s="13" t="e">
        <f>INDEX(Commerce_session1!A6:CX792,MATCH("O",Commerce_session1!A6:A792,0),17)</f>
        <v>#N/A</v>
      </c>
      <c r="K462" s="452" t="e">
        <f>INDEX(Commerce_session1!A6:CX792,MATCH("O",Commerce_session1!A6:A792,0),26)</f>
        <v>#N/A</v>
      </c>
      <c r="L462" s="494" t="e">
        <f>INDEX(Commerce_session1!A6:CX792,MATCH("O",Commerce_session1!A6:A792,0),27)</f>
        <v>#N/A</v>
      </c>
      <c r="M462" s="495" t="e">
        <f>INDEX(Commerce_session1!D246:CZ288,MATCH("a",Commerce_session1!D246:D288,0),15)</f>
        <v>#N/A</v>
      </c>
      <c r="N462" s="498" t="e">
        <f>INDEX(Commerce_session1!A6:CX792,MATCH("O",Commerce_session1!A6:A792,0),95)</f>
        <v>#N/A</v>
      </c>
      <c r="O462" s="487" t="e">
        <f>INDEX(Commerce_session1!A6:CX792,MATCH("O",Commerce_session1!A6:A792,0),96)</f>
        <v>#N/A</v>
      </c>
    </row>
    <row r="463" spans="1:18" ht="18.75" customHeight="1" thickBot="1">
      <c r="A463" s="550"/>
      <c r="B463" s="553"/>
      <c r="C463" s="503"/>
      <c r="D463" s="557"/>
      <c r="E463" s="450"/>
      <c r="F463" s="97" t="s">
        <v>55</v>
      </c>
      <c r="G463" s="72">
        <v>6</v>
      </c>
      <c r="H463" s="73">
        <v>2</v>
      </c>
      <c r="I463" s="14" t="e">
        <f>INDEX(Commerce_session1!A6:CX792,MATCH("O",Commerce_session1!A6:A792,0),20)</f>
        <v>#N/A</v>
      </c>
      <c r="J463" s="15" t="e">
        <f>INDEX(Commerce_session1!A6:CX792,MATCH("O",Commerce_session1!A6:A792,0),21)</f>
        <v>#N/A</v>
      </c>
      <c r="K463" s="453" t="e">
        <f>INDEX(Commerce_session1!B246:CY288,MATCH("a",Commerce_session1!B246:B288,0),14)</f>
        <v>#N/A</v>
      </c>
      <c r="L463" s="496" t="e">
        <f>INDEX(Commerce_session1!D246:CZ288,MATCH("a",Commerce_session1!D246:D288,0),14)</f>
        <v>#N/A</v>
      </c>
      <c r="M463" s="497" t="e">
        <f>INDEX(Commerce_session1!E246:DA288,MATCH("a",Commerce_session1!E246:E288,0),14)</f>
        <v>#N/A</v>
      </c>
      <c r="N463" s="498" t="e">
        <f>INDEX(Commerce_session1!#REF!,MATCH("a",Commerce_session1!#REF!,0),62)</f>
        <v>#REF!</v>
      </c>
      <c r="O463" s="487" t="e">
        <f>INDEX(Commerce_session1!#REF!,MATCH("a",Commerce_session1!#REF!,0),62)</f>
        <v>#REF!</v>
      </c>
    </row>
    <row r="464" spans="1:18" ht="18.75" customHeight="1" thickBot="1">
      <c r="A464" s="550"/>
      <c r="B464" s="554"/>
      <c r="C464" s="504"/>
      <c r="D464" s="558"/>
      <c r="E464" s="451"/>
      <c r="F464" s="98" t="s">
        <v>56</v>
      </c>
      <c r="G464" s="74">
        <v>6</v>
      </c>
      <c r="H464" s="75">
        <v>2</v>
      </c>
      <c r="I464" s="16" t="e">
        <f>INDEX(Commerce_session1!A6:CX792,MATCH("O",Commerce_session1!A6:A792,0),24)</f>
        <v>#N/A</v>
      </c>
      <c r="J464" s="17" t="e">
        <f>INDEX(Commerce_session1!A6:CX792,MATCH("O",Commerce_session1!A6:A792,0),25)</f>
        <v>#N/A</v>
      </c>
      <c r="K464" s="454" t="e">
        <f>INDEX(Commerce_session1!B248:CY288,MATCH("a",Commerce_session1!B248:B288,0),14)</f>
        <v>#N/A</v>
      </c>
      <c r="L464" s="490" t="e">
        <f>INDEX(Commerce_session1!D248:CZ288,MATCH("a",Commerce_session1!D248:D288,0),14)</f>
        <v>#N/A</v>
      </c>
      <c r="M464" s="491" t="e">
        <f>INDEX(Commerce_session1!E248:DA288,MATCH("a",Commerce_session1!E248:E288,0),14)</f>
        <v>#N/A</v>
      </c>
      <c r="N464" s="498" t="e">
        <f>INDEX(Commerce_session1!#REF!,MATCH("a",Commerce_session1!#REF!,0),62)</f>
        <v>#REF!</v>
      </c>
      <c r="O464" s="487" t="e">
        <f>INDEX(Commerce_session1!#REF!,MATCH("a",Commerce_session1!#REF!,0),62)</f>
        <v>#REF!</v>
      </c>
    </row>
    <row r="465" spans="1:15" ht="19.5" customHeight="1" thickTop="1" thickBot="1">
      <c r="A465" s="550"/>
      <c r="B465" s="499" t="s">
        <v>37</v>
      </c>
      <c r="C465" s="502" t="s">
        <v>89</v>
      </c>
      <c r="D465" s="505">
        <v>7</v>
      </c>
      <c r="E465" s="508">
        <v>5</v>
      </c>
      <c r="F465" s="99" t="s">
        <v>83</v>
      </c>
      <c r="G465" s="76">
        <v>1</v>
      </c>
      <c r="H465" s="77">
        <v>1</v>
      </c>
      <c r="I465" s="18" t="e">
        <f>INDEX(Commerce_session1!A6:CX792,MATCH("O",Commerce_session1!A6:A792,0),29)</f>
        <v>#N/A</v>
      </c>
      <c r="J465" s="19" t="e">
        <f>INDEX(Commerce_session1!A6:CX792,MATCH("O",Commerce_session1!A6:A792,0),30)</f>
        <v>#N/A</v>
      </c>
      <c r="K465" s="509" t="e">
        <f>INDEX(Commerce_session1!A6:CX792,MATCH("O",Commerce_session1!A6:A792,0),39)</f>
        <v>#N/A</v>
      </c>
      <c r="L465" s="488" t="e">
        <f>INDEX(Commerce_session1!A6:CX792,MATCH("O",Commerce_session1!A6:A792,0),40)</f>
        <v>#N/A</v>
      </c>
      <c r="M465" s="489" t="e">
        <f>INDEX(Commerce_session1!D246:CZ288,MATCH("a",Commerce_session1!D246:D288,0),23)</f>
        <v>#N/A</v>
      </c>
      <c r="N465" s="498" t="e">
        <f>INDEX(Commerce_session1!#REF!,MATCH("a",Commerce_session1!#REF!,0),62)</f>
        <v>#REF!</v>
      </c>
      <c r="O465" s="487" t="e">
        <f>INDEX(Commerce_session1!#REF!,MATCH("a",Commerce_session1!#REF!,0),62)</f>
        <v>#REF!</v>
      </c>
    </row>
    <row r="466" spans="1:15" ht="18.75" customHeight="1" thickTop="1" thickBot="1">
      <c r="A466" s="550"/>
      <c r="B466" s="500"/>
      <c r="C466" s="503"/>
      <c r="D466" s="506"/>
      <c r="E466" s="450"/>
      <c r="F466" s="100" t="s">
        <v>99</v>
      </c>
      <c r="G466" s="78">
        <v>3</v>
      </c>
      <c r="H466" s="79">
        <v>2</v>
      </c>
      <c r="I466" s="18" t="e">
        <f>INDEX(Commerce_session1!A6:CX792,MATCH("O",Commerce_session1!A6:A792,0),33)</f>
        <v>#N/A</v>
      </c>
      <c r="J466" s="15" t="e">
        <f>INDEX(Commerce_session1!A6:CX792,MATCH("O",Commerce_session1!A6:A792,0),34)</f>
        <v>#N/A</v>
      </c>
      <c r="K466" s="510" t="e">
        <f>INDEX(Commerce_session1!B245:CY288,MATCH("a",Commerce_session1!B245:B288,0),22)</f>
        <v>#N/A</v>
      </c>
      <c r="L466" s="496" t="e">
        <f>INDEX(Commerce_session1!D245:CZ288,MATCH("a",Commerce_session1!D245:D288,0),22)</f>
        <v>#N/A</v>
      </c>
      <c r="M466" s="497" t="e">
        <f>INDEX(Commerce_session1!E245:DA288,MATCH("a",Commerce_session1!E245:E288,0),22)</f>
        <v>#N/A</v>
      </c>
      <c r="N466" s="498" t="e">
        <f>INDEX(Commerce_session1!#REF!,MATCH("a",Commerce_session1!#REF!,0),62)</f>
        <v>#REF!</v>
      </c>
      <c r="O466" s="487" t="e">
        <f>INDEX(Commerce_session1!#REF!,MATCH("a",Commerce_session1!#REF!,0),62)</f>
        <v>#REF!</v>
      </c>
    </row>
    <row r="467" spans="1:15" ht="18.75" customHeight="1" thickBot="1">
      <c r="A467" s="550"/>
      <c r="B467" s="501"/>
      <c r="C467" s="504"/>
      <c r="D467" s="507"/>
      <c r="E467" s="451"/>
      <c r="F467" s="101" t="s">
        <v>84</v>
      </c>
      <c r="G467" s="80">
        <v>3</v>
      </c>
      <c r="H467" s="81">
        <v>2</v>
      </c>
      <c r="I467" s="20" t="e">
        <f>INDEX(Commerce_session1!A6:CX792,MATCH("O",Commerce_session1!A6:A792,0),37)</f>
        <v>#N/A</v>
      </c>
      <c r="J467" s="17" t="e">
        <f>INDEX(Commerce_session1!A6:CX792,MATCH("O",Commerce_session1!A6:A792,0),38)</f>
        <v>#N/A</v>
      </c>
      <c r="K467" s="511" t="e">
        <f>INDEX(Commerce_session1!B246:CY288,MATCH("a",Commerce_session1!B246:B288,0),22)</f>
        <v>#N/A</v>
      </c>
      <c r="L467" s="490" t="e">
        <f>INDEX(Commerce_session1!D246:CZ288,MATCH("a",Commerce_session1!D246:D288,0),22)</f>
        <v>#N/A</v>
      </c>
      <c r="M467" s="491" t="e">
        <f>INDEX(Commerce_session1!E246:DA288,MATCH("a",Commerce_session1!E246:E288,0),22)</f>
        <v>#N/A</v>
      </c>
      <c r="N467" s="498" t="e">
        <f>INDEX(Commerce_session1!#REF!,MATCH("a",Commerce_session1!#REF!,0),62)</f>
        <v>#REF!</v>
      </c>
      <c r="O467" s="487" t="e">
        <f>INDEX(Commerce_session1!#REF!,MATCH("a",Commerce_session1!#REF!,0),62)</f>
        <v>#REF!</v>
      </c>
    </row>
    <row r="468" spans="1:15" ht="33.75" customHeight="1" thickTop="1" thickBot="1">
      <c r="A468" s="550"/>
      <c r="B468" s="531" t="s">
        <v>38</v>
      </c>
      <c r="C468" s="559" t="s">
        <v>50</v>
      </c>
      <c r="D468" s="520">
        <v>5</v>
      </c>
      <c r="E468" s="508">
        <v>2</v>
      </c>
      <c r="F468" s="102" t="s">
        <v>63</v>
      </c>
      <c r="G468" s="68">
        <v>4</v>
      </c>
      <c r="H468" s="69">
        <v>1</v>
      </c>
      <c r="I468" s="18" t="e">
        <f>INDEX(Commerce_session1!A6:CX792,MATCH("O",Commerce_session1!A6:A792,0),43)</f>
        <v>#N/A</v>
      </c>
      <c r="J468" s="19" t="e">
        <f>INDEX(Commerce_session1!A6:CX792,MATCH("O",Commerce_session1!A6:A792,0),44)</f>
        <v>#N/A</v>
      </c>
      <c r="K468" s="509" t="e">
        <f>INDEX(Commerce_session1!A6:CX792,MATCH("O",Commerce_session1!A6:A792,0),48)</f>
        <v>#N/A</v>
      </c>
      <c r="L468" s="488" t="e">
        <f>INDEX(Commerce_session1!A6:CX792,MATCH("O",Commerce_session1!A6:A792,0),49)</f>
        <v>#N/A</v>
      </c>
      <c r="M468" s="489" t="e">
        <f>INDEX(Commerce_session1!D246:CZ288,MATCH("a",Commerce_session1!D246:D288,0),29)</f>
        <v>#N/A</v>
      </c>
      <c r="N468" s="498" t="e">
        <f>INDEX(Commerce_session1!#REF!,MATCH("a",Commerce_session1!#REF!,0),62)</f>
        <v>#REF!</v>
      </c>
      <c r="O468" s="487" t="e">
        <f>INDEX(Commerce_session1!#REF!,MATCH("a",Commerce_session1!#REF!,0),62)</f>
        <v>#REF!</v>
      </c>
    </row>
    <row r="469" spans="1:15" ht="18.75" customHeight="1" thickBot="1">
      <c r="A469" s="550"/>
      <c r="B469" s="527"/>
      <c r="C469" s="524"/>
      <c r="D469" s="521"/>
      <c r="E469" s="451"/>
      <c r="F469" s="101" t="s">
        <v>62</v>
      </c>
      <c r="G469" s="80">
        <v>1</v>
      </c>
      <c r="H469" s="81">
        <v>1</v>
      </c>
      <c r="I469" s="16" t="e">
        <f>INDEX(Commerce_session1!A6:CX792,MATCH("O",Commerce_session1!A6:A792,0),46)</f>
        <v>#N/A</v>
      </c>
      <c r="J469" s="21" t="e">
        <f>INDEX(Commerce_session1!A6:CX792,MATCH("O",Commerce_session1!A6:A792,0),47)</f>
        <v>#N/A</v>
      </c>
      <c r="K469" s="511" t="e">
        <f>INDEX(Commerce_session1!B246:CY288,MATCH("a",Commerce_session1!B246:B288,0),28)</f>
        <v>#N/A</v>
      </c>
      <c r="L469" s="490" t="e">
        <f>INDEX(Commerce_session1!D246:CZ288,MATCH("a",Commerce_session1!D246:D288,0),28)</f>
        <v>#N/A</v>
      </c>
      <c r="M469" s="491" t="e">
        <f>INDEX(Commerce_session1!E246:DA288,MATCH("a",Commerce_session1!E246:E288,0),28)</f>
        <v>#N/A</v>
      </c>
      <c r="N469" s="498" t="e">
        <f>INDEX(Commerce_session1!#REF!,MATCH("a",Commerce_session1!#REF!,0),62)</f>
        <v>#REF!</v>
      </c>
      <c r="O469" s="487" t="e">
        <f>INDEX(Commerce_session1!#REF!,MATCH("a",Commerce_session1!#REF!,0),62)</f>
        <v>#REF!</v>
      </c>
    </row>
    <row r="470" spans="1:15" ht="20.25" customHeight="1" thickTop="1" thickBot="1">
      <c r="A470" s="551"/>
      <c r="B470" s="105" t="s">
        <v>39</v>
      </c>
      <c r="C470" s="104" t="s">
        <v>51</v>
      </c>
      <c r="D470" s="22">
        <v>1</v>
      </c>
      <c r="E470" s="23">
        <v>1</v>
      </c>
      <c r="F470" s="103" t="s">
        <v>64</v>
      </c>
      <c r="G470" s="82">
        <v>1</v>
      </c>
      <c r="H470" s="83">
        <v>1</v>
      </c>
      <c r="I470" s="20" t="e">
        <f>INDEX(Commerce_session1!A6:CX792,MATCH("O",Commerce_session1!A6:A792,0),52)</f>
        <v>#N/A</v>
      </c>
      <c r="J470" s="24" t="e">
        <f>INDEX(Commerce_session1!A6:CX792,MATCH("O",Commerce_session1!A6:A792,0),53)</f>
        <v>#N/A</v>
      </c>
      <c r="K470" s="36" t="e">
        <f>INDEX(Commerce_session1!A6:CX792,MATCH("O",Commerce_session1!A6:A792,0),54)</f>
        <v>#N/A</v>
      </c>
      <c r="L470" s="492" t="e">
        <f>INDEX(Commerce_session1!A6:CX792,MATCH("O",Commerce_session1!A6:A792,0),55)</f>
        <v>#N/A</v>
      </c>
      <c r="M470" s="493" t="e">
        <f>INDEX(Commerce_session1!D246:CZ288,MATCH("a",Commerce_session1!D246:D288,0),33)</f>
        <v>#N/A</v>
      </c>
      <c r="N470" s="498" t="e">
        <f>INDEX(Commerce_session1!#REF!,MATCH("a",Commerce_session1!#REF!,0),62)</f>
        <v>#REF!</v>
      </c>
      <c r="O470" s="487" t="e">
        <f>INDEX(Commerce_session1!#REF!,MATCH("a",Commerce_session1!#REF!,0),62)</f>
        <v>#REF!</v>
      </c>
    </row>
    <row r="471" spans="1:15" ht="19.5" customHeight="1" thickTop="1" thickBot="1">
      <c r="A471" s="516" t="s">
        <v>77</v>
      </c>
      <c r="B471" s="525" t="s">
        <v>36</v>
      </c>
      <c r="C471" s="522" t="s">
        <v>88</v>
      </c>
      <c r="D471" s="528">
        <v>16</v>
      </c>
      <c r="E471" s="449">
        <v>5</v>
      </c>
      <c r="F471" s="96" t="s">
        <v>67</v>
      </c>
      <c r="G471" s="114">
        <v>6</v>
      </c>
      <c r="H471" s="115">
        <v>2</v>
      </c>
      <c r="I471" s="18" t="e">
        <f>INDEX(Commerce_session1!A6:CX792,MATCH("O",Commerce_session1!A6:A792,0),60)</f>
        <v>#N/A</v>
      </c>
      <c r="J471" s="19" t="e">
        <f>INDEX(Commerce_session1!A6:CX792,MATCH("O",Commerce_session1!A6:A792,0),61)</f>
        <v>#N/A</v>
      </c>
      <c r="K471" s="519" t="e">
        <f>INDEX(Commerce_session1!A6:CX792,MATCH("O",Commerce_session1!A6:A792,0),70)</f>
        <v>#N/A</v>
      </c>
      <c r="L471" s="494" t="e">
        <f>INDEX(Commerce_session1!A6:CX792,MATCH("O",Commerce_session1!A6:A792,0),71)</f>
        <v>#N/A</v>
      </c>
      <c r="M471" s="495"/>
      <c r="N471" s="498" t="e">
        <f>INDEX(Commerce_session1!A6:CX792,MATCH("O",Commerce_session1!A6:A792,0),97)</f>
        <v>#N/A</v>
      </c>
      <c r="O471" s="487" t="e">
        <f>INDEX(Commerce_session1!A6:CX792,MATCH("O",Commerce_session1!A6:A792,0),98)</f>
        <v>#N/A</v>
      </c>
    </row>
    <row r="472" spans="1:15" ht="18.75" customHeight="1" thickBot="1">
      <c r="A472" s="517"/>
      <c r="B472" s="526"/>
      <c r="C472" s="523"/>
      <c r="D472" s="529"/>
      <c r="E472" s="450"/>
      <c r="F472" s="100" t="s">
        <v>68</v>
      </c>
      <c r="G472" s="116">
        <v>6</v>
      </c>
      <c r="H472" s="117">
        <v>2</v>
      </c>
      <c r="I472" s="14" t="e">
        <f>INDEX(Commerce_session1!A6:CX792,MATCH("O",Commerce_session1!A6:A792,0),64)</f>
        <v>#N/A</v>
      </c>
      <c r="J472" s="15" t="e">
        <f>INDEX(Commerce_session1!A6:CX792,MATCH("O",Commerce_session1!A6:A792,0),65)</f>
        <v>#N/A</v>
      </c>
      <c r="K472" s="510"/>
      <c r="L472" s="496"/>
      <c r="M472" s="497"/>
      <c r="N472" s="498" t="e">
        <f>INDEX(Commerce_session1!F246:DA288,MATCH("a",Commerce_session1!F246:F288,0),42)</f>
        <v>#N/A</v>
      </c>
      <c r="O472" s="487" t="e">
        <f>INDEX(Commerce_session1!G246:DA288,MATCH("a",Commerce_session1!G246:G288,0),42)</f>
        <v>#N/A</v>
      </c>
    </row>
    <row r="473" spans="1:15" ht="20.25" customHeight="1" thickBot="1">
      <c r="A473" s="517"/>
      <c r="B473" s="527"/>
      <c r="C473" s="524"/>
      <c r="D473" s="530"/>
      <c r="E473" s="451"/>
      <c r="F473" s="101" t="s">
        <v>103</v>
      </c>
      <c r="G473" s="118">
        <v>4</v>
      </c>
      <c r="H473" s="119">
        <v>1</v>
      </c>
      <c r="I473" s="127" t="e">
        <f>INDEX(Commerce_session1!A6:CX792,MATCH("O",Commerce_session1!A6:A792,0),68)</f>
        <v>#N/A</v>
      </c>
      <c r="J473" s="21" t="e">
        <f>INDEX(Commerce_session1!A6:CX792,MATCH("O",Commerce_session1!A6:A792,0),69)</f>
        <v>#N/A</v>
      </c>
      <c r="K473" s="511"/>
      <c r="L473" s="490"/>
      <c r="M473" s="491"/>
      <c r="N473" s="498" t="e">
        <f>INDEX(Commerce_session1!F247:DA288,MATCH("a",Commerce_session1!F247:F288,0),42)</f>
        <v>#N/A</v>
      </c>
      <c r="O473" s="487" t="e">
        <f>INDEX(Commerce_session1!G247:DA288,MATCH("a",Commerce_session1!G247:G288,0),42)</f>
        <v>#N/A</v>
      </c>
    </row>
    <row r="474" spans="1:15" ht="22.5" customHeight="1" thickTop="1" thickBot="1">
      <c r="A474" s="517"/>
      <c r="B474" s="531" t="s">
        <v>37</v>
      </c>
      <c r="C474" s="559" t="s">
        <v>87</v>
      </c>
      <c r="D474" s="532">
        <v>10</v>
      </c>
      <c r="E474" s="508">
        <v>4</v>
      </c>
      <c r="F474" s="128" t="s">
        <v>104</v>
      </c>
      <c r="G474" s="76">
        <v>5</v>
      </c>
      <c r="H474" s="77">
        <v>2</v>
      </c>
      <c r="I474" s="18" t="e">
        <f>INDEX(Commerce_session1!A6:CX792,MATCH("O",Commerce_session1!A6:A792,0),74)</f>
        <v>#N/A</v>
      </c>
      <c r="J474" s="19" t="e">
        <f>INDEX(Commerce_session1!A6:CX792,MATCH("O",Commerce_session1!A6:A792,0),75)</f>
        <v>#N/A</v>
      </c>
      <c r="K474" s="509" t="e">
        <f>INDEX(Commerce_session1!A6:CX792,MATCH("O",Commerce_session1!A6:A792,0),80)</f>
        <v>#N/A</v>
      </c>
      <c r="L474" s="488" t="e">
        <f>INDEX(Commerce_session1!A6:CX792,MATCH("O",Commerce_session1!A6:A792,0),81)</f>
        <v>#N/A</v>
      </c>
      <c r="M474" s="489"/>
      <c r="N474" s="498" t="e">
        <f>INDEX(Commerce_session1!E249:DA288,MATCH("a",Commerce_session1!E249:E288,0),43)</f>
        <v>#N/A</v>
      </c>
      <c r="O474" s="487" t="e">
        <f>INDEX(Commerce_session1!F249:DA288,MATCH("a",Commerce_session1!F249:F288,0),43)</f>
        <v>#N/A</v>
      </c>
    </row>
    <row r="475" spans="1:15" ht="18.75" customHeight="1" thickBot="1">
      <c r="A475" s="517"/>
      <c r="B475" s="527"/>
      <c r="C475" s="524"/>
      <c r="D475" s="530"/>
      <c r="E475" s="451"/>
      <c r="F475" s="98" t="s">
        <v>69</v>
      </c>
      <c r="G475" s="74">
        <v>5</v>
      </c>
      <c r="H475" s="75">
        <v>2</v>
      </c>
      <c r="I475" s="20" t="e">
        <f>INDEX(Commerce_session1!A6:CX792,MATCH("O",Commerce_session1!A6:A792,0),78)</f>
        <v>#N/A</v>
      </c>
      <c r="J475" s="17" t="e">
        <f>INDEX(Commerce_session1!A6:CX792,MATCH("O",Commerce_session1!A6:A792,0),79)</f>
        <v>#N/A</v>
      </c>
      <c r="K475" s="511"/>
      <c r="L475" s="490"/>
      <c r="M475" s="491"/>
      <c r="N475" s="498" t="e">
        <f>INDEX(Commerce_session1!F250:DA288,MATCH("a",Commerce_session1!F250:F288,0),42)</f>
        <v>#N/A</v>
      </c>
      <c r="O475" s="487" t="e">
        <f>INDEX(Commerce_session1!G250:DA288,MATCH("a",Commerce_session1!G250:G288,0),42)</f>
        <v>#N/A</v>
      </c>
    </row>
    <row r="476" spans="1:15" ht="18.75" customHeight="1" thickTop="1" thickBot="1">
      <c r="A476" s="517"/>
      <c r="B476" s="105" t="s">
        <v>38</v>
      </c>
      <c r="C476" s="104" t="s">
        <v>85</v>
      </c>
      <c r="D476" s="22">
        <v>3</v>
      </c>
      <c r="E476" s="23">
        <v>2</v>
      </c>
      <c r="F476" s="101" t="s">
        <v>74</v>
      </c>
      <c r="G476" s="74">
        <v>3</v>
      </c>
      <c r="H476" s="75">
        <v>2</v>
      </c>
      <c r="I476" s="20" t="e">
        <f>INDEX(Commerce_session1!A6:CX792,MATCH("O",Commerce_session1!A6:A792,0),84)</f>
        <v>#N/A</v>
      </c>
      <c r="J476" s="17" t="e">
        <f>INDEX(Commerce_session1!A6:CX792,MATCH("O",Commerce_session1!A6:A792,0),85)</f>
        <v>#N/A</v>
      </c>
      <c r="K476" s="123" t="e">
        <f>INDEX(Commerce_session1!A6:CX792,MATCH("O",Commerce_session1!A6:A792,0),86)</f>
        <v>#N/A</v>
      </c>
      <c r="L476" s="512" t="e">
        <f>INDEX(Commerce_session1!A6:CX792,MATCH("O",Commerce_session1!A6:A792,0),87)</f>
        <v>#N/A</v>
      </c>
      <c r="M476" s="513"/>
      <c r="N476" s="498" t="e">
        <f>INDEX(Commerce_session1!F252:DA288,MATCH("a",Commerce_session1!F252:F288,0),42)</f>
        <v>#N/A</v>
      </c>
      <c r="O476" s="487" t="e">
        <f>INDEX(Commerce_session1!G252:DA288,MATCH("a",Commerce_session1!G252:G288,0),42)</f>
        <v>#N/A</v>
      </c>
    </row>
    <row r="477" spans="1:15" ht="20.25" customHeight="1" thickTop="1" thickBot="1">
      <c r="A477" s="518"/>
      <c r="B477" s="105" t="s">
        <v>39</v>
      </c>
      <c r="C477" s="104" t="s">
        <v>86</v>
      </c>
      <c r="D477" s="22">
        <v>1</v>
      </c>
      <c r="E477" s="23">
        <v>1</v>
      </c>
      <c r="F477" s="103" t="s">
        <v>73</v>
      </c>
      <c r="G477" s="82">
        <v>1</v>
      </c>
      <c r="H477" s="83">
        <v>1</v>
      </c>
      <c r="I477" s="25" t="e">
        <f>INDEX(Commerce_session1!A6:CX792,MATCH("O",Commerce_session1!A6:A792,0),89)</f>
        <v>#N/A</v>
      </c>
      <c r="J477" s="26" t="e">
        <f>INDEX(Commerce_session1!A6:CX792,MATCH("O",Commerce_session1!A6:A792,0),90)</f>
        <v>#N/A</v>
      </c>
      <c r="K477" s="27" t="e">
        <f>INDEX(Commerce_session1!A6:CX792,MATCH("O",Commerce_session1!A6:A792,0),91)</f>
        <v>#N/A</v>
      </c>
      <c r="L477" s="514" t="e">
        <f>INDEX(Commerce_session1!A6:CX792,MATCH("O",Commerce_session1!A6:A792,0),92)</f>
        <v>#N/A</v>
      </c>
      <c r="M477" s="515" t="e">
        <f>INDEX(Commerce_session1!D246:CZ288,MATCH("a",Commerce_session1!D246:D288,0),61)</f>
        <v>#N/A</v>
      </c>
      <c r="N477" s="498" t="e">
        <f>INDEX(Commerce_session1!F253:DA288,MATCH("a",Commerce_session1!F253:F288,0),42)</f>
        <v>#N/A</v>
      </c>
      <c r="O477" s="487" t="e">
        <f>INDEX(Commerce_session1!G253:DA288,MATCH("a",Commerce_session1!G253:G288,0),42)</f>
        <v>#N/A</v>
      </c>
    </row>
    <row r="478" spans="1:15" ht="20.25">
      <c r="A478" s="535" t="s">
        <v>40</v>
      </c>
      <c r="B478" s="536"/>
      <c r="C478" s="537"/>
      <c r="D478" s="121" t="e">
        <f>INDEX(Commerce_session1!A6:CX792,MATCH("O",Commerce_session1!A6:A792,0),99)</f>
        <v>#N/A</v>
      </c>
      <c r="E478" s="538" t="s">
        <v>41</v>
      </c>
      <c r="F478" s="540"/>
      <c r="G478" s="120" t="e">
        <f>INDEX(Commerce_session1!A6:CX792,MATCH("O",Commerce_session1!A6:A792,0),100)</f>
        <v>#N/A</v>
      </c>
      <c r="H478" s="538" t="s">
        <v>91</v>
      </c>
      <c r="I478" s="539"/>
      <c r="J478" s="539"/>
      <c r="K478" s="540"/>
      <c r="L478" s="541" t="e">
        <f>INDEX(Commerce_session1!A6:CX792,MATCH("O",Commerce_session1!A6:A792,0),101)</f>
        <v>#N/A</v>
      </c>
      <c r="M478" s="542"/>
      <c r="N478" s="8"/>
      <c r="O478" s="8"/>
    </row>
    <row r="479" spans="1:15" ht="22.5">
      <c r="A479" s="546" t="s">
        <v>42</v>
      </c>
      <c r="B479" s="547"/>
      <c r="C479" s="548"/>
      <c r="D479" s="543" t="e">
        <f>INDEX(Commerce_session1!A6:CX792,MATCH("O",Commerce_session1!A6:A792,0),102)</f>
        <v>#N/A</v>
      </c>
      <c r="E479" s="544"/>
      <c r="F479" s="545"/>
      <c r="G479" s="108"/>
      <c r="H479" s="109"/>
      <c r="I479" s="110"/>
      <c r="J479" s="111"/>
      <c r="K479" s="110"/>
      <c r="L479" s="110"/>
      <c r="M479" s="110"/>
      <c r="N479" s="112" t="s">
        <v>43</v>
      </c>
      <c r="O479" s="28">
        <f ca="1">TODAY()</f>
        <v>43626</v>
      </c>
    </row>
    <row r="480" spans="1:15" ht="32.25" customHeight="1">
      <c r="A480" s="113" t="s">
        <v>44</v>
      </c>
      <c r="B480" s="29"/>
      <c r="C480" s="29"/>
      <c r="D480" s="533"/>
      <c r="E480" s="533"/>
      <c r="F480" s="30"/>
      <c r="G480" s="4"/>
      <c r="J480" s="4"/>
      <c r="L480" s="534" t="s">
        <v>46</v>
      </c>
      <c r="M480" s="534"/>
      <c r="N480" s="534"/>
    </row>
    <row r="481" spans="1:18" ht="23.25" customHeight="1" thickBot="1">
      <c r="A481" s="84" t="s">
        <v>12</v>
      </c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445" t="s">
        <v>13</v>
      </c>
      <c r="M481" s="445"/>
      <c r="N481" s="445"/>
      <c r="O481" s="445"/>
      <c r="P481" s="2"/>
      <c r="Q481" s="2"/>
      <c r="R481" s="2"/>
    </row>
    <row r="482" spans="1:18" ht="15.75">
      <c r="A482" s="446" t="s">
        <v>14</v>
      </c>
      <c r="B482" s="446"/>
      <c r="C482" s="446"/>
      <c r="D482" s="446"/>
      <c r="E482" s="446"/>
      <c r="F482" s="3"/>
      <c r="H482" s="4"/>
      <c r="K482" s="4"/>
      <c r="L482" s="4"/>
    </row>
    <row r="483" spans="1:18" ht="15.75">
      <c r="A483" s="85" t="s">
        <v>15</v>
      </c>
      <c r="B483" s="85"/>
      <c r="C483" s="85"/>
      <c r="D483" s="85"/>
      <c r="E483" s="85"/>
      <c r="F483" s="5"/>
      <c r="H483" s="4"/>
      <c r="K483" s="4"/>
      <c r="L483" s="4"/>
      <c r="P483" s="6"/>
    </row>
    <row r="484" spans="1:18" ht="15.75">
      <c r="A484" s="85" t="s">
        <v>100</v>
      </c>
      <c r="B484" s="85"/>
      <c r="C484" s="85"/>
      <c r="D484" s="85"/>
      <c r="E484" s="85"/>
      <c r="F484" s="3"/>
      <c r="H484" s="4"/>
      <c r="K484" s="4"/>
      <c r="L484" s="4"/>
    </row>
    <row r="485" spans="1:18" s="8" customFormat="1" ht="27" customHeight="1">
      <c r="A485" s="7"/>
      <c r="B485" s="7"/>
      <c r="C485" s="7"/>
      <c r="D485" s="447" t="s">
        <v>94</v>
      </c>
      <c r="E485" s="447"/>
      <c r="F485" s="447"/>
      <c r="G485" s="447"/>
      <c r="H485" s="447"/>
      <c r="I485" s="447"/>
      <c r="J485" s="447"/>
      <c r="K485" s="447"/>
      <c r="L485" s="447"/>
      <c r="M485" s="7"/>
      <c r="N485" s="7"/>
      <c r="O485" s="7"/>
    </row>
    <row r="486" spans="1:18" ht="23.25" customHeight="1">
      <c r="A486" s="126" t="s">
        <v>101</v>
      </c>
      <c r="B486" s="126"/>
      <c r="C486" s="126"/>
      <c r="D486" s="126"/>
      <c r="E486" s="126"/>
      <c r="F486" s="126"/>
      <c r="G486" s="122"/>
      <c r="H486" s="122"/>
      <c r="I486" s="122" t="e">
        <f>IF(D511="ناجح(ة) دورة1","-الدورة الأولى-","-الدورة الثانية-")</f>
        <v>#N/A</v>
      </c>
      <c r="J486" s="124" t="s">
        <v>48</v>
      </c>
      <c r="K486" s="124"/>
      <c r="L486" s="87"/>
      <c r="M486" s="88"/>
      <c r="N486" s="89"/>
      <c r="O486" s="9"/>
    </row>
    <row r="487" spans="1:18" ht="20.25" customHeight="1">
      <c r="A487" s="476" t="s">
        <v>93</v>
      </c>
      <c r="B487" s="476"/>
      <c r="C487" s="90" t="e">
        <f>INDEX(Commerce_session1!A6:CX792,MATCH("P",Commerce_session1!A6:A792,0),3)</f>
        <v>#N/A</v>
      </c>
      <c r="D487" s="91" t="s">
        <v>92</v>
      </c>
      <c r="E487" s="448" t="e">
        <f>INDEX(Commerce_session1!A6:CX792,MATCH("P",Commerce_session1!A6:A792,0),4)</f>
        <v>#N/A</v>
      </c>
      <c r="F487" s="448" t="e">
        <f>INDEX(Commerce_session1!D278:DA572,MATCH("a",Commerce_session1!D278:D572,0),3)</f>
        <v>#N/A</v>
      </c>
      <c r="G487" s="477" t="s">
        <v>16</v>
      </c>
      <c r="H487" s="477"/>
      <c r="I487" s="477"/>
      <c r="J487" s="478" t="e">
        <f>INDEX(Commerce_session1!A6:CX792,MATCH("P",Commerce_session1!A6:A792,0),6)</f>
        <v>#N/A</v>
      </c>
      <c r="K487" s="478"/>
      <c r="L487" s="88"/>
      <c r="M487" s="92" t="s">
        <v>17</v>
      </c>
      <c r="N487" s="90" t="e">
        <f>INDEX(Commerce_session1!A6:CX792,MATCH("P",Commerce_session1!A6:A792,0),7)</f>
        <v>#N/A</v>
      </c>
      <c r="O487" s="10"/>
    </row>
    <row r="488" spans="1:18" ht="20.25" customHeight="1">
      <c r="A488" s="476" t="s">
        <v>18</v>
      </c>
      <c r="B488" s="476"/>
      <c r="C488" s="448" t="e">
        <f>INDEX(Commerce_session1!A6:CX792,MATCH("P",Commerce_session1!A6:A792,0),5)</f>
        <v>#N/A</v>
      </c>
      <c r="D488" s="448"/>
      <c r="E488" s="91"/>
      <c r="F488" s="88"/>
      <c r="G488" s="93"/>
      <c r="H488" s="88"/>
      <c r="I488" s="88"/>
      <c r="J488" s="93"/>
      <c r="K488" s="88"/>
      <c r="L488" s="88"/>
      <c r="M488" s="88"/>
      <c r="N488" s="88"/>
      <c r="O488" s="10"/>
    </row>
    <row r="489" spans="1:18" ht="20.25" customHeight="1">
      <c r="A489" s="476" t="s">
        <v>102</v>
      </c>
      <c r="B489" s="476"/>
      <c r="C489" s="476"/>
      <c r="D489" s="476"/>
      <c r="E489" s="476"/>
      <c r="F489" s="476"/>
      <c r="G489" s="476"/>
      <c r="H489" s="476"/>
      <c r="I489" s="476"/>
      <c r="J489" s="476"/>
      <c r="K489" s="476"/>
      <c r="L489" s="476"/>
      <c r="M489" s="476"/>
      <c r="N489" s="476"/>
      <c r="O489" s="476"/>
    </row>
    <row r="490" spans="1:18" ht="20.25" customHeight="1" thickBot="1">
      <c r="A490" s="459" t="s">
        <v>19</v>
      </c>
      <c r="B490" s="459"/>
      <c r="C490" s="459"/>
      <c r="D490" s="459"/>
      <c r="E490" s="459"/>
      <c r="F490" s="459"/>
      <c r="G490" s="459"/>
      <c r="H490" s="94"/>
      <c r="I490" s="94"/>
      <c r="J490" s="95"/>
      <c r="K490" s="94"/>
      <c r="L490" s="94"/>
      <c r="M490" s="94"/>
      <c r="N490" s="94"/>
      <c r="O490" s="11"/>
    </row>
    <row r="491" spans="1:18" ht="18.75" thickBot="1">
      <c r="A491" s="460" t="s">
        <v>20</v>
      </c>
      <c r="B491" s="463" t="s">
        <v>21</v>
      </c>
      <c r="C491" s="464"/>
      <c r="D491" s="464"/>
      <c r="E491" s="464"/>
      <c r="F491" s="464" t="s">
        <v>22</v>
      </c>
      <c r="G491" s="464"/>
      <c r="H491" s="464"/>
      <c r="I491" s="465" t="s">
        <v>23</v>
      </c>
      <c r="J491" s="466"/>
      <c r="K491" s="466"/>
      <c r="L491" s="466"/>
      <c r="M491" s="466"/>
      <c r="N491" s="466"/>
      <c r="O491" s="467"/>
    </row>
    <row r="492" spans="1:18">
      <c r="A492" s="461"/>
      <c r="B492" s="468" t="s">
        <v>24</v>
      </c>
      <c r="C492" s="470" t="s">
        <v>25</v>
      </c>
      <c r="D492" s="472" t="s">
        <v>26</v>
      </c>
      <c r="E492" s="474" t="s">
        <v>27</v>
      </c>
      <c r="F492" s="479" t="s">
        <v>28</v>
      </c>
      <c r="G492" s="468" t="s">
        <v>11</v>
      </c>
      <c r="H492" s="481" t="s">
        <v>27</v>
      </c>
      <c r="I492" s="482" t="s">
        <v>29</v>
      </c>
      <c r="J492" s="483"/>
      <c r="K492" s="484" t="s">
        <v>30</v>
      </c>
      <c r="L492" s="485"/>
      <c r="M492" s="486"/>
      <c r="N492" s="455" t="s">
        <v>20</v>
      </c>
      <c r="O492" s="456"/>
    </row>
    <row r="493" spans="1:18" ht="15.75" thickBot="1">
      <c r="A493" s="462"/>
      <c r="B493" s="469"/>
      <c r="C493" s="471"/>
      <c r="D493" s="473"/>
      <c r="E493" s="475"/>
      <c r="F493" s="480"/>
      <c r="G493" s="469"/>
      <c r="H493" s="473"/>
      <c r="I493" s="106" t="s">
        <v>10</v>
      </c>
      <c r="J493" s="106" t="s">
        <v>31</v>
      </c>
      <c r="K493" s="106" t="s">
        <v>32</v>
      </c>
      <c r="L493" s="457" t="s">
        <v>33</v>
      </c>
      <c r="M493" s="458"/>
      <c r="N493" s="106" t="s">
        <v>34</v>
      </c>
      <c r="O493" s="107" t="s">
        <v>35</v>
      </c>
    </row>
    <row r="494" spans="1:18" ht="18.75" customHeight="1" thickBot="1">
      <c r="A494" s="549" t="s">
        <v>76</v>
      </c>
      <c r="B494" s="552" t="s">
        <v>36</v>
      </c>
      <c r="C494" s="555" t="s">
        <v>90</v>
      </c>
      <c r="D494" s="556">
        <v>17</v>
      </c>
      <c r="E494" s="449">
        <v>6</v>
      </c>
      <c r="F494" s="96" t="s">
        <v>54</v>
      </c>
      <c r="G494" s="70">
        <v>5</v>
      </c>
      <c r="H494" s="71">
        <v>2</v>
      </c>
      <c r="I494" s="12" t="e">
        <f>INDEX(Commerce_session1!A6:CX792,MATCH("P",Commerce_session1!A6:A792,0),16)</f>
        <v>#N/A</v>
      </c>
      <c r="J494" s="13" t="e">
        <f>INDEX(Commerce_session1!A6:CX792,MATCH("P",Commerce_session1!A6:A792,0),17)</f>
        <v>#N/A</v>
      </c>
      <c r="K494" s="452" t="e">
        <f>INDEX(Commerce_session1!A6:CX792,MATCH("P",Commerce_session1!A6:A792,0),26)</f>
        <v>#N/A</v>
      </c>
      <c r="L494" s="494" t="e">
        <f>INDEX(Commerce_session1!A6:CX792,MATCH("P",Commerce_session1!A6:A792,0),27)</f>
        <v>#N/A</v>
      </c>
      <c r="M494" s="495" t="e">
        <f>INDEX(Commerce_session1!D278:CZ320,MATCH("a",Commerce_session1!D278:D320,0),15)</f>
        <v>#N/A</v>
      </c>
      <c r="N494" s="498" t="e">
        <f>INDEX(Commerce_session1!A6:CX792,MATCH("P",Commerce_session1!A6:A792,0),95)</f>
        <v>#N/A</v>
      </c>
      <c r="O494" s="487" t="e">
        <f>INDEX(Commerce_session1!A6:CX792,MATCH("P",Commerce_session1!A6:A792,0),96)</f>
        <v>#N/A</v>
      </c>
    </row>
    <row r="495" spans="1:18" ht="18.75" customHeight="1" thickBot="1">
      <c r="A495" s="550"/>
      <c r="B495" s="553"/>
      <c r="C495" s="503"/>
      <c r="D495" s="557"/>
      <c r="E495" s="450"/>
      <c r="F495" s="97" t="s">
        <v>55</v>
      </c>
      <c r="G495" s="72">
        <v>6</v>
      </c>
      <c r="H495" s="73">
        <v>2</v>
      </c>
      <c r="I495" s="14" t="e">
        <f>INDEX(Commerce_session1!A6:CX792,MATCH("P",Commerce_session1!A6:A792,0),20)</f>
        <v>#N/A</v>
      </c>
      <c r="J495" s="15" t="e">
        <f>INDEX(Commerce_session1!A6:CX792,MATCH("P",Commerce_session1!A6:A792,0),21)</f>
        <v>#N/A</v>
      </c>
      <c r="K495" s="453" t="e">
        <f>INDEX(Commerce_session1!B278:CY320,MATCH("a",Commerce_session1!B278:B320,0),14)</f>
        <v>#N/A</v>
      </c>
      <c r="L495" s="496" t="e">
        <f>INDEX(Commerce_session1!D278:CZ320,MATCH("a",Commerce_session1!D278:D320,0),14)</f>
        <v>#N/A</v>
      </c>
      <c r="M495" s="497" t="e">
        <f>INDEX(Commerce_session1!E278:DA320,MATCH("a",Commerce_session1!E278:E320,0),14)</f>
        <v>#N/A</v>
      </c>
      <c r="N495" s="498" t="e">
        <f>INDEX(Commerce_session1!#REF!,MATCH("a",Commerce_session1!#REF!,0),62)</f>
        <v>#REF!</v>
      </c>
      <c r="O495" s="487" t="e">
        <f>INDEX(Commerce_session1!#REF!,MATCH("a",Commerce_session1!#REF!,0),62)</f>
        <v>#REF!</v>
      </c>
    </row>
    <row r="496" spans="1:18" ht="18.75" customHeight="1" thickBot="1">
      <c r="A496" s="550"/>
      <c r="B496" s="554"/>
      <c r="C496" s="504"/>
      <c r="D496" s="558"/>
      <c r="E496" s="451"/>
      <c r="F496" s="98" t="s">
        <v>56</v>
      </c>
      <c r="G496" s="74">
        <v>6</v>
      </c>
      <c r="H496" s="75">
        <v>2</v>
      </c>
      <c r="I496" s="16" t="e">
        <f>INDEX(Commerce_session1!A6:CX792,MATCH("P",Commerce_session1!A6:A792,0),24)</f>
        <v>#N/A</v>
      </c>
      <c r="J496" s="17" t="e">
        <f>INDEX(Commerce_session1!A6:CX792,MATCH("P",Commerce_session1!A6:A792,0),25)</f>
        <v>#N/A</v>
      </c>
      <c r="K496" s="454" t="e">
        <f>INDEX(Commerce_session1!B280:CY320,MATCH("a",Commerce_session1!B280:B320,0),14)</f>
        <v>#N/A</v>
      </c>
      <c r="L496" s="490" t="e">
        <f>INDEX(Commerce_session1!D280:CZ320,MATCH("a",Commerce_session1!D280:D320,0),14)</f>
        <v>#N/A</v>
      </c>
      <c r="M496" s="491" t="e">
        <f>INDEX(Commerce_session1!E280:DA320,MATCH("a",Commerce_session1!E280:E320,0),14)</f>
        <v>#N/A</v>
      </c>
      <c r="N496" s="498" t="e">
        <f>INDEX(Commerce_session1!#REF!,MATCH("a",Commerce_session1!#REF!,0),62)</f>
        <v>#REF!</v>
      </c>
      <c r="O496" s="487" t="e">
        <f>INDEX(Commerce_session1!#REF!,MATCH("a",Commerce_session1!#REF!,0),62)</f>
        <v>#REF!</v>
      </c>
    </row>
    <row r="497" spans="1:15" ht="19.5" customHeight="1" thickTop="1" thickBot="1">
      <c r="A497" s="550"/>
      <c r="B497" s="499" t="s">
        <v>37</v>
      </c>
      <c r="C497" s="502" t="s">
        <v>89</v>
      </c>
      <c r="D497" s="505">
        <v>7</v>
      </c>
      <c r="E497" s="508">
        <v>5</v>
      </c>
      <c r="F497" s="99" t="s">
        <v>83</v>
      </c>
      <c r="G497" s="76">
        <v>1</v>
      </c>
      <c r="H497" s="77">
        <v>1</v>
      </c>
      <c r="I497" s="18" t="e">
        <f>INDEX(Commerce_session1!A6:CX792,MATCH("P",Commerce_session1!A6:A792,0),29)</f>
        <v>#N/A</v>
      </c>
      <c r="J497" s="19" t="e">
        <f>INDEX(Commerce_session1!A6:CX792,MATCH("P",Commerce_session1!A6:A792,0),30)</f>
        <v>#N/A</v>
      </c>
      <c r="K497" s="509" t="e">
        <f>INDEX(Commerce_session1!A6:CX792,MATCH("P",Commerce_session1!A6:A792,0),39)</f>
        <v>#N/A</v>
      </c>
      <c r="L497" s="488" t="e">
        <f>INDEX(Commerce_session1!A6:CX792,MATCH("P",Commerce_session1!A6:A792,0),40)</f>
        <v>#N/A</v>
      </c>
      <c r="M497" s="489" t="e">
        <f>INDEX(Commerce_session1!D278:CZ320,MATCH("a",Commerce_session1!D278:D320,0),23)</f>
        <v>#N/A</v>
      </c>
      <c r="N497" s="498" t="e">
        <f>INDEX(Commerce_session1!#REF!,MATCH("a",Commerce_session1!#REF!,0),62)</f>
        <v>#REF!</v>
      </c>
      <c r="O497" s="487" t="e">
        <f>INDEX(Commerce_session1!#REF!,MATCH("a",Commerce_session1!#REF!,0),62)</f>
        <v>#REF!</v>
      </c>
    </row>
    <row r="498" spans="1:15" ht="18.75" customHeight="1" thickTop="1" thickBot="1">
      <c r="A498" s="550"/>
      <c r="B498" s="500"/>
      <c r="C498" s="503"/>
      <c r="D498" s="506"/>
      <c r="E498" s="450"/>
      <c r="F498" s="100" t="s">
        <v>99</v>
      </c>
      <c r="G498" s="78">
        <v>3</v>
      </c>
      <c r="H498" s="79">
        <v>2</v>
      </c>
      <c r="I498" s="18" t="e">
        <f>INDEX(Commerce_session1!A6:CX792,MATCH("P",Commerce_session1!A6:A792,0),33)</f>
        <v>#N/A</v>
      </c>
      <c r="J498" s="15" t="e">
        <f>INDEX(Commerce_session1!A6:CX792,MATCH("P",Commerce_session1!A6:A792,0),34)</f>
        <v>#N/A</v>
      </c>
      <c r="K498" s="510" t="e">
        <f>INDEX(Commerce_session1!B277:CY320,MATCH("a",Commerce_session1!B277:B320,0),22)</f>
        <v>#N/A</v>
      </c>
      <c r="L498" s="496" t="e">
        <f>INDEX(Commerce_session1!D277:CZ320,MATCH("a",Commerce_session1!D277:D320,0),22)</f>
        <v>#N/A</v>
      </c>
      <c r="M498" s="497" t="e">
        <f>INDEX(Commerce_session1!E277:DA320,MATCH("a",Commerce_session1!E277:E320,0),22)</f>
        <v>#N/A</v>
      </c>
      <c r="N498" s="498" t="e">
        <f>INDEX(Commerce_session1!#REF!,MATCH("a",Commerce_session1!#REF!,0),62)</f>
        <v>#REF!</v>
      </c>
      <c r="O498" s="487" t="e">
        <f>INDEX(Commerce_session1!#REF!,MATCH("a",Commerce_session1!#REF!,0),62)</f>
        <v>#REF!</v>
      </c>
    </row>
    <row r="499" spans="1:15" ht="18.75" customHeight="1" thickBot="1">
      <c r="A499" s="550"/>
      <c r="B499" s="501"/>
      <c r="C499" s="504"/>
      <c r="D499" s="507"/>
      <c r="E499" s="451"/>
      <c r="F499" s="101" t="s">
        <v>84</v>
      </c>
      <c r="G499" s="80">
        <v>3</v>
      </c>
      <c r="H499" s="81">
        <v>2</v>
      </c>
      <c r="I499" s="20" t="e">
        <f>INDEX(Commerce_session1!A6:CX792,MATCH("P",Commerce_session1!A6:A792,0),37)</f>
        <v>#N/A</v>
      </c>
      <c r="J499" s="17" t="e">
        <f>INDEX(Commerce_session1!A6:CX792,MATCH("P",Commerce_session1!A6:A792,0),38)</f>
        <v>#N/A</v>
      </c>
      <c r="K499" s="511" t="e">
        <f>INDEX(Commerce_session1!B278:CY320,MATCH("a",Commerce_session1!B278:B320,0),22)</f>
        <v>#N/A</v>
      </c>
      <c r="L499" s="490" t="e">
        <f>INDEX(Commerce_session1!D278:CZ320,MATCH("a",Commerce_session1!D278:D320,0),22)</f>
        <v>#N/A</v>
      </c>
      <c r="M499" s="491" t="e">
        <f>INDEX(Commerce_session1!E278:DA320,MATCH("a",Commerce_session1!E278:E320,0),22)</f>
        <v>#N/A</v>
      </c>
      <c r="N499" s="498" t="e">
        <f>INDEX(Commerce_session1!#REF!,MATCH("a",Commerce_session1!#REF!,0),62)</f>
        <v>#REF!</v>
      </c>
      <c r="O499" s="487" t="e">
        <f>INDEX(Commerce_session1!#REF!,MATCH("a",Commerce_session1!#REF!,0),62)</f>
        <v>#REF!</v>
      </c>
    </row>
    <row r="500" spans="1:15" ht="33.75" customHeight="1" thickTop="1" thickBot="1">
      <c r="A500" s="550"/>
      <c r="B500" s="531" t="s">
        <v>38</v>
      </c>
      <c r="C500" s="559" t="s">
        <v>50</v>
      </c>
      <c r="D500" s="520">
        <v>5</v>
      </c>
      <c r="E500" s="508">
        <v>2</v>
      </c>
      <c r="F500" s="102" t="s">
        <v>63</v>
      </c>
      <c r="G500" s="68">
        <v>4</v>
      </c>
      <c r="H500" s="69">
        <v>1</v>
      </c>
      <c r="I500" s="18" t="e">
        <f>INDEX(Commerce_session1!A6:CX792,MATCH("P",Commerce_session1!A6:A792,0),43)</f>
        <v>#N/A</v>
      </c>
      <c r="J500" s="19" t="e">
        <f>INDEX(Commerce_session1!A6:CX792,MATCH("P",Commerce_session1!A6:A792,0),44)</f>
        <v>#N/A</v>
      </c>
      <c r="K500" s="509" t="e">
        <f>INDEX(Commerce_session1!A6:CX792,MATCH("P",Commerce_session1!A6:A792,0),48)</f>
        <v>#N/A</v>
      </c>
      <c r="L500" s="488" t="e">
        <f>INDEX(Commerce_session1!A6:CX792,MATCH("P",Commerce_session1!A6:A792,0),49)</f>
        <v>#N/A</v>
      </c>
      <c r="M500" s="489" t="e">
        <f>INDEX(Commerce_session1!D278:CZ320,MATCH("a",Commerce_session1!D278:D320,0),29)</f>
        <v>#N/A</v>
      </c>
      <c r="N500" s="498" t="e">
        <f>INDEX(Commerce_session1!#REF!,MATCH("a",Commerce_session1!#REF!,0),62)</f>
        <v>#REF!</v>
      </c>
      <c r="O500" s="487" t="e">
        <f>INDEX(Commerce_session1!#REF!,MATCH("a",Commerce_session1!#REF!,0),62)</f>
        <v>#REF!</v>
      </c>
    </row>
    <row r="501" spans="1:15" ht="18.75" customHeight="1" thickBot="1">
      <c r="A501" s="550"/>
      <c r="B501" s="527"/>
      <c r="C501" s="524"/>
      <c r="D501" s="521"/>
      <c r="E501" s="451"/>
      <c r="F501" s="101" t="s">
        <v>62</v>
      </c>
      <c r="G501" s="80">
        <v>1</v>
      </c>
      <c r="H501" s="81">
        <v>1</v>
      </c>
      <c r="I501" s="16" t="e">
        <f>INDEX(Commerce_session1!A6:CX792,MATCH("P",Commerce_session1!A6:A792,0),46)</f>
        <v>#N/A</v>
      </c>
      <c r="J501" s="21" t="e">
        <f>INDEX(Commerce_session1!A6:CX792,MATCH("P",Commerce_session1!A6:A792,0),47)</f>
        <v>#N/A</v>
      </c>
      <c r="K501" s="511" t="e">
        <f>INDEX(Commerce_session1!B278:CY320,MATCH("a",Commerce_session1!B278:B320,0),28)</f>
        <v>#N/A</v>
      </c>
      <c r="L501" s="490" t="e">
        <f>INDEX(Commerce_session1!D278:CZ320,MATCH("a",Commerce_session1!D278:D320,0),28)</f>
        <v>#N/A</v>
      </c>
      <c r="M501" s="491" t="e">
        <f>INDEX(Commerce_session1!E278:DA320,MATCH("a",Commerce_session1!E278:E320,0),28)</f>
        <v>#N/A</v>
      </c>
      <c r="N501" s="498" t="e">
        <f>INDEX(Commerce_session1!#REF!,MATCH("a",Commerce_session1!#REF!,0),62)</f>
        <v>#REF!</v>
      </c>
      <c r="O501" s="487" t="e">
        <f>INDEX(Commerce_session1!#REF!,MATCH("a",Commerce_session1!#REF!,0),62)</f>
        <v>#REF!</v>
      </c>
    </row>
    <row r="502" spans="1:15" ht="20.25" customHeight="1" thickTop="1" thickBot="1">
      <c r="A502" s="551"/>
      <c r="B502" s="105" t="s">
        <v>39</v>
      </c>
      <c r="C502" s="104" t="s">
        <v>51</v>
      </c>
      <c r="D502" s="22">
        <v>1</v>
      </c>
      <c r="E502" s="23">
        <v>1</v>
      </c>
      <c r="F502" s="103" t="s">
        <v>64</v>
      </c>
      <c r="G502" s="82">
        <v>1</v>
      </c>
      <c r="H502" s="83">
        <v>1</v>
      </c>
      <c r="I502" s="20" t="e">
        <f>INDEX(Commerce_session1!A6:CX792,MATCH("P",Commerce_session1!A6:A792,0),52)</f>
        <v>#N/A</v>
      </c>
      <c r="J502" s="24" t="e">
        <f>INDEX(Commerce_session1!A6:CX792,MATCH("P",Commerce_session1!A6:A792,0),53)</f>
        <v>#N/A</v>
      </c>
      <c r="K502" s="36" t="e">
        <f>INDEX(Commerce_session1!A6:CX792,MATCH("P",Commerce_session1!A6:A792,0),54)</f>
        <v>#N/A</v>
      </c>
      <c r="L502" s="492" t="e">
        <f>INDEX(Commerce_session1!A6:CX792,MATCH("P",Commerce_session1!A6:A792,0),55)</f>
        <v>#N/A</v>
      </c>
      <c r="M502" s="493" t="e">
        <f>INDEX(Commerce_session1!D278:CZ320,MATCH("a",Commerce_session1!D278:D320,0),33)</f>
        <v>#N/A</v>
      </c>
      <c r="N502" s="498" t="e">
        <f>INDEX(Commerce_session1!#REF!,MATCH("a",Commerce_session1!#REF!,0),62)</f>
        <v>#REF!</v>
      </c>
      <c r="O502" s="487" t="e">
        <f>INDEX(Commerce_session1!#REF!,MATCH("a",Commerce_session1!#REF!,0),62)</f>
        <v>#REF!</v>
      </c>
    </row>
    <row r="503" spans="1:15" ht="19.5" customHeight="1" thickTop="1" thickBot="1">
      <c r="A503" s="516" t="s">
        <v>77</v>
      </c>
      <c r="B503" s="525" t="s">
        <v>36</v>
      </c>
      <c r="C503" s="522" t="s">
        <v>88</v>
      </c>
      <c r="D503" s="528">
        <v>16</v>
      </c>
      <c r="E503" s="449">
        <v>5</v>
      </c>
      <c r="F503" s="96" t="s">
        <v>67</v>
      </c>
      <c r="G503" s="114">
        <v>6</v>
      </c>
      <c r="H503" s="115">
        <v>2</v>
      </c>
      <c r="I503" s="18" t="e">
        <f>INDEX(Commerce_session1!A6:CX792,MATCH("P",Commerce_session1!A6:A792,0),60)</f>
        <v>#N/A</v>
      </c>
      <c r="J503" s="19" t="e">
        <f>INDEX(Commerce_session1!A6:CX792,MATCH("P",Commerce_session1!A6:A792,0),61)</f>
        <v>#N/A</v>
      </c>
      <c r="K503" s="519" t="e">
        <f>INDEX(Commerce_session1!A6:CX792,MATCH("P",Commerce_session1!A6:A792,0),70)</f>
        <v>#N/A</v>
      </c>
      <c r="L503" s="494" t="e">
        <f>INDEX(Commerce_session1!A6:CX792,MATCH("P",Commerce_session1!A6:A792,0),71)</f>
        <v>#N/A</v>
      </c>
      <c r="M503" s="495"/>
      <c r="N503" s="498" t="e">
        <f>INDEX(Commerce_session1!A6:CX792,MATCH("P",Commerce_session1!A6:A792,0),97)</f>
        <v>#N/A</v>
      </c>
      <c r="O503" s="487" t="e">
        <f>INDEX(Commerce_session1!A6:CX792,MATCH("P",Commerce_session1!A6:A792,0),98)</f>
        <v>#N/A</v>
      </c>
    </row>
    <row r="504" spans="1:15" ht="18.75" customHeight="1" thickBot="1">
      <c r="A504" s="517"/>
      <c r="B504" s="526"/>
      <c r="C504" s="523"/>
      <c r="D504" s="529"/>
      <c r="E504" s="450"/>
      <c r="F504" s="100" t="s">
        <v>68</v>
      </c>
      <c r="G504" s="116">
        <v>6</v>
      </c>
      <c r="H504" s="117">
        <v>2</v>
      </c>
      <c r="I504" s="14" t="e">
        <f>INDEX(Commerce_session1!A6:CX792,MATCH("P",Commerce_session1!A6:A792,0),64)</f>
        <v>#N/A</v>
      </c>
      <c r="J504" s="15" t="e">
        <f>INDEX(Commerce_session1!A6:CX792,MATCH("P",Commerce_session1!A6:A792,0),65)</f>
        <v>#N/A</v>
      </c>
      <c r="K504" s="510"/>
      <c r="L504" s="496"/>
      <c r="M504" s="497"/>
      <c r="N504" s="498" t="e">
        <f>INDEX(Commerce_session1!F278:DA320,MATCH("a",Commerce_session1!F278:F320,0),42)</f>
        <v>#N/A</v>
      </c>
      <c r="O504" s="487" t="e">
        <f>INDEX(Commerce_session1!G278:DA320,MATCH("a",Commerce_session1!G278:G320,0),42)</f>
        <v>#N/A</v>
      </c>
    </row>
    <row r="505" spans="1:15" ht="20.25" customHeight="1" thickBot="1">
      <c r="A505" s="517"/>
      <c r="B505" s="527"/>
      <c r="C505" s="524"/>
      <c r="D505" s="530"/>
      <c r="E505" s="451"/>
      <c r="F505" s="101" t="s">
        <v>103</v>
      </c>
      <c r="G505" s="118">
        <v>4</v>
      </c>
      <c r="H505" s="119">
        <v>1</v>
      </c>
      <c r="I505" s="127" t="e">
        <f>INDEX(Commerce_session1!A6:CX792,MATCH("P",Commerce_session1!A6:A792,0),68)</f>
        <v>#N/A</v>
      </c>
      <c r="J505" s="21" t="e">
        <f>INDEX(Commerce_session1!A6:CX792,MATCH("P",Commerce_session1!A6:A792,0),69)</f>
        <v>#N/A</v>
      </c>
      <c r="K505" s="511"/>
      <c r="L505" s="490"/>
      <c r="M505" s="491"/>
      <c r="N505" s="498" t="e">
        <f>INDEX(Commerce_session1!F279:DA320,MATCH("a",Commerce_session1!F279:F320,0),42)</f>
        <v>#N/A</v>
      </c>
      <c r="O505" s="487" t="e">
        <f>INDEX(Commerce_session1!G279:DA320,MATCH("a",Commerce_session1!G279:G320,0),42)</f>
        <v>#N/A</v>
      </c>
    </row>
    <row r="506" spans="1:15" ht="22.5" customHeight="1" thickTop="1" thickBot="1">
      <c r="A506" s="517"/>
      <c r="B506" s="531" t="s">
        <v>37</v>
      </c>
      <c r="C506" s="559" t="s">
        <v>87</v>
      </c>
      <c r="D506" s="532">
        <v>10</v>
      </c>
      <c r="E506" s="508">
        <v>4</v>
      </c>
      <c r="F506" s="128" t="s">
        <v>104</v>
      </c>
      <c r="G506" s="76">
        <v>5</v>
      </c>
      <c r="H506" s="77">
        <v>2</v>
      </c>
      <c r="I506" s="18" t="e">
        <f>INDEX(Commerce_session1!A6:CX792,MATCH("P",Commerce_session1!A6:A792,0),74)</f>
        <v>#N/A</v>
      </c>
      <c r="J506" s="19" t="e">
        <f>INDEX(Commerce_session1!A6:CX792,MATCH("P",Commerce_session1!A6:A792,0),75)</f>
        <v>#N/A</v>
      </c>
      <c r="K506" s="509" t="e">
        <f>INDEX(Commerce_session1!A6:CX792,MATCH("P",Commerce_session1!A6:A792,0),80)</f>
        <v>#N/A</v>
      </c>
      <c r="L506" s="488" t="e">
        <f>INDEX(Commerce_session1!A6:CX792,MATCH("P",Commerce_session1!A6:A792,0),81)</f>
        <v>#N/A</v>
      </c>
      <c r="M506" s="489"/>
      <c r="N506" s="498" t="e">
        <f>INDEX(Commerce_session1!E281:DA320,MATCH("a",Commerce_session1!E281:E320,0),43)</f>
        <v>#N/A</v>
      </c>
      <c r="O506" s="487" t="e">
        <f>INDEX(Commerce_session1!F281:DA320,MATCH("a",Commerce_session1!F281:F320,0),43)</f>
        <v>#N/A</v>
      </c>
    </row>
    <row r="507" spans="1:15" ht="18.75" customHeight="1" thickBot="1">
      <c r="A507" s="517"/>
      <c r="B507" s="527"/>
      <c r="C507" s="524"/>
      <c r="D507" s="530"/>
      <c r="E507" s="451"/>
      <c r="F507" s="98" t="s">
        <v>69</v>
      </c>
      <c r="G507" s="74">
        <v>5</v>
      </c>
      <c r="H507" s="75">
        <v>2</v>
      </c>
      <c r="I507" s="20" t="e">
        <f>INDEX(Commerce_session1!A6:CX792,MATCH("P",Commerce_session1!A6:A792,0),78)</f>
        <v>#N/A</v>
      </c>
      <c r="J507" s="17" t="e">
        <f>INDEX(Commerce_session1!A6:CX792,MATCH("P",Commerce_session1!A6:A792,0),79)</f>
        <v>#N/A</v>
      </c>
      <c r="K507" s="511"/>
      <c r="L507" s="490"/>
      <c r="M507" s="491"/>
      <c r="N507" s="498" t="e">
        <f>INDEX(Commerce_session1!F282:DA320,MATCH("a",Commerce_session1!F282:F320,0),42)</f>
        <v>#N/A</v>
      </c>
      <c r="O507" s="487" t="e">
        <f>INDEX(Commerce_session1!G282:DA320,MATCH("a",Commerce_session1!G282:G320,0),42)</f>
        <v>#N/A</v>
      </c>
    </row>
    <row r="508" spans="1:15" ht="18.75" customHeight="1" thickTop="1" thickBot="1">
      <c r="A508" s="517"/>
      <c r="B508" s="105" t="s">
        <v>38</v>
      </c>
      <c r="C508" s="104" t="s">
        <v>85</v>
      </c>
      <c r="D508" s="22">
        <v>3</v>
      </c>
      <c r="E508" s="23">
        <v>2</v>
      </c>
      <c r="F508" s="101" t="s">
        <v>74</v>
      </c>
      <c r="G508" s="74">
        <v>3</v>
      </c>
      <c r="H508" s="75">
        <v>2</v>
      </c>
      <c r="I508" s="20" t="e">
        <f>INDEX(Commerce_session1!A6:CX792,MATCH("P",Commerce_session1!A6:A792,0),84)</f>
        <v>#N/A</v>
      </c>
      <c r="J508" s="17" t="e">
        <f>INDEX(Commerce_session1!A6:CX792,MATCH("P",Commerce_session1!A6:A792,0),85)</f>
        <v>#N/A</v>
      </c>
      <c r="K508" s="123" t="e">
        <f>INDEX(Commerce_session1!A6:CX792,MATCH("P",Commerce_session1!A6:A792,0),86)</f>
        <v>#N/A</v>
      </c>
      <c r="L508" s="512" t="e">
        <f>INDEX(Commerce_session1!A6:CX792,MATCH("P",Commerce_session1!A6:A792,0),87)</f>
        <v>#N/A</v>
      </c>
      <c r="M508" s="513"/>
      <c r="N508" s="498" t="e">
        <f>INDEX(Commerce_session1!F284:DA320,MATCH("a",Commerce_session1!F284:F320,0),42)</f>
        <v>#N/A</v>
      </c>
      <c r="O508" s="487" t="e">
        <f>INDEX(Commerce_session1!G284:DA320,MATCH("a",Commerce_session1!G284:G320,0),42)</f>
        <v>#N/A</v>
      </c>
    </row>
    <row r="509" spans="1:15" ht="20.25" customHeight="1" thickTop="1" thickBot="1">
      <c r="A509" s="518"/>
      <c r="B509" s="105" t="s">
        <v>39</v>
      </c>
      <c r="C509" s="104" t="s">
        <v>86</v>
      </c>
      <c r="D509" s="22">
        <v>1</v>
      </c>
      <c r="E509" s="23">
        <v>1</v>
      </c>
      <c r="F509" s="103" t="s">
        <v>73</v>
      </c>
      <c r="G509" s="82">
        <v>1</v>
      </c>
      <c r="H509" s="83">
        <v>1</v>
      </c>
      <c r="I509" s="25" t="e">
        <f>INDEX(Commerce_session1!A6:CX792,MATCH("P",Commerce_session1!A6:A792,0),89)</f>
        <v>#N/A</v>
      </c>
      <c r="J509" s="26" t="e">
        <f>INDEX(Commerce_session1!A6:CX792,MATCH("P",Commerce_session1!A6:A792,0),90)</f>
        <v>#N/A</v>
      </c>
      <c r="K509" s="27" t="e">
        <f>INDEX(Commerce_session1!A6:CX792,MATCH("P",Commerce_session1!A6:A792,0),91)</f>
        <v>#N/A</v>
      </c>
      <c r="L509" s="514" t="e">
        <f>INDEX(Commerce_session1!A6:CX792,MATCH("P",Commerce_session1!A6:A792,0),92)</f>
        <v>#N/A</v>
      </c>
      <c r="M509" s="515" t="e">
        <f>INDEX(Commerce_session1!D278:CZ320,MATCH("a",Commerce_session1!D278:D320,0),61)</f>
        <v>#N/A</v>
      </c>
      <c r="N509" s="498" t="e">
        <f>INDEX(Commerce_session1!F285:DA320,MATCH("a",Commerce_session1!F285:F320,0),42)</f>
        <v>#N/A</v>
      </c>
      <c r="O509" s="487" t="e">
        <f>INDEX(Commerce_session1!G285:DA320,MATCH("a",Commerce_session1!G285:G320,0),42)</f>
        <v>#N/A</v>
      </c>
    </row>
    <row r="510" spans="1:15" ht="20.25">
      <c r="A510" s="535" t="s">
        <v>40</v>
      </c>
      <c r="B510" s="536"/>
      <c r="C510" s="537"/>
      <c r="D510" s="121" t="e">
        <f>INDEX(Commerce_session1!A6:CX792,MATCH("P",Commerce_session1!A6:A792,0),99)</f>
        <v>#N/A</v>
      </c>
      <c r="E510" s="538" t="s">
        <v>41</v>
      </c>
      <c r="F510" s="540"/>
      <c r="G510" s="120" t="e">
        <f>INDEX(Commerce_session1!A6:CX792,MATCH("P",Commerce_session1!A6:A792,0),100)</f>
        <v>#N/A</v>
      </c>
      <c r="H510" s="538" t="s">
        <v>91</v>
      </c>
      <c r="I510" s="539"/>
      <c r="J510" s="539"/>
      <c r="K510" s="540"/>
      <c r="L510" s="541" t="e">
        <f>INDEX(Commerce_session1!A6:CX792,MATCH("P",Commerce_session1!A6:A792,0),101)</f>
        <v>#N/A</v>
      </c>
      <c r="M510" s="542"/>
      <c r="N510" s="8"/>
      <c r="O510" s="8"/>
    </row>
    <row r="511" spans="1:15" ht="22.5">
      <c r="A511" s="546" t="s">
        <v>42</v>
      </c>
      <c r="B511" s="547"/>
      <c r="C511" s="548"/>
      <c r="D511" s="543" t="e">
        <f>INDEX(Commerce_session1!A6:CX792,MATCH("P",Commerce_session1!A6:A792,0),102)</f>
        <v>#N/A</v>
      </c>
      <c r="E511" s="544"/>
      <c r="F511" s="545"/>
      <c r="G511" s="108"/>
      <c r="H511" s="109"/>
      <c r="I511" s="110"/>
      <c r="J511" s="111"/>
      <c r="K511" s="110"/>
      <c r="L511" s="110"/>
      <c r="M511" s="110"/>
      <c r="N511" s="112" t="s">
        <v>43</v>
      </c>
      <c r="O511" s="28">
        <f ca="1">TODAY()</f>
        <v>43626</v>
      </c>
    </row>
    <row r="512" spans="1:15" ht="32.25" customHeight="1">
      <c r="A512" s="113" t="s">
        <v>44</v>
      </c>
      <c r="B512" s="29"/>
      <c r="C512" s="29"/>
      <c r="D512" s="533"/>
      <c r="E512" s="533"/>
      <c r="F512" s="30"/>
      <c r="G512" s="4"/>
      <c r="J512" s="4"/>
      <c r="L512" s="534" t="s">
        <v>46</v>
      </c>
      <c r="M512" s="534"/>
      <c r="N512" s="534"/>
    </row>
    <row r="513" spans="1:18" ht="23.25" customHeight="1" thickBot="1">
      <c r="A513" s="84" t="s">
        <v>12</v>
      </c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445" t="s">
        <v>13</v>
      </c>
      <c r="M513" s="445"/>
      <c r="N513" s="445"/>
      <c r="O513" s="445"/>
      <c r="P513" s="2"/>
      <c r="Q513" s="2"/>
      <c r="R513" s="2"/>
    </row>
    <row r="514" spans="1:18" ht="15.75">
      <c r="A514" s="446" t="s">
        <v>14</v>
      </c>
      <c r="B514" s="446"/>
      <c r="C514" s="446"/>
      <c r="D514" s="446"/>
      <c r="E514" s="446"/>
      <c r="F514" s="3"/>
      <c r="H514" s="4"/>
      <c r="K514" s="4"/>
      <c r="L514" s="4"/>
    </row>
    <row r="515" spans="1:18" ht="15.75">
      <c r="A515" s="85" t="s">
        <v>15</v>
      </c>
      <c r="B515" s="85"/>
      <c r="C515" s="85"/>
      <c r="D515" s="85"/>
      <c r="E515" s="85"/>
      <c r="F515" s="5"/>
      <c r="H515" s="4"/>
      <c r="K515" s="4"/>
      <c r="L515" s="4"/>
      <c r="P515" s="6"/>
    </row>
    <row r="516" spans="1:18" ht="15.75">
      <c r="A516" s="85" t="s">
        <v>100</v>
      </c>
      <c r="B516" s="85"/>
      <c r="C516" s="85"/>
      <c r="D516" s="85"/>
      <c r="E516" s="85"/>
      <c r="F516" s="3"/>
      <c r="H516" s="4"/>
      <c r="K516" s="4"/>
      <c r="L516" s="4"/>
    </row>
    <row r="517" spans="1:18" s="8" customFormat="1" ht="27" customHeight="1">
      <c r="A517" s="7"/>
      <c r="B517" s="7"/>
      <c r="C517" s="7"/>
      <c r="D517" s="447" t="s">
        <v>94</v>
      </c>
      <c r="E517" s="447"/>
      <c r="F517" s="447"/>
      <c r="G517" s="447"/>
      <c r="H517" s="447"/>
      <c r="I517" s="447"/>
      <c r="J517" s="447"/>
      <c r="K517" s="447"/>
      <c r="L517" s="447"/>
      <c r="M517" s="7"/>
      <c r="N517" s="7"/>
      <c r="O517" s="7"/>
    </row>
    <row r="518" spans="1:18" ht="23.25" customHeight="1">
      <c r="A518" s="126" t="s">
        <v>101</v>
      </c>
      <c r="B518" s="126"/>
      <c r="C518" s="126"/>
      <c r="D518" s="126"/>
      <c r="E518" s="126"/>
      <c r="F518" s="126"/>
      <c r="G518" s="122"/>
      <c r="H518" s="122"/>
      <c r="I518" s="122" t="e">
        <f>IF(D543="ناجح(ة) دورة1","-الدورة الأولى-","-الدورة الثانية-")</f>
        <v>#N/A</v>
      </c>
      <c r="J518" s="124" t="s">
        <v>48</v>
      </c>
      <c r="K518" s="124"/>
      <c r="L518" s="87"/>
      <c r="M518" s="88"/>
      <c r="N518" s="89"/>
      <c r="O518" s="9"/>
    </row>
    <row r="519" spans="1:18" ht="20.25" customHeight="1">
      <c r="A519" s="476" t="s">
        <v>93</v>
      </c>
      <c r="B519" s="476"/>
      <c r="C519" s="90" t="e">
        <f>INDEX(Commerce_session1!A6:CX792,MATCH("Q",Commerce_session1!A6:A792,0),3)</f>
        <v>#N/A</v>
      </c>
      <c r="D519" s="91" t="s">
        <v>92</v>
      </c>
      <c r="E519" s="448" t="e">
        <f>INDEX(Commerce_session1!A6:CX792,MATCH("Q",Commerce_session1!A6:A792,0),4)</f>
        <v>#N/A</v>
      </c>
      <c r="F519" s="448" t="e">
        <f>INDEX(Commerce_session1!D310:DA604,MATCH("a",Commerce_session1!D310:D604,0),3)</f>
        <v>#N/A</v>
      </c>
      <c r="G519" s="477" t="s">
        <v>16</v>
      </c>
      <c r="H519" s="477"/>
      <c r="I519" s="477"/>
      <c r="J519" s="478" t="e">
        <f>INDEX(Commerce_session1!A6:CX792,MATCH("Q",Commerce_session1!A6:A792,0),6)</f>
        <v>#N/A</v>
      </c>
      <c r="K519" s="478"/>
      <c r="L519" s="88"/>
      <c r="M519" s="92" t="s">
        <v>17</v>
      </c>
      <c r="N519" s="90" t="e">
        <f>INDEX(Commerce_session1!A6:CX792,MATCH("Q",Commerce_session1!A6:A792,0),7)</f>
        <v>#N/A</v>
      </c>
      <c r="O519" s="10"/>
    </row>
    <row r="520" spans="1:18" ht="20.25" customHeight="1">
      <c r="A520" s="476" t="s">
        <v>18</v>
      </c>
      <c r="B520" s="476"/>
      <c r="C520" s="448" t="e">
        <f>INDEX(Commerce_session1!A6:CX792,MATCH("Q",Commerce_session1!A6:A792,0),5)</f>
        <v>#N/A</v>
      </c>
      <c r="D520" s="448"/>
      <c r="E520" s="91"/>
      <c r="F520" s="88"/>
      <c r="G520" s="93"/>
      <c r="H520" s="88"/>
      <c r="I520" s="88"/>
      <c r="J520" s="93"/>
      <c r="K520" s="88"/>
      <c r="L520" s="88"/>
      <c r="M520" s="88"/>
      <c r="N520" s="88"/>
      <c r="O520" s="10"/>
    </row>
    <row r="521" spans="1:18" ht="20.25" customHeight="1">
      <c r="A521" s="476" t="s">
        <v>102</v>
      </c>
      <c r="B521" s="476"/>
      <c r="C521" s="476"/>
      <c r="D521" s="476"/>
      <c r="E521" s="476"/>
      <c r="F521" s="476"/>
      <c r="G521" s="476"/>
      <c r="H521" s="476"/>
      <c r="I521" s="476"/>
      <c r="J521" s="476"/>
      <c r="K521" s="476"/>
      <c r="L521" s="476"/>
      <c r="M521" s="476"/>
      <c r="N521" s="476"/>
      <c r="O521" s="476"/>
    </row>
    <row r="522" spans="1:18" ht="20.25" customHeight="1" thickBot="1">
      <c r="A522" s="459" t="s">
        <v>19</v>
      </c>
      <c r="B522" s="459"/>
      <c r="C522" s="459"/>
      <c r="D522" s="459"/>
      <c r="E522" s="459"/>
      <c r="F522" s="459"/>
      <c r="G522" s="459"/>
      <c r="H522" s="94"/>
      <c r="I522" s="94"/>
      <c r="J522" s="95"/>
      <c r="K522" s="94"/>
      <c r="L522" s="94"/>
      <c r="M522" s="94"/>
      <c r="N522" s="94"/>
      <c r="O522" s="11"/>
    </row>
    <row r="523" spans="1:18" ht="18.75" thickBot="1">
      <c r="A523" s="460" t="s">
        <v>20</v>
      </c>
      <c r="B523" s="463" t="s">
        <v>21</v>
      </c>
      <c r="C523" s="464"/>
      <c r="D523" s="464"/>
      <c r="E523" s="464"/>
      <c r="F523" s="464" t="s">
        <v>22</v>
      </c>
      <c r="G523" s="464"/>
      <c r="H523" s="464"/>
      <c r="I523" s="465" t="s">
        <v>23</v>
      </c>
      <c r="J523" s="466"/>
      <c r="K523" s="466"/>
      <c r="L523" s="466"/>
      <c r="M523" s="466"/>
      <c r="N523" s="466"/>
      <c r="O523" s="467"/>
    </row>
    <row r="524" spans="1:18">
      <c r="A524" s="461"/>
      <c r="B524" s="468" t="s">
        <v>24</v>
      </c>
      <c r="C524" s="470" t="s">
        <v>25</v>
      </c>
      <c r="D524" s="472" t="s">
        <v>26</v>
      </c>
      <c r="E524" s="474" t="s">
        <v>27</v>
      </c>
      <c r="F524" s="479" t="s">
        <v>28</v>
      </c>
      <c r="G524" s="468" t="s">
        <v>11</v>
      </c>
      <c r="H524" s="481" t="s">
        <v>27</v>
      </c>
      <c r="I524" s="482" t="s">
        <v>29</v>
      </c>
      <c r="J524" s="483"/>
      <c r="K524" s="484" t="s">
        <v>30</v>
      </c>
      <c r="L524" s="485"/>
      <c r="M524" s="486"/>
      <c r="N524" s="455" t="s">
        <v>20</v>
      </c>
      <c r="O524" s="456"/>
    </row>
    <row r="525" spans="1:18" ht="15.75" thickBot="1">
      <c r="A525" s="462"/>
      <c r="B525" s="469"/>
      <c r="C525" s="471"/>
      <c r="D525" s="473"/>
      <c r="E525" s="475"/>
      <c r="F525" s="480"/>
      <c r="G525" s="469"/>
      <c r="H525" s="473"/>
      <c r="I525" s="106" t="s">
        <v>10</v>
      </c>
      <c r="J525" s="106" t="s">
        <v>31</v>
      </c>
      <c r="K525" s="106" t="s">
        <v>32</v>
      </c>
      <c r="L525" s="457" t="s">
        <v>33</v>
      </c>
      <c r="M525" s="458"/>
      <c r="N525" s="106" t="s">
        <v>34</v>
      </c>
      <c r="O525" s="107" t="s">
        <v>35</v>
      </c>
    </row>
    <row r="526" spans="1:18" ht="18.75" customHeight="1" thickBot="1">
      <c r="A526" s="549" t="s">
        <v>76</v>
      </c>
      <c r="B526" s="552" t="s">
        <v>36</v>
      </c>
      <c r="C526" s="555" t="s">
        <v>90</v>
      </c>
      <c r="D526" s="556">
        <v>17</v>
      </c>
      <c r="E526" s="449">
        <v>6</v>
      </c>
      <c r="F526" s="96" t="s">
        <v>54</v>
      </c>
      <c r="G526" s="70">
        <v>5</v>
      </c>
      <c r="H526" s="71">
        <v>2</v>
      </c>
      <c r="I526" s="12" t="e">
        <f>INDEX(Commerce_session1!A6:CX792,MATCH("Q",Commerce_session1!A6:A792,0),16)</f>
        <v>#N/A</v>
      </c>
      <c r="J526" s="13" t="e">
        <f>INDEX(Commerce_session1!A6:CX792,MATCH("Q",Commerce_session1!A6:A792,0),17)</f>
        <v>#N/A</v>
      </c>
      <c r="K526" s="452" t="e">
        <f>INDEX(Commerce_session1!A6:CX792,MATCH("Q",Commerce_session1!A6:A792,0),26)</f>
        <v>#N/A</v>
      </c>
      <c r="L526" s="494" t="e">
        <f>INDEX(Commerce_session1!A6:CX792,MATCH("Q",Commerce_session1!A6:A792,0),27)</f>
        <v>#N/A</v>
      </c>
      <c r="M526" s="495" t="e">
        <f>INDEX(Commerce_session1!D310:CZ352,MATCH("a",Commerce_session1!D310:D352,0),15)</f>
        <v>#N/A</v>
      </c>
      <c r="N526" s="498" t="e">
        <f>INDEX(Commerce_session1!A6:CX792,MATCH("Q",Commerce_session1!A6:A792,0),95)</f>
        <v>#N/A</v>
      </c>
      <c r="O526" s="487" t="e">
        <f>INDEX(Commerce_session1!A6:CX792,MATCH("Q",Commerce_session1!A6:A792,0),96)</f>
        <v>#N/A</v>
      </c>
    </row>
    <row r="527" spans="1:18" ht="18.75" customHeight="1" thickBot="1">
      <c r="A527" s="550"/>
      <c r="B527" s="553"/>
      <c r="C527" s="503"/>
      <c r="D527" s="557"/>
      <c r="E527" s="450"/>
      <c r="F527" s="97" t="s">
        <v>55</v>
      </c>
      <c r="G527" s="72">
        <v>6</v>
      </c>
      <c r="H527" s="73">
        <v>2</v>
      </c>
      <c r="I527" s="14" t="e">
        <f>INDEX(Commerce_session1!A6:CX792,MATCH("Q",Commerce_session1!A6:A792,0),20)</f>
        <v>#N/A</v>
      </c>
      <c r="J527" s="15" t="e">
        <f>INDEX(Commerce_session1!A6:CX792,MATCH("Q",Commerce_session1!A6:A792,0),21)</f>
        <v>#N/A</v>
      </c>
      <c r="K527" s="453" t="e">
        <f>INDEX(Commerce_session1!B310:CY352,MATCH("a",Commerce_session1!B310:B352,0),14)</f>
        <v>#N/A</v>
      </c>
      <c r="L527" s="496" t="e">
        <f>INDEX(Commerce_session1!D310:CZ352,MATCH("a",Commerce_session1!D310:D352,0),14)</f>
        <v>#N/A</v>
      </c>
      <c r="M527" s="497" t="e">
        <f>INDEX(Commerce_session1!E310:DA352,MATCH("a",Commerce_session1!E310:E352,0),14)</f>
        <v>#N/A</v>
      </c>
      <c r="N527" s="498" t="e">
        <f>INDEX(Commerce_session1!#REF!,MATCH("a",Commerce_session1!#REF!,0),62)</f>
        <v>#REF!</v>
      </c>
      <c r="O527" s="487" t="e">
        <f>INDEX(Commerce_session1!#REF!,MATCH("a",Commerce_session1!#REF!,0),62)</f>
        <v>#REF!</v>
      </c>
    </row>
    <row r="528" spans="1:18" ht="18.75" customHeight="1" thickBot="1">
      <c r="A528" s="550"/>
      <c r="B528" s="554"/>
      <c r="C528" s="504"/>
      <c r="D528" s="558"/>
      <c r="E528" s="451"/>
      <c r="F528" s="98" t="s">
        <v>56</v>
      </c>
      <c r="G528" s="74">
        <v>6</v>
      </c>
      <c r="H528" s="75">
        <v>2</v>
      </c>
      <c r="I528" s="16" t="e">
        <f>INDEX(Commerce_session1!A6:CX792,MATCH("Q",Commerce_session1!A6:A792,0),24)</f>
        <v>#N/A</v>
      </c>
      <c r="J528" s="17" t="e">
        <f>INDEX(Commerce_session1!A6:CX792,MATCH("Q",Commerce_session1!A6:A792,0),25)</f>
        <v>#N/A</v>
      </c>
      <c r="K528" s="454" t="e">
        <f>INDEX(Commerce_session1!B312:CY352,MATCH("a",Commerce_session1!B312:B352,0),14)</f>
        <v>#N/A</v>
      </c>
      <c r="L528" s="490" t="e">
        <f>INDEX(Commerce_session1!D312:CZ352,MATCH("a",Commerce_session1!D312:D352,0),14)</f>
        <v>#N/A</v>
      </c>
      <c r="M528" s="491" t="e">
        <f>INDEX(Commerce_session1!E312:DA352,MATCH("a",Commerce_session1!E312:E352,0),14)</f>
        <v>#N/A</v>
      </c>
      <c r="N528" s="498" t="e">
        <f>INDEX(Commerce_session1!#REF!,MATCH("a",Commerce_session1!#REF!,0),62)</f>
        <v>#REF!</v>
      </c>
      <c r="O528" s="487" t="e">
        <f>INDEX(Commerce_session1!#REF!,MATCH("a",Commerce_session1!#REF!,0),62)</f>
        <v>#REF!</v>
      </c>
    </row>
    <row r="529" spans="1:15" ht="19.5" customHeight="1" thickTop="1" thickBot="1">
      <c r="A529" s="550"/>
      <c r="B529" s="499" t="s">
        <v>37</v>
      </c>
      <c r="C529" s="502" t="s">
        <v>89</v>
      </c>
      <c r="D529" s="505">
        <v>7</v>
      </c>
      <c r="E529" s="508">
        <v>5</v>
      </c>
      <c r="F529" s="99" t="s">
        <v>83</v>
      </c>
      <c r="G529" s="76">
        <v>1</v>
      </c>
      <c r="H529" s="77">
        <v>1</v>
      </c>
      <c r="I529" s="18" t="e">
        <f>INDEX(Commerce_session1!A6:CX792,MATCH("Q",Commerce_session1!A6:A792,0),29)</f>
        <v>#N/A</v>
      </c>
      <c r="J529" s="19" t="e">
        <f>INDEX(Commerce_session1!A6:CX792,MATCH("Q",Commerce_session1!A6:A792,0),30)</f>
        <v>#N/A</v>
      </c>
      <c r="K529" s="509" t="e">
        <f>INDEX(Commerce_session1!A6:CX792,MATCH("Q",Commerce_session1!A6:A792,0),39)</f>
        <v>#N/A</v>
      </c>
      <c r="L529" s="488" t="e">
        <f>INDEX(Commerce_session1!A6:CX792,MATCH("Q",Commerce_session1!A6:A792,0),40)</f>
        <v>#N/A</v>
      </c>
      <c r="M529" s="489" t="e">
        <f>INDEX(Commerce_session1!D310:CZ352,MATCH("a",Commerce_session1!D310:D352,0),23)</f>
        <v>#N/A</v>
      </c>
      <c r="N529" s="498" t="e">
        <f>INDEX(Commerce_session1!#REF!,MATCH("a",Commerce_session1!#REF!,0),62)</f>
        <v>#REF!</v>
      </c>
      <c r="O529" s="487" t="e">
        <f>INDEX(Commerce_session1!#REF!,MATCH("a",Commerce_session1!#REF!,0),62)</f>
        <v>#REF!</v>
      </c>
    </row>
    <row r="530" spans="1:15" ht="18.75" customHeight="1" thickTop="1" thickBot="1">
      <c r="A530" s="550"/>
      <c r="B530" s="500"/>
      <c r="C530" s="503"/>
      <c r="D530" s="506"/>
      <c r="E530" s="450"/>
      <c r="F530" s="100" t="s">
        <v>99</v>
      </c>
      <c r="G530" s="78">
        <v>3</v>
      </c>
      <c r="H530" s="79">
        <v>2</v>
      </c>
      <c r="I530" s="18" t="e">
        <f>INDEX(Commerce_session1!A6:CX792,MATCH("Q",Commerce_session1!A6:A792,0),33)</f>
        <v>#N/A</v>
      </c>
      <c r="J530" s="15" t="e">
        <f>INDEX(Commerce_session1!A6:CX792,MATCH("Q",Commerce_session1!A6:A792,0),34)</f>
        <v>#N/A</v>
      </c>
      <c r="K530" s="510" t="e">
        <f>INDEX(Commerce_session1!B309:CY352,MATCH("a",Commerce_session1!B309:B352,0),22)</f>
        <v>#N/A</v>
      </c>
      <c r="L530" s="496" t="e">
        <f>INDEX(Commerce_session1!D309:CZ352,MATCH("a",Commerce_session1!D309:D352,0),22)</f>
        <v>#N/A</v>
      </c>
      <c r="M530" s="497" t="e">
        <f>INDEX(Commerce_session1!E309:DA352,MATCH("a",Commerce_session1!E309:E352,0),22)</f>
        <v>#N/A</v>
      </c>
      <c r="N530" s="498" t="e">
        <f>INDEX(Commerce_session1!#REF!,MATCH("a",Commerce_session1!#REF!,0),62)</f>
        <v>#REF!</v>
      </c>
      <c r="O530" s="487" t="e">
        <f>INDEX(Commerce_session1!#REF!,MATCH("a",Commerce_session1!#REF!,0),62)</f>
        <v>#REF!</v>
      </c>
    </row>
    <row r="531" spans="1:15" ht="18.75" customHeight="1" thickBot="1">
      <c r="A531" s="550"/>
      <c r="B531" s="501"/>
      <c r="C531" s="504"/>
      <c r="D531" s="507"/>
      <c r="E531" s="451"/>
      <c r="F531" s="101" t="s">
        <v>84</v>
      </c>
      <c r="G531" s="80">
        <v>3</v>
      </c>
      <c r="H531" s="81">
        <v>2</v>
      </c>
      <c r="I531" s="20" t="e">
        <f>INDEX(Commerce_session1!A6:CX792,MATCH("Q",Commerce_session1!A6:A792,0),37)</f>
        <v>#N/A</v>
      </c>
      <c r="J531" s="17" t="e">
        <f>INDEX(Commerce_session1!A6:CX792,MATCH("Q",Commerce_session1!A6:A792,0),38)</f>
        <v>#N/A</v>
      </c>
      <c r="K531" s="511" t="e">
        <f>INDEX(Commerce_session1!B310:CY352,MATCH("a",Commerce_session1!B310:B352,0),22)</f>
        <v>#N/A</v>
      </c>
      <c r="L531" s="490" t="e">
        <f>INDEX(Commerce_session1!D310:CZ352,MATCH("a",Commerce_session1!D310:D352,0),22)</f>
        <v>#N/A</v>
      </c>
      <c r="M531" s="491" t="e">
        <f>INDEX(Commerce_session1!E310:DA352,MATCH("a",Commerce_session1!E310:E352,0),22)</f>
        <v>#N/A</v>
      </c>
      <c r="N531" s="498" t="e">
        <f>INDEX(Commerce_session1!#REF!,MATCH("a",Commerce_session1!#REF!,0),62)</f>
        <v>#REF!</v>
      </c>
      <c r="O531" s="487" t="e">
        <f>INDEX(Commerce_session1!#REF!,MATCH("a",Commerce_session1!#REF!,0),62)</f>
        <v>#REF!</v>
      </c>
    </row>
    <row r="532" spans="1:15" ht="33.75" customHeight="1" thickTop="1" thickBot="1">
      <c r="A532" s="550"/>
      <c r="B532" s="531" t="s">
        <v>38</v>
      </c>
      <c r="C532" s="559" t="s">
        <v>50</v>
      </c>
      <c r="D532" s="520">
        <v>5</v>
      </c>
      <c r="E532" s="508">
        <v>2</v>
      </c>
      <c r="F532" s="102" t="s">
        <v>63</v>
      </c>
      <c r="G532" s="68">
        <v>4</v>
      </c>
      <c r="H532" s="69">
        <v>1</v>
      </c>
      <c r="I532" s="18" t="e">
        <f>INDEX(Commerce_session1!A6:CX792,MATCH("Q",Commerce_session1!A6:A792,0),43)</f>
        <v>#N/A</v>
      </c>
      <c r="J532" s="19" t="e">
        <f>INDEX(Commerce_session1!A6:CX792,MATCH("Q",Commerce_session1!A6:A792,0),44)</f>
        <v>#N/A</v>
      </c>
      <c r="K532" s="509" t="e">
        <f>INDEX(Commerce_session1!A6:CX792,MATCH("Q",Commerce_session1!A6:A792,0),48)</f>
        <v>#N/A</v>
      </c>
      <c r="L532" s="488" t="e">
        <f>INDEX(Commerce_session1!A6:CX792,MATCH("Q",Commerce_session1!A6:A792,0),49)</f>
        <v>#N/A</v>
      </c>
      <c r="M532" s="489" t="e">
        <f>INDEX(Commerce_session1!D310:CZ352,MATCH("a",Commerce_session1!D310:D352,0),29)</f>
        <v>#N/A</v>
      </c>
      <c r="N532" s="498" t="e">
        <f>INDEX(Commerce_session1!#REF!,MATCH("a",Commerce_session1!#REF!,0),62)</f>
        <v>#REF!</v>
      </c>
      <c r="O532" s="487" t="e">
        <f>INDEX(Commerce_session1!#REF!,MATCH("a",Commerce_session1!#REF!,0),62)</f>
        <v>#REF!</v>
      </c>
    </row>
    <row r="533" spans="1:15" ht="18.75" customHeight="1" thickBot="1">
      <c r="A533" s="550"/>
      <c r="B533" s="527"/>
      <c r="C533" s="524"/>
      <c r="D533" s="521"/>
      <c r="E533" s="451"/>
      <c r="F533" s="101" t="s">
        <v>62</v>
      </c>
      <c r="G533" s="80">
        <v>1</v>
      </c>
      <c r="H533" s="81">
        <v>1</v>
      </c>
      <c r="I533" s="16" t="e">
        <f>INDEX(Commerce_session1!A6:CX792,MATCH("Q",Commerce_session1!A6:A792,0),46)</f>
        <v>#N/A</v>
      </c>
      <c r="J533" s="21" t="e">
        <f>INDEX(Commerce_session1!A6:CX792,MATCH("Q",Commerce_session1!A6:A792,0),47)</f>
        <v>#N/A</v>
      </c>
      <c r="K533" s="511" t="e">
        <f>INDEX(Commerce_session1!B310:CY352,MATCH("a",Commerce_session1!B310:B352,0),28)</f>
        <v>#N/A</v>
      </c>
      <c r="L533" s="490" t="e">
        <f>INDEX(Commerce_session1!D310:CZ352,MATCH("a",Commerce_session1!D310:D352,0),28)</f>
        <v>#N/A</v>
      </c>
      <c r="M533" s="491" t="e">
        <f>INDEX(Commerce_session1!E310:DA352,MATCH("a",Commerce_session1!E310:E352,0),28)</f>
        <v>#N/A</v>
      </c>
      <c r="N533" s="498" t="e">
        <f>INDEX(Commerce_session1!#REF!,MATCH("a",Commerce_session1!#REF!,0),62)</f>
        <v>#REF!</v>
      </c>
      <c r="O533" s="487" t="e">
        <f>INDEX(Commerce_session1!#REF!,MATCH("a",Commerce_session1!#REF!,0),62)</f>
        <v>#REF!</v>
      </c>
    </row>
    <row r="534" spans="1:15" ht="20.25" customHeight="1" thickTop="1" thickBot="1">
      <c r="A534" s="551"/>
      <c r="B534" s="105" t="s">
        <v>39</v>
      </c>
      <c r="C534" s="104" t="s">
        <v>51</v>
      </c>
      <c r="D534" s="22">
        <v>1</v>
      </c>
      <c r="E534" s="23">
        <v>1</v>
      </c>
      <c r="F534" s="103" t="s">
        <v>64</v>
      </c>
      <c r="G534" s="82">
        <v>1</v>
      </c>
      <c r="H534" s="83">
        <v>1</v>
      </c>
      <c r="I534" s="20" t="e">
        <f>INDEX(Commerce_session1!A6:CX792,MATCH("Q",Commerce_session1!A6:A792,0),52)</f>
        <v>#N/A</v>
      </c>
      <c r="J534" s="24" t="e">
        <f>INDEX(Commerce_session1!A6:CX792,MATCH("Q",Commerce_session1!A6:A792,0),53)</f>
        <v>#N/A</v>
      </c>
      <c r="K534" s="36" t="e">
        <f>INDEX(Commerce_session1!A6:CX792,MATCH("Q",Commerce_session1!A6:A792,0),54)</f>
        <v>#N/A</v>
      </c>
      <c r="L534" s="492" t="e">
        <f>INDEX(Commerce_session1!A6:CX792,MATCH("Q",Commerce_session1!A6:A792,0),55)</f>
        <v>#N/A</v>
      </c>
      <c r="M534" s="493" t="e">
        <f>INDEX(Commerce_session1!D310:CZ352,MATCH("a",Commerce_session1!D310:D352,0),33)</f>
        <v>#N/A</v>
      </c>
      <c r="N534" s="498" t="e">
        <f>INDEX(Commerce_session1!#REF!,MATCH("a",Commerce_session1!#REF!,0),62)</f>
        <v>#REF!</v>
      </c>
      <c r="O534" s="487" t="e">
        <f>INDEX(Commerce_session1!#REF!,MATCH("a",Commerce_session1!#REF!,0),62)</f>
        <v>#REF!</v>
      </c>
    </row>
    <row r="535" spans="1:15" ht="19.5" customHeight="1" thickTop="1" thickBot="1">
      <c r="A535" s="516" t="s">
        <v>77</v>
      </c>
      <c r="B535" s="525" t="s">
        <v>36</v>
      </c>
      <c r="C535" s="522" t="s">
        <v>88</v>
      </c>
      <c r="D535" s="528">
        <v>16</v>
      </c>
      <c r="E535" s="449">
        <v>5</v>
      </c>
      <c r="F535" s="96" t="s">
        <v>67</v>
      </c>
      <c r="G535" s="114">
        <v>6</v>
      </c>
      <c r="H535" s="115">
        <v>2</v>
      </c>
      <c r="I535" s="18" t="e">
        <f>INDEX(Commerce_session1!A6:CX792,MATCH("Q",Commerce_session1!A6:A792,0),60)</f>
        <v>#N/A</v>
      </c>
      <c r="J535" s="19" t="e">
        <f>INDEX(Commerce_session1!A6:CX792,MATCH("Q",Commerce_session1!A6:A792,0),61)</f>
        <v>#N/A</v>
      </c>
      <c r="K535" s="519" t="e">
        <f>INDEX(Commerce_session1!A6:CX792,MATCH("Q",Commerce_session1!A6:A792,0),70)</f>
        <v>#N/A</v>
      </c>
      <c r="L535" s="494" t="e">
        <f>INDEX(Commerce_session1!A6:CX792,MATCH("Q",Commerce_session1!A6:A792,0),71)</f>
        <v>#N/A</v>
      </c>
      <c r="M535" s="495"/>
      <c r="N535" s="498" t="e">
        <f>INDEX(Commerce_session1!A6:CX792,MATCH("Q",Commerce_session1!A6:A792,0),97)</f>
        <v>#N/A</v>
      </c>
      <c r="O535" s="487" t="e">
        <f>INDEX(Commerce_session1!A6:CX792,MATCH("Q",Commerce_session1!A6:A792,0),98)</f>
        <v>#N/A</v>
      </c>
    </row>
    <row r="536" spans="1:15" ht="18.75" customHeight="1" thickBot="1">
      <c r="A536" s="517"/>
      <c r="B536" s="526"/>
      <c r="C536" s="523"/>
      <c r="D536" s="529"/>
      <c r="E536" s="450"/>
      <c r="F536" s="100" t="s">
        <v>68</v>
      </c>
      <c r="G536" s="116">
        <v>6</v>
      </c>
      <c r="H536" s="117">
        <v>2</v>
      </c>
      <c r="I536" s="14" t="e">
        <f>INDEX(Commerce_session1!A6:CX792,MATCH("Q",Commerce_session1!A6:A792,0),64)</f>
        <v>#N/A</v>
      </c>
      <c r="J536" s="15" t="e">
        <f>INDEX(Commerce_session1!A6:CX792,MATCH("Q",Commerce_session1!A6:A792,0),65)</f>
        <v>#N/A</v>
      </c>
      <c r="K536" s="510"/>
      <c r="L536" s="496"/>
      <c r="M536" s="497"/>
      <c r="N536" s="498" t="e">
        <f>INDEX(Commerce_session1!F310:DA352,MATCH("a",Commerce_session1!F310:F352,0),42)</f>
        <v>#N/A</v>
      </c>
      <c r="O536" s="487" t="e">
        <f>INDEX(Commerce_session1!G310:DA352,MATCH("a",Commerce_session1!G310:G352,0),42)</f>
        <v>#N/A</v>
      </c>
    </row>
    <row r="537" spans="1:15" ht="20.25" customHeight="1" thickBot="1">
      <c r="A537" s="517"/>
      <c r="B537" s="527"/>
      <c r="C537" s="524"/>
      <c r="D537" s="530"/>
      <c r="E537" s="451"/>
      <c r="F537" s="101" t="s">
        <v>103</v>
      </c>
      <c r="G537" s="118">
        <v>4</v>
      </c>
      <c r="H537" s="119">
        <v>1</v>
      </c>
      <c r="I537" s="127" t="e">
        <f>INDEX(Commerce_session1!A6:CX792,MATCH("Q",Commerce_session1!A6:A792,0),68)</f>
        <v>#N/A</v>
      </c>
      <c r="J537" s="21" t="e">
        <f>INDEX(Commerce_session1!A6:CX792,MATCH("Q",Commerce_session1!A6:A792,0),69)</f>
        <v>#N/A</v>
      </c>
      <c r="K537" s="511"/>
      <c r="L537" s="490"/>
      <c r="M537" s="491"/>
      <c r="N537" s="498" t="e">
        <f>INDEX(Commerce_session1!F311:DA352,MATCH("a",Commerce_session1!F311:F352,0),42)</f>
        <v>#N/A</v>
      </c>
      <c r="O537" s="487" t="e">
        <f>INDEX(Commerce_session1!G311:DA352,MATCH("a",Commerce_session1!G311:G352,0),42)</f>
        <v>#N/A</v>
      </c>
    </row>
    <row r="538" spans="1:15" ht="22.5" customHeight="1" thickTop="1" thickBot="1">
      <c r="A538" s="517"/>
      <c r="B538" s="531" t="s">
        <v>37</v>
      </c>
      <c r="C538" s="559" t="s">
        <v>87</v>
      </c>
      <c r="D538" s="532">
        <v>10</v>
      </c>
      <c r="E538" s="508">
        <v>4</v>
      </c>
      <c r="F538" s="128" t="s">
        <v>104</v>
      </c>
      <c r="G538" s="76">
        <v>5</v>
      </c>
      <c r="H538" s="77">
        <v>2</v>
      </c>
      <c r="I538" s="18" t="e">
        <f>INDEX(Commerce_session1!A6:CX792,MATCH("Q",Commerce_session1!A6:A792,0),74)</f>
        <v>#N/A</v>
      </c>
      <c r="J538" s="19" t="e">
        <f>INDEX(Commerce_session1!A6:CX792,MATCH("Q",Commerce_session1!A6:A792,0),75)</f>
        <v>#N/A</v>
      </c>
      <c r="K538" s="509" t="e">
        <f>INDEX(Commerce_session1!A6:CX792,MATCH("Q",Commerce_session1!A6:A792,0),80)</f>
        <v>#N/A</v>
      </c>
      <c r="L538" s="488" t="e">
        <f>INDEX(Commerce_session1!A6:CX792,MATCH("Q",Commerce_session1!A6:A792,0),81)</f>
        <v>#N/A</v>
      </c>
      <c r="M538" s="489"/>
      <c r="N538" s="498" t="e">
        <f>INDEX(Commerce_session1!E313:DA352,MATCH("a",Commerce_session1!E313:E352,0),43)</f>
        <v>#N/A</v>
      </c>
      <c r="O538" s="487" t="e">
        <f>INDEX(Commerce_session1!F313:DA352,MATCH("a",Commerce_session1!F313:F352,0),43)</f>
        <v>#N/A</v>
      </c>
    </row>
    <row r="539" spans="1:15" ht="18.75" customHeight="1" thickBot="1">
      <c r="A539" s="517"/>
      <c r="B539" s="527"/>
      <c r="C539" s="524"/>
      <c r="D539" s="530"/>
      <c r="E539" s="451"/>
      <c r="F539" s="98" t="s">
        <v>69</v>
      </c>
      <c r="G539" s="74">
        <v>5</v>
      </c>
      <c r="H539" s="75">
        <v>2</v>
      </c>
      <c r="I539" s="20" t="e">
        <f>INDEX(Commerce_session1!A6:CX792,MATCH("Q",Commerce_session1!A6:A792,0),78)</f>
        <v>#N/A</v>
      </c>
      <c r="J539" s="17" t="e">
        <f>INDEX(Commerce_session1!A6:CX792,MATCH("Q",Commerce_session1!A6:A792,0),79)</f>
        <v>#N/A</v>
      </c>
      <c r="K539" s="511"/>
      <c r="L539" s="490"/>
      <c r="M539" s="491"/>
      <c r="N539" s="498" t="e">
        <f>INDEX(Commerce_session1!F314:DA352,MATCH("a",Commerce_session1!F314:F352,0),42)</f>
        <v>#N/A</v>
      </c>
      <c r="O539" s="487" t="e">
        <f>INDEX(Commerce_session1!G314:DA352,MATCH("a",Commerce_session1!G314:G352,0),42)</f>
        <v>#N/A</v>
      </c>
    </row>
    <row r="540" spans="1:15" ht="18.75" customHeight="1" thickTop="1" thickBot="1">
      <c r="A540" s="517"/>
      <c r="B540" s="105" t="s">
        <v>38</v>
      </c>
      <c r="C540" s="104" t="s">
        <v>85</v>
      </c>
      <c r="D540" s="22">
        <v>3</v>
      </c>
      <c r="E540" s="23">
        <v>2</v>
      </c>
      <c r="F540" s="101" t="s">
        <v>74</v>
      </c>
      <c r="G540" s="74">
        <v>3</v>
      </c>
      <c r="H540" s="75">
        <v>2</v>
      </c>
      <c r="I540" s="20" t="e">
        <f>INDEX(Commerce_session1!A6:CX792,MATCH("Q",Commerce_session1!A6:A792,0),84)</f>
        <v>#N/A</v>
      </c>
      <c r="J540" s="17" t="e">
        <f>INDEX(Commerce_session1!A6:CX792,MATCH("Q",Commerce_session1!A6:A792,0),85)</f>
        <v>#N/A</v>
      </c>
      <c r="K540" s="123" t="e">
        <f>INDEX(Commerce_session1!A6:CX792,MATCH("Q",Commerce_session1!A6:A792,0),86)</f>
        <v>#N/A</v>
      </c>
      <c r="L540" s="512" t="e">
        <f>INDEX(Commerce_session1!A6:CX792,MATCH("Q",Commerce_session1!A6:A792,0),87)</f>
        <v>#N/A</v>
      </c>
      <c r="M540" s="513"/>
      <c r="N540" s="498" t="e">
        <f>INDEX(Commerce_session1!F316:DA352,MATCH("a",Commerce_session1!F316:F352,0),42)</f>
        <v>#N/A</v>
      </c>
      <c r="O540" s="487" t="e">
        <f>INDEX(Commerce_session1!G316:DA352,MATCH("a",Commerce_session1!G316:G352,0),42)</f>
        <v>#N/A</v>
      </c>
    </row>
    <row r="541" spans="1:15" ht="20.25" customHeight="1" thickTop="1" thickBot="1">
      <c r="A541" s="518"/>
      <c r="B541" s="105" t="s">
        <v>39</v>
      </c>
      <c r="C541" s="104" t="s">
        <v>86</v>
      </c>
      <c r="D541" s="22">
        <v>1</v>
      </c>
      <c r="E541" s="23">
        <v>1</v>
      </c>
      <c r="F541" s="103" t="s">
        <v>73</v>
      </c>
      <c r="G541" s="82">
        <v>1</v>
      </c>
      <c r="H541" s="83">
        <v>1</v>
      </c>
      <c r="I541" s="25" t="e">
        <f>INDEX(Commerce_session1!A6:CX792,MATCH("Q",Commerce_session1!A6:A792,0),89)</f>
        <v>#N/A</v>
      </c>
      <c r="J541" s="26" t="e">
        <f>INDEX(Commerce_session1!A6:CX792,MATCH("Q",Commerce_session1!A6:A792,0),90)</f>
        <v>#N/A</v>
      </c>
      <c r="K541" s="27" t="e">
        <f>INDEX(Commerce_session1!A6:CX792,MATCH("Q",Commerce_session1!A6:A792,0),91)</f>
        <v>#N/A</v>
      </c>
      <c r="L541" s="514" t="e">
        <f>INDEX(Commerce_session1!A6:CX792,MATCH("Q",Commerce_session1!A6:A792,0),92)</f>
        <v>#N/A</v>
      </c>
      <c r="M541" s="515" t="e">
        <f>INDEX(Commerce_session1!D310:CZ352,MATCH("a",Commerce_session1!D310:D352,0),61)</f>
        <v>#N/A</v>
      </c>
      <c r="N541" s="498" t="e">
        <f>INDEX(Commerce_session1!F317:DA352,MATCH("a",Commerce_session1!F317:F352,0),42)</f>
        <v>#N/A</v>
      </c>
      <c r="O541" s="487" t="e">
        <f>INDEX(Commerce_session1!G317:DA352,MATCH("a",Commerce_session1!G317:G352,0),42)</f>
        <v>#N/A</v>
      </c>
    </row>
    <row r="542" spans="1:15" ht="20.25">
      <c r="A542" s="535" t="s">
        <v>40</v>
      </c>
      <c r="B542" s="536"/>
      <c r="C542" s="537"/>
      <c r="D542" s="121" t="e">
        <f>INDEX(Commerce_session1!A6:CX792,MATCH("Q",Commerce_session1!A6:A792,0),99)</f>
        <v>#N/A</v>
      </c>
      <c r="E542" s="538" t="s">
        <v>41</v>
      </c>
      <c r="F542" s="540"/>
      <c r="G542" s="120" t="e">
        <f>INDEX(Commerce_session1!A6:CX792,MATCH("Q",Commerce_session1!A6:A792,0),100)</f>
        <v>#N/A</v>
      </c>
      <c r="H542" s="538" t="s">
        <v>91</v>
      </c>
      <c r="I542" s="539"/>
      <c r="J542" s="539"/>
      <c r="K542" s="540"/>
      <c r="L542" s="541" t="e">
        <f>INDEX(Commerce_session1!A6:CX792,MATCH("Q",Commerce_session1!A6:A792,0),101)</f>
        <v>#N/A</v>
      </c>
      <c r="M542" s="542"/>
      <c r="N542" s="8"/>
      <c r="O542" s="8"/>
    </row>
    <row r="543" spans="1:15" ht="22.5">
      <c r="A543" s="546" t="s">
        <v>42</v>
      </c>
      <c r="B543" s="547"/>
      <c r="C543" s="548"/>
      <c r="D543" s="543" t="e">
        <f>INDEX(Commerce_session1!A6:CX792,MATCH("Q",Commerce_session1!A6:A792,0),102)</f>
        <v>#N/A</v>
      </c>
      <c r="E543" s="544"/>
      <c r="F543" s="545"/>
      <c r="G543" s="108"/>
      <c r="H543" s="109"/>
      <c r="I543" s="110"/>
      <c r="J543" s="111"/>
      <c r="K543" s="110"/>
      <c r="L543" s="110"/>
      <c r="M543" s="110"/>
      <c r="N543" s="112" t="s">
        <v>43</v>
      </c>
      <c r="O543" s="28">
        <f ca="1">TODAY()</f>
        <v>43626</v>
      </c>
    </row>
    <row r="544" spans="1:15" ht="32.25" customHeight="1">
      <c r="A544" s="113" t="s">
        <v>44</v>
      </c>
      <c r="B544" s="29"/>
      <c r="C544" s="29"/>
      <c r="D544" s="533"/>
      <c r="E544" s="533"/>
      <c r="F544" s="30"/>
      <c r="G544" s="4"/>
      <c r="J544" s="4"/>
      <c r="L544" s="534" t="s">
        <v>46</v>
      </c>
      <c r="M544" s="534"/>
      <c r="N544" s="534"/>
    </row>
    <row r="545" spans="1:18" ht="23.25" customHeight="1" thickBot="1">
      <c r="A545" s="84" t="s">
        <v>12</v>
      </c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445" t="s">
        <v>13</v>
      </c>
      <c r="M545" s="445"/>
      <c r="N545" s="445"/>
      <c r="O545" s="445"/>
      <c r="P545" s="2"/>
      <c r="Q545" s="2"/>
      <c r="R545" s="2"/>
    </row>
    <row r="546" spans="1:18" ht="15.75">
      <c r="A546" s="446" t="s">
        <v>14</v>
      </c>
      <c r="B546" s="446"/>
      <c r="C546" s="446"/>
      <c r="D546" s="446"/>
      <c r="E546" s="446"/>
      <c r="F546" s="3"/>
      <c r="H546" s="4"/>
      <c r="K546" s="4"/>
      <c r="L546" s="4"/>
    </row>
    <row r="547" spans="1:18" ht="15.75">
      <c r="A547" s="85" t="s">
        <v>15</v>
      </c>
      <c r="B547" s="85"/>
      <c r="C547" s="85"/>
      <c r="D547" s="85"/>
      <c r="E547" s="85"/>
      <c r="F547" s="5"/>
      <c r="H547" s="4"/>
      <c r="K547" s="4"/>
      <c r="L547" s="4"/>
      <c r="P547" s="6"/>
    </row>
    <row r="548" spans="1:18" ht="15.75">
      <c r="A548" s="85" t="s">
        <v>100</v>
      </c>
      <c r="B548" s="85"/>
      <c r="C548" s="85"/>
      <c r="D548" s="85"/>
      <c r="E548" s="85"/>
      <c r="F548" s="3"/>
      <c r="H548" s="4"/>
      <c r="K548" s="4"/>
      <c r="L548" s="4"/>
    </row>
    <row r="549" spans="1:18" s="8" customFormat="1" ht="27" customHeight="1">
      <c r="A549" s="7"/>
      <c r="B549" s="7"/>
      <c r="C549" s="7"/>
      <c r="D549" s="447" t="s">
        <v>94</v>
      </c>
      <c r="E549" s="447"/>
      <c r="F549" s="447"/>
      <c r="G549" s="447"/>
      <c r="H549" s="447"/>
      <c r="I549" s="447"/>
      <c r="J549" s="447"/>
      <c r="K549" s="447"/>
      <c r="L549" s="447"/>
      <c r="M549" s="7"/>
      <c r="N549" s="7"/>
      <c r="O549" s="7"/>
    </row>
    <row r="550" spans="1:18" ht="23.25" customHeight="1">
      <c r="A550" s="126" t="s">
        <v>101</v>
      </c>
      <c r="B550" s="126"/>
      <c r="C550" s="126"/>
      <c r="D550" s="126"/>
      <c r="E550" s="126"/>
      <c r="F550" s="126"/>
      <c r="G550" s="122"/>
      <c r="H550" s="122"/>
      <c r="I550" s="122" t="e">
        <f>IF(D575="ناجح(ة) دورة1","-الدورة الأولى-","-الدورة الثانية-")</f>
        <v>#N/A</v>
      </c>
      <c r="J550" s="124" t="s">
        <v>48</v>
      </c>
      <c r="K550" s="124"/>
      <c r="L550" s="87"/>
      <c r="M550" s="88"/>
      <c r="N550" s="89"/>
      <c r="O550" s="9"/>
    </row>
    <row r="551" spans="1:18" ht="20.25" customHeight="1">
      <c r="A551" s="476" t="s">
        <v>93</v>
      </c>
      <c r="B551" s="476"/>
      <c r="C551" s="90" t="e">
        <f>INDEX(Commerce_session1!A6:CX792,MATCH("R",Commerce_session1!A6:A792,0),3)</f>
        <v>#N/A</v>
      </c>
      <c r="D551" s="91" t="s">
        <v>92</v>
      </c>
      <c r="E551" s="448" t="e">
        <f>INDEX(Commerce_session1!A6:CX792,MATCH("R",Commerce_session1!A6:A792,0),4)</f>
        <v>#N/A</v>
      </c>
      <c r="F551" s="448" t="e">
        <f>INDEX(Commerce_session1!D342:DA636,MATCH("a",Commerce_session1!D342:D636,0),3)</f>
        <v>#N/A</v>
      </c>
      <c r="G551" s="477" t="s">
        <v>16</v>
      </c>
      <c r="H551" s="477"/>
      <c r="I551" s="477"/>
      <c r="J551" s="478" t="e">
        <f>INDEX(Commerce_session1!A6:CX792,MATCH("R",Commerce_session1!A6:A792,0),6)</f>
        <v>#N/A</v>
      </c>
      <c r="K551" s="478"/>
      <c r="L551" s="88"/>
      <c r="M551" s="92" t="s">
        <v>17</v>
      </c>
      <c r="N551" s="90" t="e">
        <f>INDEX(Commerce_session1!A6:CX792,MATCH("R",Commerce_session1!A6:A792,0),7)</f>
        <v>#N/A</v>
      </c>
      <c r="O551" s="10"/>
    </row>
    <row r="552" spans="1:18" ht="20.25" customHeight="1">
      <c r="A552" s="476" t="s">
        <v>18</v>
      </c>
      <c r="B552" s="476"/>
      <c r="C552" s="448" t="e">
        <f>INDEX(Commerce_session1!A6:CX792,MATCH("R",Commerce_session1!A6:A792,0),5)</f>
        <v>#N/A</v>
      </c>
      <c r="D552" s="448"/>
      <c r="E552" s="91"/>
      <c r="F552" s="88"/>
      <c r="G552" s="93"/>
      <c r="H552" s="88"/>
      <c r="I552" s="88"/>
      <c r="J552" s="93"/>
      <c r="K552" s="88"/>
      <c r="L552" s="88"/>
      <c r="M552" s="88"/>
      <c r="N552" s="88"/>
      <c r="O552" s="10"/>
    </row>
    <row r="553" spans="1:18" ht="20.25" customHeight="1">
      <c r="A553" s="476" t="s">
        <v>102</v>
      </c>
      <c r="B553" s="476"/>
      <c r="C553" s="476"/>
      <c r="D553" s="476"/>
      <c r="E553" s="476"/>
      <c r="F553" s="476"/>
      <c r="G553" s="476"/>
      <c r="H553" s="476"/>
      <c r="I553" s="476"/>
      <c r="J553" s="476"/>
      <c r="K553" s="476"/>
      <c r="L553" s="476"/>
      <c r="M553" s="476"/>
      <c r="N553" s="476"/>
      <c r="O553" s="476"/>
    </row>
    <row r="554" spans="1:18" ht="20.25" customHeight="1" thickBot="1">
      <c r="A554" s="459" t="s">
        <v>19</v>
      </c>
      <c r="B554" s="459"/>
      <c r="C554" s="459"/>
      <c r="D554" s="459"/>
      <c r="E554" s="459"/>
      <c r="F554" s="459"/>
      <c r="G554" s="459"/>
      <c r="H554" s="94"/>
      <c r="I554" s="94"/>
      <c r="J554" s="95"/>
      <c r="K554" s="94"/>
      <c r="L554" s="94"/>
      <c r="M554" s="94"/>
      <c r="N554" s="94"/>
      <c r="O554" s="11"/>
    </row>
    <row r="555" spans="1:18" ht="18.75" thickBot="1">
      <c r="A555" s="460" t="s">
        <v>20</v>
      </c>
      <c r="B555" s="463" t="s">
        <v>21</v>
      </c>
      <c r="C555" s="464"/>
      <c r="D555" s="464"/>
      <c r="E555" s="464"/>
      <c r="F555" s="464" t="s">
        <v>22</v>
      </c>
      <c r="G555" s="464"/>
      <c r="H555" s="464"/>
      <c r="I555" s="465" t="s">
        <v>23</v>
      </c>
      <c r="J555" s="466"/>
      <c r="K555" s="466"/>
      <c r="L555" s="466"/>
      <c r="M555" s="466"/>
      <c r="N555" s="466"/>
      <c r="O555" s="467"/>
    </row>
    <row r="556" spans="1:18">
      <c r="A556" s="461"/>
      <c r="B556" s="468" t="s">
        <v>24</v>
      </c>
      <c r="C556" s="470" t="s">
        <v>25</v>
      </c>
      <c r="D556" s="472" t="s">
        <v>26</v>
      </c>
      <c r="E556" s="474" t="s">
        <v>27</v>
      </c>
      <c r="F556" s="479" t="s">
        <v>28</v>
      </c>
      <c r="G556" s="468" t="s">
        <v>11</v>
      </c>
      <c r="H556" s="481" t="s">
        <v>27</v>
      </c>
      <c r="I556" s="482" t="s">
        <v>29</v>
      </c>
      <c r="J556" s="483"/>
      <c r="K556" s="484" t="s">
        <v>30</v>
      </c>
      <c r="L556" s="485"/>
      <c r="M556" s="486"/>
      <c r="N556" s="455" t="s">
        <v>20</v>
      </c>
      <c r="O556" s="456"/>
    </row>
    <row r="557" spans="1:18" ht="15.75" thickBot="1">
      <c r="A557" s="462"/>
      <c r="B557" s="469"/>
      <c r="C557" s="471"/>
      <c r="D557" s="473"/>
      <c r="E557" s="475"/>
      <c r="F557" s="480"/>
      <c r="G557" s="469"/>
      <c r="H557" s="473"/>
      <c r="I557" s="106" t="s">
        <v>10</v>
      </c>
      <c r="J557" s="106" t="s">
        <v>31</v>
      </c>
      <c r="K557" s="106" t="s">
        <v>32</v>
      </c>
      <c r="L557" s="457" t="s">
        <v>33</v>
      </c>
      <c r="M557" s="458"/>
      <c r="N557" s="106" t="s">
        <v>34</v>
      </c>
      <c r="O557" s="107" t="s">
        <v>35</v>
      </c>
    </row>
    <row r="558" spans="1:18" ht="18.75" customHeight="1" thickBot="1">
      <c r="A558" s="549" t="s">
        <v>76</v>
      </c>
      <c r="B558" s="552" t="s">
        <v>36</v>
      </c>
      <c r="C558" s="555" t="s">
        <v>90</v>
      </c>
      <c r="D558" s="556">
        <v>17</v>
      </c>
      <c r="E558" s="449">
        <v>6</v>
      </c>
      <c r="F558" s="96" t="s">
        <v>54</v>
      </c>
      <c r="G558" s="70">
        <v>5</v>
      </c>
      <c r="H558" s="71">
        <v>2</v>
      </c>
      <c r="I558" s="12" t="e">
        <f>INDEX(Commerce_session1!A6:CX792,MATCH("R",Commerce_session1!A6:A792,0),16)</f>
        <v>#N/A</v>
      </c>
      <c r="J558" s="13" t="e">
        <f>INDEX(Commerce_session1!A6:CX792,MATCH("R",Commerce_session1!A6:A792,0),17)</f>
        <v>#N/A</v>
      </c>
      <c r="K558" s="452" t="e">
        <f>INDEX(Commerce_session1!A6:CX792,MATCH("R",Commerce_session1!A6:A792,0),26)</f>
        <v>#N/A</v>
      </c>
      <c r="L558" s="494" t="e">
        <f>INDEX(Commerce_session1!A6:CX792,MATCH("R",Commerce_session1!A6:A792,0),27)</f>
        <v>#N/A</v>
      </c>
      <c r="M558" s="495" t="e">
        <f>INDEX(Commerce_session1!D342:CZ384,MATCH("a",Commerce_session1!D342:D384,0),15)</f>
        <v>#N/A</v>
      </c>
      <c r="N558" s="498" t="e">
        <f>INDEX(Commerce_session1!A6:CX792,MATCH("R",Commerce_session1!A6:A792,0),95)</f>
        <v>#N/A</v>
      </c>
      <c r="O558" s="487" t="e">
        <f>INDEX(Commerce_session1!A6:CX792,MATCH("R",Commerce_session1!A6:A792,0),96)</f>
        <v>#N/A</v>
      </c>
    </row>
    <row r="559" spans="1:18" ht="18.75" customHeight="1" thickBot="1">
      <c r="A559" s="550"/>
      <c r="B559" s="553"/>
      <c r="C559" s="503"/>
      <c r="D559" s="557"/>
      <c r="E559" s="450"/>
      <c r="F559" s="97" t="s">
        <v>55</v>
      </c>
      <c r="G559" s="72">
        <v>6</v>
      </c>
      <c r="H559" s="73">
        <v>2</v>
      </c>
      <c r="I559" s="14" t="e">
        <f>INDEX(Commerce_session1!A6:CX792,MATCH("R",Commerce_session1!A6:A792,0),20)</f>
        <v>#N/A</v>
      </c>
      <c r="J559" s="15" t="e">
        <f>INDEX(Commerce_session1!A6:CX792,MATCH("R",Commerce_session1!A6:A792,0),21)</f>
        <v>#N/A</v>
      </c>
      <c r="K559" s="453" t="e">
        <f>INDEX(Commerce_session1!B342:CY384,MATCH("a",Commerce_session1!B342:B384,0),14)</f>
        <v>#N/A</v>
      </c>
      <c r="L559" s="496" t="e">
        <f>INDEX(Commerce_session1!D342:CZ384,MATCH("a",Commerce_session1!D342:D384,0),14)</f>
        <v>#N/A</v>
      </c>
      <c r="M559" s="497" t="e">
        <f>INDEX(Commerce_session1!E342:DA384,MATCH("a",Commerce_session1!E342:E384,0),14)</f>
        <v>#N/A</v>
      </c>
      <c r="N559" s="498" t="e">
        <f>INDEX(Commerce_session1!#REF!,MATCH("a",Commerce_session1!#REF!,0),62)</f>
        <v>#REF!</v>
      </c>
      <c r="O559" s="487" t="e">
        <f>INDEX(Commerce_session1!#REF!,MATCH("a",Commerce_session1!#REF!,0),62)</f>
        <v>#REF!</v>
      </c>
    </row>
    <row r="560" spans="1:18" ht="18.75" customHeight="1" thickBot="1">
      <c r="A560" s="550"/>
      <c r="B560" s="554"/>
      <c r="C560" s="504"/>
      <c r="D560" s="558"/>
      <c r="E560" s="451"/>
      <c r="F560" s="98" t="s">
        <v>56</v>
      </c>
      <c r="G560" s="74">
        <v>6</v>
      </c>
      <c r="H560" s="75">
        <v>2</v>
      </c>
      <c r="I560" s="16" t="e">
        <f>INDEX(Commerce_session1!A6:CX792,MATCH("R",Commerce_session1!A6:A792,0),24)</f>
        <v>#N/A</v>
      </c>
      <c r="J560" s="17" t="e">
        <f>INDEX(Commerce_session1!A6:CX792,MATCH("R",Commerce_session1!A6:A792,0),25)</f>
        <v>#N/A</v>
      </c>
      <c r="K560" s="454" t="e">
        <f>INDEX(Commerce_session1!B344:CY384,MATCH("a",Commerce_session1!B344:B384,0),14)</f>
        <v>#N/A</v>
      </c>
      <c r="L560" s="490" t="e">
        <f>INDEX(Commerce_session1!D344:CZ384,MATCH("a",Commerce_session1!D344:D384,0),14)</f>
        <v>#N/A</v>
      </c>
      <c r="M560" s="491" t="e">
        <f>INDEX(Commerce_session1!E344:DA384,MATCH("a",Commerce_session1!E344:E384,0),14)</f>
        <v>#N/A</v>
      </c>
      <c r="N560" s="498" t="e">
        <f>INDEX(Commerce_session1!#REF!,MATCH("a",Commerce_session1!#REF!,0),62)</f>
        <v>#REF!</v>
      </c>
      <c r="O560" s="487" t="e">
        <f>INDEX(Commerce_session1!#REF!,MATCH("a",Commerce_session1!#REF!,0),62)</f>
        <v>#REF!</v>
      </c>
    </row>
    <row r="561" spans="1:15" ht="19.5" customHeight="1" thickTop="1" thickBot="1">
      <c r="A561" s="550"/>
      <c r="B561" s="499" t="s">
        <v>37</v>
      </c>
      <c r="C561" s="502" t="s">
        <v>89</v>
      </c>
      <c r="D561" s="505">
        <v>7</v>
      </c>
      <c r="E561" s="508">
        <v>5</v>
      </c>
      <c r="F561" s="99" t="s">
        <v>83</v>
      </c>
      <c r="G561" s="76">
        <v>1</v>
      </c>
      <c r="H561" s="77">
        <v>1</v>
      </c>
      <c r="I561" s="18" t="e">
        <f>INDEX(Commerce_session1!A6:CX792,MATCH("R",Commerce_session1!A6:A792,0),29)</f>
        <v>#N/A</v>
      </c>
      <c r="J561" s="19" t="e">
        <f>INDEX(Commerce_session1!A6:CX792,MATCH("R",Commerce_session1!A6:A792,0),30)</f>
        <v>#N/A</v>
      </c>
      <c r="K561" s="509" t="e">
        <f>INDEX(Commerce_session1!A6:CX792,MATCH("R",Commerce_session1!A6:A792,0),39)</f>
        <v>#N/A</v>
      </c>
      <c r="L561" s="488" t="e">
        <f>INDEX(Commerce_session1!A6:CX792,MATCH("R",Commerce_session1!A6:A792,0),40)</f>
        <v>#N/A</v>
      </c>
      <c r="M561" s="489" t="e">
        <f>INDEX(Commerce_session1!D342:CZ384,MATCH("a",Commerce_session1!D342:D384,0),23)</f>
        <v>#N/A</v>
      </c>
      <c r="N561" s="498" t="e">
        <f>INDEX(Commerce_session1!#REF!,MATCH("a",Commerce_session1!#REF!,0),62)</f>
        <v>#REF!</v>
      </c>
      <c r="O561" s="487" t="e">
        <f>INDEX(Commerce_session1!#REF!,MATCH("a",Commerce_session1!#REF!,0),62)</f>
        <v>#REF!</v>
      </c>
    </row>
    <row r="562" spans="1:15" ht="18.75" customHeight="1" thickTop="1" thickBot="1">
      <c r="A562" s="550"/>
      <c r="B562" s="500"/>
      <c r="C562" s="503"/>
      <c r="D562" s="506"/>
      <c r="E562" s="450"/>
      <c r="F562" s="100" t="s">
        <v>99</v>
      </c>
      <c r="G562" s="78">
        <v>3</v>
      </c>
      <c r="H562" s="79">
        <v>2</v>
      </c>
      <c r="I562" s="18" t="e">
        <f>INDEX(Commerce_session1!A6:CX792,MATCH("R",Commerce_session1!A6:A792,0),33)</f>
        <v>#N/A</v>
      </c>
      <c r="J562" s="15" t="e">
        <f>INDEX(Commerce_session1!A6:CX792,MATCH("R",Commerce_session1!A6:A792,0),34)</f>
        <v>#N/A</v>
      </c>
      <c r="K562" s="510" t="e">
        <f>INDEX(Commerce_session1!B341:CY384,MATCH("a",Commerce_session1!B341:B384,0),22)</f>
        <v>#N/A</v>
      </c>
      <c r="L562" s="496" t="e">
        <f>INDEX(Commerce_session1!D341:CZ384,MATCH("a",Commerce_session1!D341:D384,0),22)</f>
        <v>#N/A</v>
      </c>
      <c r="M562" s="497" t="e">
        <f>INDEX(Commerce_session1!E341:DA384,MATCH("a",Commerce_session1!E341:E384,0),22)</f>
        <v>#N/A</v>
      </c>
      <c r="N562" s="498" t="e">
        <f>INDEX(Commerce_session1!#REF!,MATCH("a",Commerce_session1!#REF!,0),62)</f>
        <v>#REF!</v>
      </c>
      <c r="O562" s="487" t="e">
        <f>INDEX(Commerce_session1!#REF!,MATCH("a",Commerce_session1!#REF!,0),62)</f>
        <v>#REF!</v>
      </c>
    </row>
    <row r="563" spans="1:15" ht="18.75" customHeight="1" thickBot="1">
      <c r="A563" s="550"/>
      <c r="B563" s="501"/>
      <c r="C563" s="504"/>
      <c r="D563" s="507"/>
      <c r="E563" s="451"/>
      <c r="F563" s="101" t="s">
        <v>84</v>
      </c>
      <c r="G563" s="80">
        <v>3</v>
      </c>
      <c r="H563" s="81">
        <v>2</v>
      </c>
      <c r="I563" s="20" t="e">
        <f>INDEX(Commerce_session1!A6:CX792,MATCH("R",Commerce_session1!A6:A792,0),37)</f>
        <v>#N/A</v>
      </c>
      <c r="J563" s="17" t="e">
        <f>INDEX(Commerce_session1!A6:CX792,MATCH("R",Commerce_session1!A6:A792,0),38)</f>
        <v>#N/A</v>
      </c>
      <c r="K563" s="511" t="e">
        <f>INDEX(Commerce_session1!B342:CY384,MATCH("a",Commerce_session1!B342:B384,0),22)</f>
        <v>#N/A</v>
      </c>
      <c r="L563" s="490" t="e">
        <f>INDEX(Commerce_session1!D342:CZ384,MATCH("a",Commerce_session1!D342:D384,0),22)</f>
        <v>#N/A</v>
      </c>
      <c r="M563" s="491" t="e">
        <f>INDEX(Commerce_session1!E342:DA384,MATCH("a",Commerce_session1!E342:E384,0),22)</f>
        <v>#N/A</v>
      </c>
      <c r="N563" s="498" t="e">
        <f>INDEX(Commerce_session1!#REF!,MATCH("a",Commerce_session1!#REF!,0),62)</f>
        <v>#REF!</v>
      </c>
      <c r="O563" s="487" t="e">
        <f>INDEX(Commerce_session1!#REF!,MATCH("a",Commerce_session1!#REF!,0),62)</f>
        <v>#REF!</v>
      </c>
    </row>
    <row r="564" spans="1:15" ht="33.75" customHeight="1" thickTop="1" thickBot="1">
      <c r="A564" s="550"/>
      <c r="B564" s="531" t="s">
        <v>38</v>
      </c>
      <c r="C564" s="559" t="s">
        <v>50</v>
      </c>
      <c r="D564" s="520">
        <v>5</v>
      </c>
      <c r="E564" s="508">
        <v>2</v>
      </c>
      <c r="F564" s="102" t="s">
        <v>63</v>
      </c>
      <c r="G564" s="68">
        <v>4</v>
      </c>
      <c r="H564" s="69">
        <v>1</v>
      </c>
      <c r="I564" s="18" t="e">
        <f>INDEX(Commerce_session1!A6:CX792,MATCH("R",Commerce_session1!A6:A792,0),43)</f>
        <v>#N/A</v>
      </c>
      <c r="J564" s="19" t="e">
        <f>INDEX(Commerce_session1!A6:CX792,MATCH("R",Commerce_session1!A6:A792,0),44)</f>
        <v>#N/A</v>
      </c>
      <c r="K564" s="509" t="e">
        <f>INDEX(Commerce_session1!A6:CX792,MATCH("R",Commerce_session1!A6:A792,0),48)</f>
        <v>#N/A</v>
      </c>
      <c r="L564" s="488" t="e">
        <f>INDEX(Commerce_session1!A6:CX792,MATCH("R",Commerce_session1!A6:A792,0),49)</f>
        <v>#N/A</v>
      </c>
      <c r="M564" s="489" t="e">
        <f>INDEX(Commerce_session1!D342:CZ384,MATCH("a",Commerce_session1!D342:D384,0),29)</f>
        <v>#N/A</v>
      </c>
      <c r="N564" s="498" t="e">
        <f>INDEX(Commerce_session1!#REF!,MATCH("a",Commerce_session1!#REF!,0),62)</f>
        <v>#REF!</v>
      </c>
      <c r="O564" s="487" t="e">
        <f>INDEX(Commerce_session1!#REF!,MATCH("a",Commerce_session1!#REF!,0),62)</f>
        <v>#REF!</v>
      </c>
    </row>
    <row r="565" spans="1:15" ht="18.75" customHeight="1" thickBot="1">
      <c r="A565" s="550"/>
      <c r="B565" s="527"/>
      <c r="C565" s="524"/>
      <c r="D565" s="521"/>
      <c r="E565" s="451"/>
      <c r="F565" s="101" t="s">
        <v>62</v>
      </c>
      <c r="G565" s="80">
        <v>1</v>
      </c>
      <c r="H565" s="81">
        <v>1</v>
      </c>
      <c r="I565" s="16" t="e">
        <f>INDEX(Commerce_session1!A6:CX792,MATCH("R",Commerce_session1!A6:A792,0),46)</f>
        <v>#N/A</v>
      </c>
      <c r="J565" s="21" t="e">
        <f>INDEX(Commerce_session1!A6:CX792,MATCH("R",Commerce_session1!A6:A792,0),47)</f>
        <v>#N/A</v>
      </c>
      <c r="K565" s="511" t="e">
        <f>INDEX(Commerce_session1!B342:CY384,MATCH("a",Commerce_session1!B342:B384,0),28)</f>
        <v>#N/A</v>
      </c>
      <c r="L565" s="490" t="e">
        <f>INDEX(Commerce_session1!D342:CZ384,MATCH("a",Commerce_session1!D342:D384,0),28)</f>
        <v>#N/A</v>
      </c>
      <c r="M565" s="491" t="e">
        <f>INDEX(Commerce_session1!E342:DA384,MATCH("a",Commerce_session1!E342:E384,0),28)</f>
        <v>#N/A</v>
      </c>
      <c r="N565" s="498" t="e">
        <f>INDEX(Commerce_session1!#REF!,MATCH("a",Commerce_session1!#REF!,0),62)</f>
        <v>#REF!</v>
      </c>
      <c r="O565" s="487" t="e">
        <f>INDEX(Commerce_session1!#REF!,MATCH("a",Commerce_session1!#REF!,0),62)</f>
        <v>#REF!</v>
      </c>
    </row>
    <row r="566" spans="1:15" ht="20.25" customHeight="1" thickTop="1" thickBot="1">
      <c r="A566" s="551"/>
      <c r="B566" s="105" t="s">
        <v>39</v>
      </c>
      <c r="C566" s="104" t="s">
        <v>51</v>
      </c>
      <c r="D566" s="22">
        <v>1</v>
      </c>
      <c r="E566" s="23">
        <v>1</v>
      </c>
      <c r="F566" s="103" t="s">
        <v>64</v>
      </c>
      <c r="G566" s="82">
        <v>1</v>
      </c>
      <c r="H566" s="83">
        <v>1</v>
      </c>
      <c r="I566" s="20" t="e">
        <f>INDEX(Commerce_session1!A6:CX792,MATCH("R",Commerce_session1!A6:A792,0),52)</f>
        <v>#N/A</v>
      </c>
      <c r="J566" s="24" t="e">
        <f>INDEX(Commerce_session1!A6:CX792,MATCH("R",Commerce_session1!A6:A792,0),53)</f>
        <v>#N/A</v>
      </c>
      <c r="K566" s="36" t="e">
        <f>INDEX(Commerce_session1!A6:CX792,MATCH("R",Commerce_session1!A6:A792,0),54)</f>
        <v>#N/A</v>
      </c>
      <c r="L566" s="492" t="e">
        <f>INDEX(Commerce_session1!A6:CX792,MATCH("R",Commerce_session1!A6:A792,0),55)</f>
        <v>#N/A</v>
      </c>
      <c r="M566" s="493" t="e">
        <f>INDEX(Commerce_session1!D342:CZ384,MATCH("a",Commerce_session1!D342:D384,0),33)</f>
        <v>#N/A</v>
      </c>
      <c r="N566" s="498" t="e">
        <f>INDEX(Commerce_session1!#REF!,MATCH("a",Commerce_session1!#REF!,0),62)</f>
        <v>#REF!</v>
      </c>
      <c r="O566" s="487" t="e">
        <f>INDEX(Commerce_session1!#REF!,MATCH("a",Commerce_session1!#REF!,0),62)</f>
        <v>#REF!</v>
      </c>
    </row>
    <row r="567" spans="1:15" ht="19.5" customHeight="1" thickTop="1" thickBot="1">
      <c r="A567" s="516" t="s">
        <v>77</v>
      </c>
      <c r="B567" s="525" t="s">
        <v>36</v>
      </c>
      <c r="C567" s="522" t="s">
        <v>88</v>
      </c>
      <c r="D567" s="528">
        <v>16</v>
      </c>
      <c r="E567" s="449">
        <v>5</v>
      </c>
      <c r="F567" s="96" t="s">
        <v>67</v>
      </c>
      <c r="G567" s="114">
        <v>6</v>
      </c>
      <c r="H567" s="115">
        <v>2</v>
      </c>
      <c r="I567" s="18" t="e">
        <f>INDEX(Commerce_session1!A6:CX792,MATCH("R",Commerce_session1!A6:A792,0),60)</f>
        <v>#N/A</v>
      </c>
      <c r="J567" s="19" t="e">
        <f>INDEX(Commerce_session1!A6:CX792,MATCH("R",Commerce_session1!A6:A792,0),61)</f>
        <v>#N/A</v>
      </c>
      <c r="K567" s="519" t="e">
        <f>INDEX(Commerce_session1!A6:CX792,MATCH("R",Commerce_session1!A6:A792,0),70)</f>
        <v>#N/A</v>
      </c>
      <c r="L567" s="494" t="e">
        <f>INDEX(Commerce_session1!A6:CX792,MATCH("R",Commerce_session1!A6:A792,0),71)</f>
        <v>#N/A</v>
      </c>
      <c r="M567" s="495"/>
      <c r="N567" s="498" t="e">
        <f>INDEX(Commerce_session1!A6:CX792,MATCH("R",Commerce_session1!A6:A792,0),97)</f>
        <v>#N/A</v>
      </c>
      <c r="O567" s="487" t="e">
        <f>INDEX(Commerce_session1!A6:CX792,MATCH("R",Commerce_session1!A6:A792,0),98)</f>
        <v>#N/A</v>
      </c>
    </row>
    <row r="568" spans="1:15" ht="18.75" customHeight="1" thickBot="1">
      <c r="A568" s="517"/>
      <c r="B568" s="526"/>
      <c r="C568" s="523"/>
      <c r="D568" s="529"/>
      <c r="E568" s="450"/>
      <c r="F568" s="100" t="s">
        <v>68</v>
      </c>
      <c r="G568" s="116">
        <v>6</v>
      </c>
      <c r="H568" s="117">
        <v>2</v>
      </c>
      <c r="I568" s="14" t="e">
        <f>INDEX(Commerce_session1!A6:CX792,MATCH("R",Commerce_session1!A6:A792,0),64)</f>
        <v>#N/A</v>
      </c>
      <c r="J568" s="15" t="e">
        <f>INDEX(Commerce_session1!A6:CX792,MATCH("R",Commerce_session1!A6:A792,0),65)</f>
        <v>#N/A</v>
      </c>
      <c r="K568" s="510"/>
      <c r="L568" s="496"/>
      <c r="M568" s="497"/>
      <c r="N568" s="498" t="e">
        <f>INDEX(Commerce_session1!F342:DA384,MATCH("a",Commerce_session1!F342:F384,0),42)</f>
        <v>#N/A</v>
      </c>
      <c r="O568" s="487" t="e">
        <f>INDEX(Commerce_session1!G342:DA384,MATCH("a",Commerce_session1!G342:G384,0),42)</f>
        <v>#N/A</v>
      </c>
    </row>
    <row r="569" spans="1:15" ht="20.25" customHeight="1" thickBot="1">
      <c r="A569" s="517"/>
      <c r="B569" s="527"/>
      <c r="C569" s="524"/>
      <c r="D569" s="530"/>
      <c r="E569" s="451"/>
      <c r="F569" s="101" t="s">
        <v>103</v>
      </c>
      <c r="G569" s="118">
        <v>4</v>
      </c>
      <c r="H569" s="119">
        <v>1</v>
      </c>
      <c r="I569" s="127" t="e">
        <f>INDEX(Commerce_session1!A6:CX792,MATCH("R",Commerce_session1!A6:A792,0),68)</f>
        <v>#N/A</v>
      </c>
      <c r="J569" s="21" t="e">
        <f>INDEX(Commerce_session1!A6:CX792,MATCH("R",Commerce_session1!A6:A792,0),69)</f>
        <v>#N/A</v>
      </c>
      <c r="K569" s="511"/>
      <c r="L569" s="490"/>
      <c r="M569" s="491"/>
      <c r="N569" s="498" t="e">
        <f>INDEX(Commerce_session1!F343:DA384,MATCH("a",Commerce_session1!F343:F384,0),42)</f>
        <v>#N/A</v>
      </c>
      <c r="O569" s="487" t="e">
        <f>INDEX(Commerce_session1!G343:DA384,MATCH("a",Commerce_session1!G343:G384,0),42)</f>
        <v>#N/A</v>
      </c>
    </row>
    <row r="570" spans="1:15" ht="22.5" customHeight="1" thickTop="1" thickBot="1">
      <c r="A570" s="517"/>
      <c r="B570" s="531" t="s">
        <v>37</v>
      </c>
      <c r="C570" s="559" t="s">
        <v>87</v>
      </c>
      <c r="D570" s="532">
        <v>10</v>
      </c>
      <c r="E570" s="508">
        <v>4</v>
      </c>
      <c r="F570" s="128" t="s">
        <v>104</v>
      </c>
      <c r="G570" s="76">
        <v>5</v>
      </c>
      <c r="H570" s="77">
        <v>2</v>
      </c>
      <c r="I570" s="18" t="e">
        <f>INDEX(Commerce_session1!A6:CX792,MATCH("R",Commerce_session1!A6:A792,0),74)</f>
        <v>#N/A</v>
      </c>
      <c r="J570" s="19" t="e">
        <f>INDEX(Commerce_session1!A6:CX792,MATCH("R",Commerce_session1!A6:A792,0),75)</f>
        <v>#N/A</v>
      </c>
      <c r="K570" s="509" t="e">
        <f>INDEX(Commerce_session1!A6:CX792,MATCH("R",Commerce_session1!A6:A792,0),80)</f>
        <v>#N/A</v>
      </c>
      <c r="L570" s="488" t="e">
        <f>INDEX(Commerce_session1!A6:CX792,MATCH("R",Commerce_session1!A6:A792,0),81)</f>
        <v>#N/A</v>
      </c>
      <c r="M570" s="489"/>
      <c r="N570" s="498" t="e">
        <f>INDEX(Commerce_session1!E345:DA384,MATCH("a",Commerce_session1!E345:E384,0),43)</f>
        <v>#N/A</v>
      </c>
      <c r="O570" s="487" t="e">
        <f>INDEX(Commerce_session1!F345:DA384,MATCH("a",Commerce_session1!F345:F384,0),43)</f>
        <v>#N/A</v>
      </c>
    </row>
    <row r="571" spans="1:15" ht="18.75" customHeight="1" thickBot="1">
      <c r="A571" s="517"/>
      <c r="B571" s="527"/>
      <c r="C571" s="524"/>
      <c r="D571" s="530"/>
      <c r="E571" s="451"/>
      <c r="F571" s="98" t="s">
        <v>69</v>
      </c>
      <c r="G571" s="74">
        <v>5</v>
      </c>
      <c r="H571" s="75">
        <v>2</v>
      </c>
      <c r="I571" s="20" t="e">
        <f>INDEX(Commerce_session1!A6:CX792,MATCH("R",Commerce_session1!A6:A792,0),78)</f>
        <v>#N/A</v>
      </c>
      <c r="J571" s="17" t="e">
        <f>INDEX(Commerce_session1!A6:CX792,MATCH("R",Commerce_session1!A6:A792,0),79)</f>
        <v>#N/A</v>
      </c>
      <c r="K571" s="511"/>
      <c r="L571" s="490"/>
      <c r="M571" s="491"/>
      <c r="N571" s="498" t="e">
        <f>INDEX(Commerce_session1!F346:DA384,MATCH("a",Commerce_session1!F346:F384,0),42)</f>
        <v>#N/A</v>
      </c>
      <c r="O571" s="487" t="e">
        <f>INDEX(Commerce_session1!G346:DA384,MATCH("a",Commerce_session1!G346:G384,0),42)</f>
        <v>#N/A</v>
      </c>
    </row>
    <row r="572" spans="1:15" ht="18.75" customHeight="1" thickTop="1" thickBot="1">
      <c r="A572" s="517"/>
      <c r="B572" s="105" t="s">
        <v>38</v>
      </c>
      <c r="C572" s="104" t="s">
        <v>85</v>
      </c>
      <c r="D572" s="22">
        <v>3</v>
      </c>
      <c r="E572" s="23">
        <v>2</v>
      </c>
      <c r="F572" s="101" t="s">
        <v>74</v>
      </c>
      <c r="G572" s="74">
        <v>3</v>
      </c>
      <c r="H572" s="75">
        <v>2</v>
      </c>
      <c r="I572" s="20" t="e">
        <f>INDEX(Commerce_session1!A6:CX792,MATCH("R",Commerce_session1!A6:A792,0),84)</f>
        <v>#N/A</v>
      </c>
      <c r="J572" s="17" t="e">
        <f>INDEX(Commerce_session1!A6:CX792,MATCH("R",Commerce_session1!A6:A792,0),85)</f>
        <v>#N/A</v>
      </c>
      <c r="K572" s="123" t="e">
        <f>INDEX(Commerce_session1!A6:CX792,MATCH("R",Commerce_session1!A6:A792,0),86)</f>
        <v>#N/A</v>
      </c>
      <c r="L572" s="512" t="e">
        <f>INDEX(Commerce_session1!A6:CX792,MATCH("R",Commerce_session1!A6:A792,0),87)</f>
        <v>#N/A</v>
      </c>
      <c r="M572" s="513"/>
      <c r="N572" s="498" t="e">
        <f>INDEX(Commerce_session1!F348:DA384,MATCH("a",Commerce_session1!F348:F384,0),42)</f>
        <v>#N/A</v>
      </c>
      <c r="O572" s="487" t="e">
        <f>INDEX(Commerce_session1!G348:DA384,MATCH("a",Commerce_session1!G348:G384,0),42)</f>
        <v>#N/A</v>
      </c>
    </row>
    <row r="573" spans="1:15" ht="20.25" customHeight="1" thickTop="1" thickBot="1">
      <c r="A573" s="518"/>
      <c r="B573" s="105" t="s">
        <v>39</v>
      </c>
      <c r="C573" s="104" t="s">
        <v>86</v>
      </c>
      <c r="D573" s="22">
        <v>1</v>
      </c>
      <c r="E573" s="23">
        <v>1</v>
      </c>
      <c r="F573" s="103" t="s">
        <v>73</v>
      </c>
      <c r="G573" s="82">
        <v>1</v>
      </c>
      <c r="H573" s="83">
        <v>1</v>
      </c>
      <c r="I573" s="25" t="e">
        <f>INDEX(Commerce_session1!A6:CX792,MATCH("R",Commerce_session1!A6:A792,0),89)</f>
        <v>#N/A</v>
      </c>
      <c r="J573" s="26" t="e">
        <f>INDEX(Commerce_session1!A6:CX792,MATCH("R",Commerce_session1!A6:A792,0),90)</f>
        <v>#N/A</v>
      </c>
      <c r="K573" s="27" t="e">
        <f>INDEX(Commerce_session1!A6:CX792,MATCH("R",Commerce_session1!A6:A792,0),91)</f>
        <v>#N/A</v>
      </c>
      <c r="L573" s="514" t="e">
        <f>INDEX(Commerce_session1!A6:CX792,MATCH("R",Commerce_session1!A6:A792,0),92)</f>
        <v>#N/A</v>
      </c>
      <c r="M573" s="515" t="e">
        <f>INDEX(Commerce_session1!D342:CZ384,MATCH("a",Commerce_session1!D342:D384,0),61)</f>
        <v>#N/A</v>
      </c>
      <c r="N573" s="498" t="e">
        <f>INDEX(Commerce_session1!F349:DA384,MATCH("a",Commerce_session1!F349:F384,0),42)</f>
        <v>#N/A</v>
      </c>
      <c r="O573" s="487" t="e">
        <f>INDEX(Commerce_session1!G349:DA384,MATCH("a",Commerce_session1!G349:G384,0),42)</f>
        <v>#N/A</v>
      </c>
    </row>
    <row r="574" spans="1:15" ht="20.25">
      <c r="A574" s="535" t="s">
        <v>40</v>
      </c>
      <c r="B574" s="536"/>
      <c r="C574" s="537"/>
      <c r="D574" s="121" t="e">
        <f>INDEX(Commerce_session1!A6:CX792,MATCH("R",Commerce_session1!A6:A792,0),99)</f>
        <v>#N/A</v>
      </c>
      <c r="E574" s="538" t="s">
        <v>41</v>
      </c>
      <c r="F574" s="540"/>
      <c r="G574" s="120" t="e">
        <f>INDEX(Commerce_session1!A6:CX792,MATCH("R",Commerce_session1!A6:A792,0),100)</f>
        <v>#N/A</v>
      </c>
      <c r="H574" s="538" t="s">
        <v>91</v>
      </c>
      <c r="I574" s="539"/>
      <c r="J574" s="539"/>
      <c r="K574" s="540"/>
      <c r="L574" s="541" t="e">
        <f>INDEX(Commerce_session1!A6:CX792,MATCH("R",Commerce_session1!A6:A792,0),101)</f>
        <v>#N/A</v>
      </c>
      <c r="M574" s="542"/>
      <c r="N574" s="8"/>
      <c r="O574" s="8"/>
    </row>
    <row r="575" spans="1:15" ht="22.5">
      <c r="A575" s="546" t="s">
        <v>42</v>
      </c>
      <c r="B575" s="547"/>
      <c r="C575" s="548"/>
      <c r="D575" s="543" t="e">
        <f>INDEX(Commerce_session1!A6:CX792,MATCH("R",Commerce_session1!A6:A792,0),102)</f>
        <v>#N/A</v>
      </c>
      <c r="E575" s="544"/>
      <c r="F575" s="545"/>
      <c r="G575" s="108"/>
      <c r="H575" s="109"/>
      <c r="I575" s="110"/>
      <c r="J575" s="111"/>
      <c r="K575" s="110"/>
      <c r="L575" s="110"/>
      <c r="M575" s="110"/>
      <c r="N575" s="112" t="s">
        <v>43</v>
      </c>
      <c r="O575" s="28">
        <f ca="1">TODAY()</f>
        <v>43626</v>
      </c>
    </row>
    <row r="576" spans="1:15" ht="32.25" customHeight="1">
      <c r="A576" s="113" t="s">
        <v>44</v>
      </c>
      <c r="B576" s="29"/>
      <c r="C576" s="29"/>
      <c r="D576" s="533"/>
      <c r="E576" s="533"/>
      <c r="F576" s="30"/>
      <c r="G576" s="4"/>
      <c r="J576" s="4"/>
      <c r="L576" s="534" t="s">
        <v>46</v>
      </c>
      <c r="M576" s="534"/>
      <c r="N576" s="534"/>
    </row>
    <row r="577" spans="1:18" ht="23.25" customHeight="1" thickBot="1">
      <c r="A577" s="84" t="s">
        <v>12</v>
      </c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445" t="s">
        <v>13</v>
      </c>
      <c r="M577" s="445"/>
      <c r="N577" s="445"/>
      <c r="O577" s="445"/>
      <c r="P577" s="2"/>
      <c r="Q577" s="2"/>
      <c r="R577" s="2"/>
    </row>
    <row r="578" spans="1:18" ht="15.75">
      <c r="A578" s="446" t="s">
        <v>14</v>
      </c>
      <c r="B578" s="446"/>
      <c r="C578" s="446"/>
      <c r="D578" s="446"/>
      <c r="E578" s="446"/>
      <c r="F578" s="3"/>
      <c r="H578" s="4"/>
      <c r="K578" s="4"/>
      <c r="L578" s="4"/>
    </row>
    <row r="579" spans="1:18" ht="15.75">
      <c r="A579" s="85" t="s">
        <v>15</v>
      </c>
      <c r="B579" s="85"/>
      <c r="C579" s="85"/>
      <c r="D579" s="85"/>
      <c r="E579" s="85"/>
      <c r="F579" s="5"/>
      <c r="H579" s="4"/>
      <c r="K579" s="4"/>
      <c r="L579" s="4"/>
      <c r="P579" s="6"/>
    </row>
    <row r="580" spans="1:18" ht="15.75">
      <c r="A580" s="85" t="s">
        <v>100</v>
      </c>
      <c r="B580" s="85"/>
      <c r="C580" s="85"/>
      <c r="D580" s="85"/>
      <c r="E580" s="85"/>
      <c r="F580" s="3"/>
      <c r="H580" s="4"/>
      <c r="K580" s="4"/>
      <c r="L580" s="4"/>
    </row>
    <row r="581" spans="1:18" s="8" customFormat="1" ht="27" customHeight="1">
      <c r="A581" s="7"/>
      <c r="B581" s="7"/>
      <c r="C581" s="7"/>
      <c r="D581" s="447" t="s">
        <v>94</v>
      </c>
      <c r="E581" s="447"/>
      <c r="F581" s="447"/>
      <c r="G581" s="447"/>
      <c r="H581" s="447"/>
      <c r="I581" s="447"/>
      <c r="J581" s="447"/>
      <c r="K581" s="447"/>
      <c r="L581" s="447"/>
      <c r="M581" s="7"/>
      <c r="N581" s="7"/>
      <c r="O581" s="7"/>
    </row>
    <row r="582" spans="1:18" ht="23.25" customHeight="1">
      <c r="A582" s="126" t="s">
        <v>101</v>
      </c>
      <c r="B582" s="126"/>
      <c r="C582" s="126"/>
      <c r="D582" s="126"/>
      <c r="E582" s="126"/>
      <c r="F582" s="126"/>
      <c r="G582" s="122"/>
      <c r="H582" s="122"/>
      <c r="I582" s="122" t="e">
        <f>IF(D607="ناجح(ة) دورة1","-الدورة الأولى-","-الدورة الثانية-")</f>
        <v>#N/A</v>
      </c>
      <c r="J582" s="124" t="s">
        <v>48</v>
      </c>
      <c r="K582" s="124"/>
      <c r="L582" s="87"/>
      <c r="M582" s="88"/>
      <c r="N582" s="89"/>
      <c r="O582" s="9"/>
    </row>
    <row r="583" spans="1:18" ht="20.25" customHeight="1">
      <c r="A583" s="476" t="s">
        <v>93</v>
      </c>
      <c r="B583" s="476"/>
      <c r="C583" s="90" t="e">
        <f>INDEX(Commerce_session1!A6:CX792,MATCH("S",Commerce_session1!A6:A792,0),3)</f>
        <v>#N/A</v>
      </c>
      <c r="D583" s="91" t="s">
        <v>92</v>
      </c>
      <c r="E583" s="448" t="e">
        <f>INDEX(Commerce_session1!A6:CX792,MATCH("S",Commerce_session1!A6:A792,0),4)</f>
        <v>#N/A</v>
      </c>
      <c r="F583" s="448" t="e">
        <f>INDEX(Commerce_session1!D374:DA668,MATCH("a",Commerce_session1!D374:D668,0),3)</f>
        <v>#N/A</v>
      </c>
      <c r="G583" s="477" t="s">
        <v>16</v>
      </c>
      <c r="H583" s="477"/>
      <c r="I583" s="477"/>
      <c r="J583" s="478" t="e">
        <f>INDEX(Commerce_session1!A6:CX792,MATCH("S",Commerce_session1!A6:A792,0),6)</f>
        <v>#N/A</v>
      </c>
      <c r="K583" s="478"/>
      <c r="L583" s="88"/>
      <c r="M583" s="92" t="s">
        <v>17</v>
      </c>
      <c r="N583" s="90" t="e">
        <f>INDEX(Commerce_session1!A6:CX792,MATCH("S",Commerce_session1!A6:A792,0),7)</f>
        <v>#N/A</v>
      </c>
      <c r="O583" s="10"/>
    </row>
    <row r="584" spans="1:18" ht="20.25" customHeight="1">
      <c r="A584" s="476" t="s">
        <v>18</v>
      </c>
      <c r="B584" s="476"/>
      <c r="C584" s="448" t="e">
        <f>INDEX(Commerce_session1!A6:CX792,MATCH("S",Commerce_session1!A6:A792,0),5)</f>
        <v>#N/A</v>
      </c>
      <c r="D584" s="448"/>
      <c r="E584" s="91"/>
      <c r="F584" s="88"/>
      <c r="G584" s="93"/>
      <c r="H584" s="88"/>
      <c r="I584" s="88"/>
      <c r="J584" s="93"/>
      <c r="K584" s="88"/>
      <c r="L584" s="88"/>
      <c r="M584" s="88"/>
      <c r="N584" s="88"/>
      <c r="O584" s="10"/>
    </row>
    <row r="585" spans="1:18" ht="20.25" customHeight="1">
      <c r="A585" s="476" t="s">
        <v>102</v>
      </c>
      <c r="B585" s="476"/>
      <c r="C585" s="476"/>
      <c r="D585" s="476"/>
      <c r="E585" s="476"/>
      <c r="F585" s="476"/>
      <c r="G585" s="476"/>
      <c r="H585" s="476"/>
      <c r="I585" s="476"/>
      <c r="J585" s="476"/>
      <c r="K585" s="476"/>
      <c r="L585" s="476"/>
      <c r="M585" s="476"/>
      <c r="N585" s="476"/>
      <c r="O585" s="476"/>
    </row>
    <row r="586" spans="1:18" ht="20.25" customHeight="1" thickBot="1">
      <c r="A586" s="459" t="s">
        <v>19</v>
      </c>
      <c r="B586" s="459"/>
      <c r="C586" s="459"/>
      <c r="D586" s="459"/>
      <c r="E586" s="459"/>
      <c r="F586" s="459"/>
      <c r="G586" s="459"/>
      <c r="H586" s="94"/>
      <c r="I586" s="94"/>
      <c r="J586" s="95"/>
      <c r="K586" s="94"/>
      <c r="L586" s="94"/>
      <c r="M586" s="94"/>
      <c r="N586" s="94"/>
      <c r="O586" s="11"/>
    </row>
    <row r="587" spans="1:18" ht="18.75" thickBot="1">
      <c r="A587" s="460" t="s">
        <v>20</v>
      </c>
      <c r="B587" s="463" t="s">
        <v>21</v>
      </c>
      <c r="C587" s="464"/>
      <c r="D587" s="464"/>
      <c r="E587" s="464"/>
      <c r="F587" s="464" t="s">
        <v>22</v>
      </c>
      <c r="G587" s="464"/>
      <c r="H587" s="464"/>
      <c r="I587" s="465" t="s">
        <v>23</v>
      </c>
      <c r="J587" s="466"/>
      <c r="K587" s="466"/>
      <c r="L587" s="466"/>
      <c r="M587" s="466"/>
      <c r="N587" s="466"/>
      <c r="O587" s="467"/>
    </row>
    <row r="588" spans="1:18">
      <c r="A588" s="461"/>
      <c r="B588" s="468" t="s">
        <v>24</v>
      </c>
      <c r="C588" s="470" t="s">
        <v>25</v>
      </c>
      <c r="D588" s="472" t="s">
        <v>26</v>
      </c>
      <c r="E588" s="474" t="s">
        <v>27</v>
      </c>
      <c r="F588" s="479" t="s">
        <v>28</v>
      </c>
      <c r="G588" s="468" t="s">
        <v>11</v>
      </c>
      <c r="H588" s="481" t="s">
        <v>27</v>
      </c>
      <c r="I588" s="482" t="s">
        <v>29</v>
      </c>
      <c r="J588" s="483"/>
      <c r="K588" s="484" t="s">
        <v>30</v>
      </c>
      <c r="L588" s="485"/>
      <c r="M588" s="486"/>
      <c r="N588" s="455" t="s">
        <v>20</v>
      </c>
      <c r="O588" s="456"/>
    </row>
    <row r="589" spans="1:18" ht="15.75" thickBot="1">
      <c r="A589" s="462"/>
      <c r="B589" s="469"/>
      <c r="C589" s="471"/>
      <c r="D589" s="473"/>
      <c r="E589" s="475"/>
      <c r="F589" s="480"/>
      <c r="G589" s="469"/>
      <c r="H589" s="473"/>
      <c r="I589" s="106" t="s">
        <v>10</v>
      </c>
      <c r="J589" s="106" t="s">
        <v>31</v>
      </c>
      <c r="K589" s="106" t="s">
        <v>32</v>
      </c>
      <c r="L589" s="457" t="s">
        <v>33</v>
      </c>
      <c r="M589" s="458"/>
      <c r="N589" s="106" t="s">
        <v>34</v>
      </c>
      <c r="O589" s="107" t="s">
        <v>35</v>
      </c>
    </row>
    <row r="590" spans="1:18" ht="18.75" customHeight="1" thickBot="1">
      <c r="A590" s="549" t="s">
        <v>76</v>
      </c>
      <c r="B590" s="552" t="s">
        <v>36</v>
      </c>
      <c r="C590" s="555" t="s">
        <v>90</v>
      </c>
      <c r="D590" s="556">
        <v>17</v>
      </c>
      <c r="E590" s="449">
        <v>6</v>
      </c>
      <c r="F590" s="96" t="s">
        <v>54</v>
      </c>
      <c r="G590" s="70">
        <v>5</v>
      </c>
      <c r="H590" s="71">
        <v>2</v>
      </c>
      <c r="I590" s="12" t="e">
        <f>INDEX(Commerce_session1!A6:CX792,MATCH("S",Commerce_session1!A6:A792,0),16)</f>
        <v>#N/A</v>
      </c>
      <c r="J590" s="13" t="e">
        <f>INDEX(Commerce_session1!A6:CX792,MATCH("S",Commerce_session1!A6:A792,0),17)</f>
        <v>#N/A</v>
      </c>
      <c r="K590" s="452" t="e">
        <f>INDEX(Commerce_session1!A6:CX792,MATCH("S",Commerce_session1!A6:A792,0),26)</f>
        <v>#N/A</v>
      </c>
      <c r="L590" s="494" t="e">
        <f>INDEX(Commerce_session1!A6:CX792,MATCH("S",Commerce_session1!A6:A792,0),27)</f>
        <v>#N/A</v>
      </c>
      <c r="M590" s="495" t="e">
        <f>INDEX(Commerce_session1!D374:CZ416,MATCH("a",Commerce_session1!D374:D416,0),15)</f>
        <v>#N/A</v>
      </c>
      <c r="N590" s="498" t="e">
        <f>INDEX(Commerce_session1!A6:CX792,MATCH("S",Commerce_session1!A6:A792,0),95)</f>
        <v>#N/A</v>
      </c>
      <c r="O590" s="487" t="e">
        <f>INDEX(Commerce_session1!A6:CX792,MATCH("S",Commerce_session1!A6:A792,0),96)</f>
        <v>#N/A</v>
      </c>
    </row>
    <row r="591" spans="1:18" ht="18.75" customHeight="1" thickBot="1">
      <c r="A591" s="550"/>
      <c r="B591" s="553"/>
      <c r="C591" s="503"/>
      <c r="D591" s="557"/>
      <c r="E591" s="450"/>
      <c r="F591" s="97" t="s">
        <v>55</v>
      </c>
      <c r="G591" s="72">
        <v>6</v>
      </c>
      <c r="H591" s="73">
        <v>2</v>
      </c>
      <c r="I591" s="14" t="e">
        <f>INDEX(Commerce_session1!A6:CX792,MATCH("S",Commerce_session1!A6:A792,0),20)</f>
        <v>#N/A</v>
      </c>
      <c r="J591" s="15" t="e">
        <f>INDEX(Commerce_session1!A6:CX792,MATCH("S",Commerce_session1!A6:A792,0),21)</f>
        <v>#N/A</v>
      </c>
      <c r="K591" s="453" t="e">
        <f>INDEX(Commerce_session1!B374:CY416,MATCH("a",Commerce_session1!B374:B416,0),14)</f>
        <v>#N/A</v>
      </c>
      <c r="L591" s="496" t="e">
        <f>INDEX(Commerce_session1!D374:CZ416,MATCH("a",Commerce_session1!D374:D416,0),14)</f>
        <v>#N/A</v>
      </c>
      <c r="M591" s="497" t="e">
        <f>INDEX(Commerce_session1!E374:DA416,MATCH("a",Commerce_session1!E374:E416,0),14)</f>
        <v>#N/A</v>
      </c>
      <c r="N591" s="498" t="e">
        <f>INDEX(Commerce_session1!#REF!,MATCH("a",Commerce_session1!#REF!,0),62)</f>
        <v>#REF!</v>
      </c>
      <c r="O591" s="487" t="e">
        <f>INDEX(Commerce_session1!#REF!,MATCH("a",Commerce_session1!#REF!,0),62)</f>
        <v>#REF!</v>
      </c>
    </row>
    <row r="592" spans="1:18" ht="18.75" customHeight="1" thickBot="1">
      <c r="A592" s="550"/>
      <c r="B592" s="554"/>
      <c r="C592" s="504"/>
      <c r="D592" s="558"/>
      <c r="E592" s="451"/>
      <c r="F592" s="98" t="s">
        <v>56</v>
      </c>
      <c r="G592" s="74">
        <v>6</v>
      </c>
      <c r="H592" s="75">
        <v>2</v>
      </c>
      <c r="I592" s="16" t="e">
        <f>INDEX(Commerce_session1!A6:CX792,MATCH("S",Commerce_session1!A6:A792,0),24)</f>
        <v>#N/A</v>
      </c>
      <c r="J592" s="17" t="e">
        <f>INDEX(Commerce_session1!A6:CX792,MATCH("S",Commerce_session1!A6:A792,0),25)</f>
        <v>#N/A</v>
      </c>
      <c r="K592" s="454" t="e">
        <f>INDEX(Commerce_session1!B376:CY416,MATCH("a",Commerce_session1!B376:B416,0),14)</f>
        <v>#N/A</v>
      </c>
      <c r="L592" s="490" t="e">
        <f>INDEX(Commerce_session1!D376:CZ416,MATCH("a",Commerce_session1!D376:D416,0),14)</f>
        <v>#N/A</v>
      </c>
      <c r="M592" s="491" t="e">
        <f>INDEX(Commerce_session1!E376:DA416,MATCH("a",Commerce_session1!E376:E416,0),14)</f>
        <v>#N/A</v>
      </c>
      <c r="N592" s="498" t="e">
        <f>INDEX(Commerce_session1!#REF!,MATCH("a",Commerce_session1!#REF!,0),62)</f>
        <v>#REF!</v>
      </c>
      <c r="O592" s="487" t="e">
        <f>INDEX(Commerce_session1!#REF!,MATCH("a",Commerce_session1!#REF!,0),62)</f>
        <v>#REF!</v>
      </c>
    </row>
    <row r="593" spans="1:15" ht="19.5" customHeight="1" thickTop="1" thickBot="1">
      <c r="A593" s="550"/>
      <c r="B593" s="499" t="s">
        <v>37</v>
      </c>
      <c r="C593" s="502" t="s">
        <v>89</v>
      </c>
      <c r="D593" s="505">
        <v>7</v>
      </c>
      <c r="E593" s="508">
        <v>5</v>
      </c>
      <c r="F593" s="99" t="s">
        <v>83</v>
      </c>
      <c r="G593" s="76">
        <v>1</v>
      </c>
      <c r="H593" s="77">
        <v>1</v>
      </c>
      <c r="I593" s="18" t="e">
        <f>INDEX(Commerce_session1!A6:CX792,MATCH("S",Commerce_session1!A6:A792,0),29)</f>
        <v>#N/A</v>
      </c>
      <c r="J593" s="19" t="e">
        <f>INDEX(Commerce_session1!A6:CX792,MATCH("S",Commerce_session1!A6:A792,0),30)</f>
        <v>#N/A</v>
      </c>
      <c r="K593" s="509" t="e">
        <f>INDEX(Commerce_session1!A6:CX792,MATCH("S",Commerce_session1!A6:A792,0),39)</f>
        <v>#N/A</v>
      </c>
      <c r="L593" s="488" t="e">
        <f>INDEX(Commerce_session1!A6:CX792,MATCH("S",Commerce_session1!A6:A792,0),40)</f>
        <v>#N/A</v>
      </c>
      <c r="M593" s="489" t="e">
        <f>INDEX(Commerce_session1!D374:CZ416,MATCH("a",Commerce_session1!D374:D416,0),23)</f>
        <v>#N/A</v>
      </c>
      <c r="N593" s="498" t="e">
        <f>INDEX(Commerce_session1!#REF!,MATCH("a",Commerce_session1!#REF!,0),62)</f>
        <v>#REF!</v>
      </c>
      <c r="O593" s="487" t="e">
        <f>INDEX(Commerce_session1!#REF!,MATCH("a",Commerce_session1!#REF!,0),62)</f>
        <v>#REF!</v>
      </c>
    </row>
    <row r="594" spans="1:15" ht="18.75" customHeight="1" thickTop="1" thickBot="1">
      <c r="A594" s="550"/>
      <c r="B594" s="500"/>
      <c r="C594" s="503"/>
      <c r="D594" s="506"/>
      <c r="E594" s="450"/>
      <c r="F594" s="100" t="s">
        <v>99</v>
      </c>
      <c r="G594" s="78">
        <v>3</v>
      </c>
      <c r="H594" s="79">
        <v>2</v>
      </c>
      <c r="I594" s="18" t="e">
        <f>INDEX(Commerce_session1!A6:CX792,MATCH("S",Commerce_session1!A6:A792,0),33)</f>
        <v>#N/A</v>
      </c>
      <c r="J594" s="15" t="e">
        <f>INDEX(Commerce_session1!A6:CX792,MATCH("S",Commerce_session1!A6:A792,0),34)</f>
        <v>#N/A</v>
      </c>
      <c r="K594" s="510" t="e">
        <f>INDEX(Commerce_session1!B373:CY416,MATCH("a",Commerce_session1!B373:B416,0),22)</f>
        <v>#N/A</v>
      </c>
      <c r="L594" s="496" t="e">
        <f>INDEX(Commerce_session1!D373:CZ416,MATCH("a",Commerce_session1!D373:D416,0),22)</f>
        <v>#N/A</v>
      </c>
      <c r="M594" s="497" t="e">
        <f>INDEX(Commerce_session1!E373:DA416,MATCH("a",Commerce_session1!E373:E416,0),22)</f>
        <v>#N/A</v>
      </c>
      <c r="N594" s="498" t="e">
        <f>INDEX(Commerce_session1!#REF!,MATCH("a",Commerce_session1!#REF!,0),62)</f>
        <v>#REF!</v>
      </c>
      <c r="O594" s="487" t="e">
        <f>INDEX(Commerce_session1!#REF!,MATCH("a",Commerce_session1!#REF!,0),62)</f>
        <v>#REF!</v>
      </c>
    </row>
    <row r="595" spans="1:15" ht="18.75" customHeight="1" thickBot="1">
      <c r="A595" s="550"/>
      <c r="B595" s="501"/>
      <c r="C595" s="504"/>
      <c r="D595" s="507"/>
      <c r="E595" s="451"/>
      <c r="F595" s="101" t="s">
        <v>84</v>
      </c>
      <c r="G595" s="80">
        <v>3</v>
      </c>
      <c r="H595" s="81">
        <v>2</v>
      </c>
      <c r="I595" s="20" t="e">
        <f>INDEX(Commerce_session1!A6:CX792,MATCH("S",Commerce_session1!A6:A792,0),37)</f>
        <v>#N/A</v>
      </c>
      <c r="J595" s="17" t="e">
        <f>INDEX(Commerce_session1!A6:CX792,MATCH("S",Commerce_session1!A6:A792,0),38)</f>
        <v>#N/A</v>
      </c>
      <c r="K595" s="511" t="e">
        <f>INDEX(Commerce_session1!B374:CY416,MATCH("a",Commerce_session1!B374:B416,0),22)</f>
        <v>#N/A</v>
      </c>
      <c r="L595" s="490" t="e">
        <f>INDEX(Commerce_session1!D374:CZ416,MATCH("a",Commerce_session1!D374:D416,0),22)</f>
        <v>#N/A</v>
      </c>
      <c r="M595" s="491" t="e">
        <f>INDEX(Commerce_session1!E374:DA416,MATCH("a",Commerce_session1!E374:E416,0),22)</f>
        <v>#N/A</v>
      </c>
      <c r="N595" s="498" t="e">
        <f>INDEX(Commerce_session1!#REF!,MATCH("a",Commerce_session1!#REF!,0),62)</f>
        <v>#REF!</v>
      </c>
      <c r="O595" s="487" t="e">
        <f>INDEX(Commerce_session1!#REF!,MATCH("a",Commerce_session1!#REF!,0),62)</f>
        <v>#REF!</v>
      </c>
    </row>
    <row r="596" spans="1:15" ht="33.75" customHeight="1" thickTop="1" thickBot="1">
      <c r="A596" s="550"/>
      <c r="B596" s="531" t="s">
        <v>38</v>
      </c>
      <c r="C596" s="559" t="s">
        <v>50</v>
      </c>
      <c r="D596" s="520">
        <v>5</v>
      </c>
      <c r="E596" s="508">
        <v>2</v>
      </c>
      <c r="F596" s="102" t="s">
        <v>63</v>
      </c>
      <c r="G596" s="68">
        <v>4</v>
      </c>
      <c r="H596" s="69">
        <v>1</v>
      </c>
      <c r="I596" s="18" t="e">
        <f>INDEX(Commerce_session1!A6:CX792,MATCH("S",Commerce_session1!A6:A792,0),43)</f>
        <v>#N/A</v>
      </c>
      <c r="J596" s="19" t="e">
        <f>INDEX(Commerce_session1!A6:CX792,MATCH("S",Commerce_session1!A6:A792,0),44)</f>
        <v>#N/A</v>
      </c>
      <c r="K596" s="509" t="e">
        <f>INDEX(Commerce_session1!A6:CX792,MATCH("S",Commerce_session1!A6:A792,0),48)</f>
        <v>#N/A</v>
      </c>
      <c r="L596" s="488" t="e">
        <f>INDEX(Commerce_session1!A6:CX792,MATCH("S",Commerce_session1!A6:A792,0),49)</f>
        <v>#N/A</v>
      </c>
      <c r="M596" s="489" t="e">
        <f>INDEX(Commerce_session1!D374:CZ416,MATCH("a",Commerce_session1!D374:D416,0),29)</f>
        <v>#N/A</v>
      </c>
      <c r="N596" s="498" t="e">
        <f>INDEX(Commerce_session1!#REF!,MATCH("a",Commerce_session1!#REF!,0),62)</f>
        <v>#REF!</v>
      </c>
      <c r="O596" s="487" t="e">
        <f>INDEX(Commerce_session1!#REF!,MATCH("a",Commerce_session1!#REF!,0),62)</f>
        <v>#REF!</v>
      </c>
    </row>
    <row r="597" spans="1:15" ht="18.75" customHeight="1" thickBot="1">
      <c r="A597" s="550"/>
      <c r="B597" s="527"/>
      <c r="C597" s="524"/>
      <c r="D597" s="521"/>
      <c r="E597" s="451"/>
      <c r="F597" s="101" t="s">
        <v>62</v>
      </c>
      <c r="G597" s="80">
        <v>1</v>
      </c>
      <c r="H597" s="81">
        <v>1</v>
      </c>
      <c r="I597" s="16" t="e">
        <f>INDEX(Commerce_session1!A6:CX792,MATCH("S",Commerce_session1!A6:A792,0),46)</f>
        <v>#N/A</v>
      </c>
      <c r="J597" s="21" t="e">
        <f>INDEX(Commerce_session1!A6:CX792,MATCH("S",Commerce_session1!A6:A792,0),47)</f>
        <v>#N/A</v>
      </c>
      <c r="K597" s="511" t="e">
        <f>INDEX(Commerce_session1!B374:CY416,MATCH("a",Commerce_session1!B374:B416,0),28)</f>
        <v>#N/A</v>
      </c>
      <c r="L597" s="490" t="e">
        <f>INDEX(Commerce_session1!D374:CZ416,MATCH("a",Commerce_session1!D374:D416,0),28)</f>
        <v>#N/A</v>
      </c>
      <c r="M597" s="491" t="e">
        <f>INDEX(Commerce_session1!E374:DA416,MATCH("a",Commerce_session1!E374:E416,0),28)</f>
        <v>#N/A</v>
      </c>
      <c r="N597" s="498" t="e">
        <f>INDEX(Commerce_session1!#REF!,MATCH("a",Commerce_session1!#REF!,0),62)</f>
        <v>#REF!</v>
      </c>
      <c r="O597" s="487" t="e">
        <f>INDEX(Commerce_session1!#REF!,MATCH("a",Commerce_session1!#REF!,0),62)</f>
        <v>#REF!</v>
      </c>
    </row>
    <row r="598" spans="1:15" ht="20.25" customHeight="1" thickTop="1" thickBot="1">
      <c r="A598" s="551"/>
      <c r="B598" s="105" t="s">
        <v>39</v>
      </c>
      <c r="C598" s="104" t="s">
        <v>51</v>
      </c>
      <c r="D598" s="22">
        <v>1</v>
      </c>
      <c r="E598" s="23">
        <v>1</v>
      </c>
      <c r="F598" s="103" t="s">
        <v>64</v>
      </c>
      <c r="G598" s="82">
        <v>1</v>
      </c>
      <c r="H598" s="83">
        <v>1</v>
      </c>
      <c r="I598" s="20" t="e">
        <f>INDEX(Commerce_session1!A6:CX792,MATCH("S",Commerce_session1!A6:A792,0),52)</f>
        <v>#N/A</v>
      </c>
      <c r="J598" s="24" t="e">
        <f>INDEX(Commerce_session1!A6:CX792,MATCH("S",Commerce_session1!A6:A792,0),53)</f>
        <v>#N/A</v>
      </c>
      <c r="K598" s="36" t="e">
        <f>INDEX(Commerce_session1!A6:CX792,MATCH("S",Commerce_session1!A6:A792,0),54)</f>
        <v>#N/A</v>
      </c>
      <c r="L598" s="492" t="e">
        <f>INDEX(Commerce_session1!A6:CX792,MATCH("S",Commerce_session1!A6:A792,0),55)</f>
        <v>#N/A</v>
      </c>
      <c r="M598" s="493" t="e">
        <f>INDEX(Commerce_session1!D374:CZ416,MATCH("a",Commerce_session1!D374:D416,0),33)</f>
        <v>#N/A</v>
      </c>
      <c r="N598" s="498" t="e">
        <f>INDEX(Commerce_session1!#REF!,MATCH("a",Commerce_session1!#REF!,0),62)</f>
        <v>#REF!</v>
      </c>
      <c r="O598" s="487" t="e">
        <f>INDEX(Commerce_session1!#REF!,MATCH("a",Commerce_session1!#REF!,0),62)</f>
        <v>#REF!</v>
      </c>
    </row>
    <row r="599" spans="1:15" ht="19.5" customHeight="1" thickTop="1" thickBot="1">
      <c r="A599" s="516" t="s">
        <v>77</v>
      </c>
      <c r="B599" s="525" t="s">
        <v>36</v>
      </c>
      <c r="C599" s="522" t="s">
        <v>88</v>
      </c>
      <c r="D599" s="528">
        <v>16</v>
      </c>
      <c r="E599" s="449">
        <v>5</v>
      </c>
      <c r="F599" s="96" t="s">
        <v>67</v>
      </c>
      <c r="G599" s="114">
        <v>6</v>
      </c>
      <c r="H599" s="115">
        <v>2</v>
      </c>
      <c r="I599" s="18" t="e">
        <f>INDEX(Commerce_session1!A6:CX792,MATCH("S",Commerce_session1!A6:A792,0),60)</f>
        <v>#N/A</v>
      </c>
      <c r="J599" s="19" t="e">
        <f>INDEX(Commerce_session1!A6:CX792,MATCH("S",Commerce_session1!A6:A792,0),61)</f>
        <v>#N/A</v>
      </c>
      <c r="K599" s="519" t="e">
        <f>INDEX(Commerce_session1!A6:CX792,MATCH("S",Commerce_session1!A6:A792,0),70)</f>
        <v>#N/A</v>
      </c>
      <c r="L599" s="494" t="e">
        <f>INDEX(Commerce_session1!A6:CX792,MATCH("S",Commerce_session1!A6:A792,0),71)</f>
        <v>#N/A</v>
      </c>
      <c r="M599" s="495"/>
      <c r="N599" s="498" t="e">
        <f>INDEX(Commerce_session1!A6:CX792,MATCH("S",Commerce_session1!A6:A792,0),97)</f>
        <v>#N/A</v>
      </c>
      <c r="O599" s="487" t="e">
        <f>INDEX(Commerce_session1!A6:CX792,MATCH("S",Commerce_session1!A6:A792,0),98)</f>
        <v>#N/A</v>
      </c>
    </row>
    <row r="600" spans="1:15" ht="18.75" customHeight="1" thickBot="1">
      <c r="A600" s="517"/>
      <c r="B600" s="526"/>
      <c r="C600" s="523"/>
      <c r="D600" s="529"/>
      <c r="E600" s="450"/>
      <c r="F600" s="100" t="s">
        <v>68</v>
      </c>
      <c r="G600" s="116">
        <v>6</v>
      </c>
      <c r="H600" s="117">
        <v>2</v>
      </c>
      <c r="I600" s="14" t="e">
        <f>INDEX(Commerce_session1!A6:CX792,MATCH("S",Commerce_session1!A6:A792,0),64)</f>
        <v>#N/A</v>
      </c>
      <c r="J600" s="15" t="e">
        <f>INDEX(Commerce_session1!A6:CX792,MATCH("S",Commerce_session1!A6:A792,0),65)</f>
        <v>#N/A</v>
      </c>
      <c r="K600" s="510"/>
      <c r="L600" s="496"/>
      <c r="M600" s="497"/>
      <c r="N600" s="498" t="e">
        <f>INDEX(Commerce_session1!F374:DA416,MATCH("a",Commerce_session1!F374:F416,0),42)</f>
        <v>#N/A</v>
      </c>
      <c r="O600" s="487" t="e">
        <f>INDEX(Commerce_session1!G374:DA416,MATCH("a",Commerce_session1!G374:G416,0),42)</f>
        <v>#N/A</v>
      </c>
    </row>
    <row r="601" spans="1:15" ht="20.25" customHeight="1" thickBot="1">
      <c r="A601" s="517"/>
      <c r="B601" s="527"/>
      <c r="C601" s="524"/>
      <c r="D601" s="530"/>
      <c r="E601" s="451"/>
      <c r="F601" s="101" t="s">
        <v>103</v>
      </c>
      <c r="G601" s="118">
        <v>4</v>
      </c>
      <c r="H601" s="119">
        <v>1</v>
      </c>
      <c r="I601" s="127" t="e">
        <f>INDEX(Commerce_session1!A6:CX792,MATCH("S",Commerce_session1!A6:A792,0),68)</f>
        <v>#N/A</v>
      </c>
      <c r="J601" s="21" t="e">
        <f>INDEX(Commerce_session1!A6:CX792,MATCH("S",Commerce_session1!A6:A792,0),69)</f>
        <v>#N/A</v>
      </c>
      <c r="K601" s="511"/>
      <c r="L601" s="490"/>
      <c r="M601" s="491"/>
      <c r="N601" s="498" t="e">
        <f>INDEX(Commerce_session1!F375:DA416,MATCH("a",Commerce_session1!F375:F416,0),42)</f>
        <v>#N/A</v>
      </c>
      <c r="O601" s="487" t="e">
        <f>INDEX(Commerce_session1!G375:DA416,MATCH("a",Commerce_session1!G375:G416,0),42)</f>
        <v>#N/A</v>
      </c>
    </row>
    <row r="602" spans="1:15" ht="22.5" customHeight="1" thickTop="1" thickBot="1">
      <c r="A602" s="517"/>
      <c r="B602" s="531" t="s">
        <v>37</v>
      </c>
      <c r="C602" s="559" t="s">
        <v>87</v>
      </c>
      <c r="D602" s="532">
        <v>10</v>
      </c>
      <c r="E602" s="508">
        <v>4</v>
      </c>
      <c r="F602" s="128" t="s">
        <v>104</v>
      </c>
      <c r="G602" s="76">
        <v>5</v>
      </c>
      <c r="H602" s="77">
        <v>2</v>
      </c>
      <c r="I602" s="18" t="e">
        <f>INDEX(Commerce_session1!A6:CX792,MATCH("S",Commerce_session1!A6:A792,0),74)</f>
        <v>#N/A</v>
      </c>
      <c r="J602" s="19" t="e">
        <f>INDEX(Commerce_session1!A6:CX792,MATCH("S",Commerce_session1!A6:A792,0),75)</f>
        <v>#N/A</v>
      </c>
      <c r="K602" s="509" t="e">
        <f>INDEX(Commerce_session1!A6:CX792,MATCH("S",Commerce_session1!A6:A792,0),80)</f>
        <v>#N/A</v>
      </c>
      <c r="L602" s="488" t="e">
        <f>INDEX(Commerce_session1!A6:CX792,MATCH("S",Commerce_session1!A6:A792,0),81)</f>
        <v>#N/A</v>
      </c>
      <c r="M602" s="489"/>
      <c r="N602" s="498" t="e">
        <f>INDEX(Commerce_session1!E377:DA416,MATCH("a",Commerce_session1!E377:E416,0),43)</f>
        <v>#N/A</v>
      </c>
      <c r="O602" s="487" t="e">
        <f>INDEX(Commerce_session1!F377:DA416,MATCH("a",Commerce_session1!F377:F416,0),43)</f>
        <v>#N/A</v>
      </c>
    </row>
    <row r="603" spans="1:15" ht="18.75" customHeight="1" thickBot="1">
      <c r="A603" s="517"/>
      <c r="B603" s="527"/>
      <c r="C603" s="524"/>
      <c r="D603" s="530"/>
      <c r="E603" s="451"/>
      <c r="F603" s="98" t="s">
        <v>69</v>
      </c>
      <c r="G603" s="74">
        <v>5</v>
      </c>
      <c r="H603" s="75">
        <v>2</v>
      </c>
      <c r="I603" s="20" t="e">
        <f>INDEX(Commerce_session1!A6:CX792,MATCH("S",Commerce_session1!A6:A792,0),78)</f>
        <v>#N/A</v>
      </c>
      <c r="J603" s="17" t="e">
        <f>INDEX(Commerce_session1!A6:CX792,MATCH("S",Commerce_session1!A6:A792,0),79)</f>
        <v>#N/A</v>
      </c>
      <c r="K603" s="511"/>
      <c r="L603" s="490"/>
      <c r="M603" s="491"/>
      <c r="N603" s="498" t="e">
        <f>INDEX(Commerce_session1!F378:DA416,MATCH("a",Commerce_session1!F378:F416,0),42)</f>
        <v>#N/A</v>
      </c>
      <c r="O603" s="487" t="e">
        <f>INDEX(Commerce_session1!G378:DA416,MATCH("a",Commerce_session1!G378:G416,0),42)</f>
        <v>#N/A</v>
      </c>
    </row>
    <row r="604" spans="1:15" ht="18.75" customHeight="1" thickTop="1" thickBot="1">
      <c r="A604" s="517"/>
      <c r="B604" s="105" t="s">
        <v>38</v>
      </c>
      <c r="C604" s="104" t="s">
        <v>85</v>
      </c>
      <c r="D604" s="22">
        <v>3</v>
      </c>
      <c r="E604" s="23">
        <v>2</v>
      </c>
      <c r="F604" s="101" t="s">
        <v>74</v>
      </c>
      <c r="G604" s="74">
        <v>3</v>
      </c>
      <c r="H604" s="75">
        <v>2</v>
      </c>
      <c r="I604" s="20" t="e">
        <f>INDEX(Commerce_session1!A6:CX792,MATCH("S",Commerce_session1!A6:A792,0),84)</f>
        <v>#N/A</v>
      </c>
      <c r="J604" s="17" t="e">
        <f>INDEX(Commerce_session1!A6:CX792,MATCH("S",Commerce_session1!A6:A792,0),85)</f>
        <v>#N/A</v>
      </c>
      <c r="K604" s="123" t="e">
        <f>INDEX(Commerce_session1!A6:CX792,MATCH("S",Commerce_session1!A6:A792,0),86)</f>
        <v>#N/A</v>
      </c>
      <c r="L604" s="512" t="e">
        <f>INDEX(Commerce_session1!A6:CX792,MATCH("S",Commerce_session1!A6:A792,0),87)</f>
        <v>#N/A</v>
      </c>
      <c r="M604" s="513"/>
      <c r="N604" s="498" t="e">
        <f>INDEX(Commerce_session1!F380:DA416,MATCH("a",Commerce_session1!F380:F416,0),42)</f>
        <v>#N/A</v>
      </c>
      <c r="O604" s="487" t="e">
        <f>INDEX(Commerce_session1!G380:DA416,MATCH("a",Commerce_session1!G380:G416,0),42)</f>
        <v>#N/A</v>
      </c>
    </row>
    <row r="605" spans="1:15" ht="20.25" customHeight="1" thickTop="1" thickBot="1">
      <c r="A605" s="518"/>
      <c r="B605" s="105" t="s">
        <v>39</v>
      </c>
      <c r="C605" s="104" t="s">
        <v>86</v>
      </c>
      <c r="D605" s="22">
        <v>1</v>
      </c>
      <c r="E605" s="23">
        <v>1</v>
      </c>
      <c r="F605" s="103" t="s">
        <v>73</v>
      </c>
      <c r="G605" s="82">
        <v>1</v>
      </c>
      <c r="H605" s="83">
        <v>1</v>
      </c>
      <c r="I605" s="25" t="e">
        <f>INDEX(Commerce_session1!A6:CX792,MATCH("S",Commerce_session1!A6:A792,0),89)</f>
        <v>#N/A</v>
      </c>
      <c r="J605" s="26" t="e">
        <f>INDEX(Commerce_session1!A6:CX792,MATCH("S",Commerce_session1!A6:A792,0),90)</f>
        <v>#N/A</v>
      </c>
      <c r="K605" s="27" t="e">
        <f>INDEX(Commerce_session1!A6:CX792,MATCH("S",Commerce_session1!A6:A792,0),91)</f>
        <v>#N/A</v>
      </c>
      <c r="L605" s="514" t="e">
        <f>INDEX(Commerce_session1!A6:CX792,MATCH("S",Commerce_session1!A6:A792,0),92)</f>
        <v>#N/A</v>
      </c>
      <c r="M605" s="515" t="e">
        <f>INDEX(Commerce_session1!D374:CZ416,MATCH("a",Commerce_session1!D374:D416,0),61)</f>
        <v>#N/A</v>
      </c>
      <c r="N605" s="498" t="e">
        <f>INDEX(Commerce_session1!F381:DA416,MATCH("a",Commerce_session1!F381:F416,0),42)</f>
        <v>#N/A</v>
      </c>
      <c r="O605" s="487" t="e">
        <f>INDEX(Commerce_session1!G381:DA416,MATCH("a",Commerce_session1!G381:G416,0),42)</f>
        <v>#N/A</v>
      </c>
    </row>
    <row r="606" spans="1:15" ht="20.25">
      <c r="A606" s="535" t="s">
        <v>40</v>
      </c>
      <c r="B606" s="536"/>
      <c r="C606" s="537"/>
      <c r="D606" s="121" t="e">
        <f>INDEX(Commerce_session1!A6:CX792,MATCH("S",Commerce_session1!A6:A792,0),99)</f>
        <v>#N/A</v>
      </c>
      <c r="E606" s="538" t="s">
        <v>41</v>
      </c>
      <c r="F606" s="540"/>
      <c r="G606" s="120" t="e">
        <f>INDEX(Commerce_session1!A6:CX792,MATCH("S",Commerce_session1!A6:A792,0),100)</f>
        <v>#N/A</v>
      </c>
      <c r="H606" s="538" t="s">
        <v>91</v>
      </c>
      <c r="I606" s="539"/>
      <c r="J606" s="539"/>
      <c r="K606" s="540"/>
      <c r="L606" s="541" t="e">
        <f>INDEX(Commerce_session1!A6:CX792,MATCH("S",Commerce_session1!A6:A792,0),101)</f>
        <v>#N/A</v>
      </c>
      <c r="M606" s="542"/>
      <c r="N606" s="8"/>
      <c r="O606" s="8"/>
    </row>
    <row r="607" spans="1:15" ht="22.5">
      <c r="A607" s="546" t="s">
        <v>42</v>
      </c>
      <c r="B607" s="547"/>
      <c r="C607" s="548"/>
      <c r="D607" s="543" t="e">
        <f>INDEX(Commerce_session1!A6:CX792,MATCH("S",Commerce_session1!A6:A792,0),102)</f>
        <v>#N/A</v>
      </c>
      <c r="E607" s="544"/>
      <c r="F607" s="545"/>
      <c r="G607" s="108"/>
      <c r="H607" s="109"/>
      <c r="I607" s="110"/>
      <c r="J607" s="111"/>
      <c r="K607" s="110"/>
      <c r="L607" s="110"/>
      <c r="M607" s="110"/>
      <c r="N607" s="112" t="s">
        <v>43</v>
      </c>
      <c r="O607" s="28">
        <f ca="1">TODAY()</f>
        <v>43626</v>
      </c>
    </row>
    <row r="608" spans="1:15" ht="32.25" customHeight="1">
      <c r="A608" s="113" t="s">
        <v>44</v>
      </c>
      <c r="B608" s="29"/>
      <c r="C608" s="29"/>
      <c r="D608" s="533"/>
      <c r="E608" s="533"/>
      <c r="F608" s="30"/>
      <c r="G608" s="4"/>
      <c r="J608" s="4"/>
      <c r="L608" s="534" t="s">
        <v>46</v>
      </c>
      <c r="M608" s="534"/>
      <c r="N608" s="534"/>
    </row>
    <row r="609" spans="1:18" ht="23.25" customHeight="1" thickBot="1">
      <c r="A609" s="84" t="s">
        <v>12</v>
      </c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445" t="s">
        <v>13</v>
      </c>
      <c r="M609" s="445"/>
      <c r="N609" s="445"/>
      <c r="O609" s="445"/>
      <c r="P609" s="2"/>
      <c r="Q609" s="2"/>
      <c r="R609" s="2"/>
    </row>
    <row r="610" spans="1:18" ht="15.75">
      <c r="A610" s="446" t="s">
        <v>14</v>
      </c>
      <c r="B610" s="446"/>
      <c r="C610" s="446"/>
      <c r="D610" s="446"/>
      <c r="E610" s="446"/>
      <c r="F610" s="3"/>
      <c r="H610" s="4"/>
      <c r="K610" s="4"/>
      <c r="L610" s="4"/>
    </row>
    <row r="611" spans="1:18" ht="15.75">
      <c r="A611" s="85" t="s">
        <v>15</v>
      </c>
      <c r="B611" s="85"/>
      <c r="C611" s="85"/>
      <c r="D611" s="85"/>
      <c r="E611" s="85"/>
      <c r="F611" s="5"/>
      <c r="H611" s="4"/>
      <c r="K611" s="4"/>
      <c r="L611" s="4"/>
      <c r="P611" s="6"/>
    </row>
    <row r="612" spans="1:18" ht="15.75">
      <c r="A612" s="85" t="s">
        <v>100</v>
      </c>
      <c r="B612" s="85"/>
      <c r="C612" s="85"/>
      <c r="D612" s="85"/>
      <c r="E612" s="85"/>
      <c r="F612" s="3"/>
      <c r="H612" s="4"/>
      <c r="K612" s="4"/>
      <c r="L612" s="4"/>
    </row>
    <row r="613" spans="1:18" s="8" customFormat="1" ht="27" customHeight="1">
      <c r="A613" s="7"/>
      <c r="B613" s="7"/>
      <c r="C613" s="7"/>
      <c r="D613" s="447" t="s">
        <v>94</v>
      </c>
      <c r="E613" s="447"/>
      <c r="F613" s="447"/>
      <c r="G613" s="447"/>
      <c r="H613" s="447"/>
      <c r="I613" s="447"/>
      <c r="J613" s="447"/>
      <c r="K613" s="447"/>
      <c r="L613" s="447"/>
      <c r="M613" s="7"/>
      <c r="N613" s="7"/>
      <c r="O613" s="7"/>
    </row>
    <row r="614" spans="1:18" ht="23.25" customHeight="1">
      <c r="A614" s="126" t="s">
        <v>101</v>
      </c>
      <c r="B614" s="126"/>
      <c r="C614" s="126"/>
      <c r="D614" s="126"/>
      <c r="E614" s="126"/>
      <c r="F614" s="126"/>
      <c r="G614" s="122"/>
      <c r="H614" s="122"/>
      <c r="I614" s="122" t="e">
        <f>IF(D639="ناجح(ة) دورة1","-الدورة الأولى-","-الدورة الثانية-")</f>
        <v>#N/A</v>
      </c>
      <c r="J614" s="124" t="s">
        <v>48</v>
      </c>
      <c r="K614" s="124"/>
      <c r="L614" s="87"/>
      <c r="M614" s="88"/>
      <c r="N614" s="89"/>
      <c r="O614" s="9"/>
    </row>
    <row r="615" spans="1:18" ht="20.25" customHeight="1">
      <c r="A615" s="476" t="s">
        <v>93</v>
      </c>
      <c r="B615" s="476"/>
      <c r="C615" s="90" t="e">
        <f>INDEX(Commerce_session1!A6:CX792,MATCH("T",Commerce_session1!A6:A792,0),3)</f>
        <v>#N/A</v>
      </c>
      <c r="D615" s="91" t="s">
        <v>92</v>
      </c>
      <c r="E615" s="448" t="e">
        <f>INDEX(Commerce_session1!A6:CX792,MATCH("T",Commerce_session1!A6:A792,0),4)</f>
        <v>#N/A</v>
      </c>
      <c r="F615" s="448" t="e">
        <f>INDEX(Commerce_session1!D406:DA700,MATCH("a",Commerce_session1!D406:D700,0),3)</f>
        <v>#N/A</v>
      </c>
      <c r="G615" s="477" t="s">
        <v>16</v>
      </c>
      <c r="H615" s="477"/>
      <c r="I615" s="477"/>
      <c r="J615" s="478" t="e">
        <f>INDEX(Commerce_session1!A6:CX792,MATCH("T",Commerce_session1!A6:A792,0),6)</f>
        <v>#N/A</v>
      </c>
      <c r="K615" s="478"/>
      <c r="L615" s="88"/>
      <c r="M615" s="92" t="s">
        <v>17</v>
      </c>
      <c r="N615" s="90" t="e">
        <f>INDEX(Commerce_session1!A6:CX792,MATCH("T",Commerce_session1!A6:A792,0),7)</f>
        <v>#N/A</v>
      </c>
      <c r="O615" s="10"/>
    </row>
    <row r="616" spans="1:18" ht="20.25" customHeight="1">
      <c r="A616" s="476" t="s">
        <v>18</v>
      </c>
      <c r="B616" s="476"/>
      <c r="C616" s="448" t="e">
        <f>INDEX(Commerce_session1!A6:CX792,MATCH("T",Commerce_session1!A6:A792,0),5)</f>
        <v>#N/A</v>
      </c>
      <c r="D616" s="448"/>
      <c r="E616" s="91"/>
      <c r="F616" s="88"/>
      <c r="G616" s="93"/>
      <c r="H616" s="88"/>
      <c r="I616" s="88"/>
      <c r="J616" s="93"/>
      <c r="K616" s="88"/>
      <c r="L616" s="88"/>
      <c r="M616" s="88"/>
      <c r="N616" s="88"/>
      <c r="O616" s="10"/>
    </row>
    <row r="617" spans="1:18" ht="20.25" customHeight="1">
      <c r="A617" s="476" t="s">
        <v>102</v>
      </c>
      <c r="B617" s="476"/>
      <c r="C617" s="476"/>
      <c r="D617" s="476"/>
      <c r="E617" s="476"/>
      <c r="F617" s="476"/>
      <c r="G617" s="476"/>
      <c r="H617" s="476"/>
      <c r="I617" s="476"/>
      <c r="J617" s="476"/>
      <c r="K617" s="476"/>
      <c r="L617" s="476"/>
      <c r="M617" s="476"/>
      <c r="N617" s="476"/>
      <c r="O617" s="476"/>
    </row>
    <row r="618" spans="1:18" ht="20.25" customHeight="1" thickBot="1">
      <c r="A618" s="459" t="s">
        <v>19</v>
      </c>
      <c r="B618" s="459"/>
      <c r="C618" s="459"/>
      <c r="D618" s="459"/>
      <c r="E618" s="459"/>
      <c r="F618" s="459"/>
      <c r="G618" s="459"/>
      <c r="H618" s="94"/>
      <c r="I618" s="94"/>
      <c r="J618" s="95"/>
      <c r="K618" s="94"/>
      <c r="L618" s="94"/>
      <c r="M618" s="94"/>
      <c r="N618" s="94"/>
      <c r="O618" s="11"/>
    </row>
    <row r="619" spans="1:18" ht="18.75" thickBot="1">
      <c r="A619" s="460" t="s">
        <v>20</v>
      </c>
      <c r="B619" s="463" t="s">
        <v>21</v>
      </c>
      <c r="C619" s="464"/>
      <c r="D619" s="464"/>
      <c r="E619" s="464"/>
      <c r="F619" s="464" t="s">
        <v>22</v>
      </c>
      <c r="G619" s="464"/>
      <c r="H619" s="464"/>
      <c r="I619" s="465" t="s">
        <v>23</v>
      </c>
      <c r="J619" s="466"/>
      <c r="K619" s="466"/>
      <c r="L619" s="466"/>
      <c r="M619" s="466"/>
      <c r="N619" s="466"/>
      <c r="O619" s="467"/>
    </row>
    <row r="620" spans="1:18">
      <c r="A620" s="461"/>
      <c r="B620" s="468" t="s">
        <v>24</v>
      </c>
      <c r="C620" s="470" t="s">
        <v>25</v>
      </c>
      <c r="D620" s="472" t="s">
        <v>26</v>
      </c>
      <c r="E620" s="474" t="s">
        <v>27</v>
      </c>
      <c r="F620" s="479" t="s">
        <v>28</v>
      </c>
      <c r="G620" s="468" t="s">
        <v>11</v>
      </c>
      <c r="H620" s="481" t="s">
        <v>27</v>
      </c>
      <c r="I620" s="482" t="s">
        <v>29</v>
      </c>
      <c r="J620" s="483"/>
      <c r="K620" s="484" t="s">
        <v>30</v>
      </c>
      <c r="L620" s="485"/>
      <c r="M620" s="486"/>
      <c r="N620" s="455" t="s">
        <v>20</v>
      </c>
      <c r="O620" s="456"/>
    </row>
    <row r="621" spans="1:18" ht="15.75" thickBot="1">
      <c r="A621" s="462"/>
      <c r="B621" s="469"/>
      <c r="C621" s="471"/>
      <c r="D621" s="473"/>
      <c r="E621" s="475"/>
      <c r="F621" s="480"/>
      <c r="G621" s="469"/>
      <c r="H621" s="473"/>
      <c r="I621" s="106" t="s">
        <v>10</v>
      </c>
      <c r="J621" s="106" t="s">
        <v>31</v>
      </c>
      <c r="K621" s="106" t="s">
        <v>32</v>
      </c>
      <c r="L621" s="457" t="s">
        <v>33</v>
      </c>
      <c r="M621" s="458"/>
      <c r="N621" s="106" t="s">
        <v>34</v>
      </c>
      <c r="O621" s="107" t="s">
        <v>35</v>
      </c>
    </row>
    <row r="622" spans="1:18" ht="18.75" customHeight="1" thickBot="1">
      <c r="A622" s="549" t="s">
        <v>76</v>
      </c>
      <c r="B622" s="552" t="s">
        <v>36</v>
      </c>
      <c r="C622" s="555" t="s">
        <v>90</v>
      </c>
      <c r="D622" s="556">
        <v>17</v>
      </c>
      <c r="E622" s="449">
        <v>6</v>
      </c>
      <c r="F622" s="96" t="s">
        <v>54</v>
      </c>
      <c r="G622" s="70">
        <v>5</v>
      </c>
      <c r="H622" s="71">
        <v>2</v>
      </c>
      <c r="I622" s="12" t="e">
        <f>INDEX(Commerce_session1!A6:CX792,MATCH("T",Commerce_session1!A6:A792,0),16)</f>
        <v>#N/A</v>
      </c>
      <c r="J622" s="13" t="e">
        <f>INDEX(Commerce_session1!A6:CX792,MATCH("T",Commerce_session1!A6:A792,0),17)</f>
        <v>#N/A</v>
      </c>
      <c r="K622" s="452" t="e">
        <f>INDEX(Commerce_session1!A6:CX792,MATCH("T",Commerce_session1!A6:A792,0),26)</f>
        <v>#N/A</v>
      </c>
      <c r="L622" s="494" t="e">
        <f>INDEX(Commerce_session1!A6:CX792,MATCH("T",Commerce_session1!A6:A792,0),27)</f>
        <v>#N/A</v>
      </c>
      <c r="M622" s="495" t="e">
        <f>INDEX(Commerce_session1!D406:CZ448,MATCH("a",Commerce_session1!D406:D448,0),15)</f>
        <v>#N/A</v>
      </c>
      <c r="N622" s="498" t="e">
        <f>INDEX(Commerce_session1!A6:CX792,MATCH("T",Commerce_session1!A6:A792,0),95)</f>
        <v>#N/A</v>
      </c>
      <c r="O622" s="487" t="e">
        <f>INDEX(Commerce_session1!A6:CX792,MATCH("T",Commerce_session1!A6:A792,0),96)</f>
        <v>#N/A</v>
      </c>
    </row>
    <row r="623" spans="1:18" ht="18.75" customHeight="1" thickBot="1">
      <c r="A623" s="550"/>
      <c r="B623" s="553"/>
      <c r="C623" s="503"/>
      <c r="D623" s="557"/>
      <c r="E623" s="450"/>
      <c r="F623" s="97" t="s">
        <v>55</v>
      </c>
      <c r="G623" s="72">
        <v>6</v>
      </c>
      <c r="H623" s="73">
        <v>2</v>
      </c>
      <c r="I623" s="14" t="e">
        <f>INDEX(Commerce_session1!A6:CX792,MATCH("T",Commerce_session1!A6:A792,0),20)</f>
        <v>#N/A</v>
      </c>
      <c r="J623" s="15" t="e">
        <f>INDEX(Commerce_session1!A6:CX792,MATCH("T",Commerce_session1!A6:A792,0),21)</f>
        <v>#N/A</v>
      </c>
      <c r="K623" s="453" t="e">
        <f>INDEX(Commerce_session1!B406:CY448,MATCH("a",Commerce_session1!B406:B448,0),14)</f>
        <v>#N/A</v>
      </c>
      <c r="L623" s="496" t="e">
        <f>INDEX(Commerce_session1!D406:CZ448,MATCH("a",Commerce_session1!D406:D448,0),14)</f>
        <v>#N/A</v>
      </c>
      <c r="M623" s="497" t="e">
        <f>INDEX(Commerce_session1!E406:DA448,MATCH("a",Commerce_session1!E406:E448,0),14)</f>
        <v>#N/A</v>
      </c>
      <c r="N623" s="498" t="e">
        <f>INDEX(Commerce_session1!#REF!,MATCH("a",Commerce_session1!#REF!,0),62)</f>
        <v>#REF!</v>
      </c>
      <c r="O623" s="487" t="e">
        <f>INDEX(Commerce_session1!#REF!,MATCH("a",Commerce_session1!#REF!,0),62)</f>
        <v>#REF!</v>
      </c>
    </row>
    <row r="624" spans="1:18" ht="18.75" customHeight="1" thickBot="1">
      <c r="A624" s="550"/>
      <c r="B624" s="554"/>
      <c r="C624" s="504"/>
      <c r="D624" s="558"/>
      <c r="E624" s="451"/>
      <c r="F624" s="98" t="s">
        <v>56</v>
      </c>
      <c r="G624" s="74">
        <v>6</v>
      </c>
      <c r="H624" s="75">
        <v>2</v>
      </c>
      <c r="I624" s="16" t="e">
        <f>INDEX(Commerce_session1!A6:CX792,MATCH("T",Commerce_session1!A6:A792,0),24)</f>
        <v>#N/A</v>
      </c>
      <c r="J624" s="17" t="e">
        <f>INDEX(Commerce_session1!A6:CX792,MATCH("T",Commerce_session1!A6:A792,0),25)</f>
        <v>#N/A</v>
      </c>
      <c r="K624" s="454" t="e">
        <f>INDEX(Commerce_session1!B408:CY448,MATCH("a",Commerce_session1!B408:B448,0),14)</f>
        <v>#N/A</v>
      </c>
      <c r="L624" s="490" t="e">
        <f>INDEX(Commerce_session1!D408:CZ448,MATCH("a",Commerce_session1!D408:D448,0),14)</f>
        <v>#N/A</v>
      </c>
      <c r="M624" s="491" t="e">
        <f>INDEX(Commerce_session1!E408:DA448,MATCH("a",Commerce_session1!E408:E448,0),14)</f>
        <v>#N/A</v>
      </c>
      <c r="N624" s="498" t="e">
        <f>INDEX(Commerce_session1!#REF!,MATCH("a",Commerce_session1!#REF!,0),62)</f>
        <v>#REF!</v>
      </c>
      <c r="O624" s="487" t="e">
        <f>INDEX(Commerce_session1!#REF!,MATCH("a",Commerce_session1!#REF!,0),62)</f>
        <v>#REF!</v>
      </c>
    </row>
    <row r="625" spans="1:15" ht="19.5" customHeight="1" thickTop="1" thickBot="1">
      <c r="A625" s="550"/>
      <c r="B625" s="499" t="s">
        <v>37</v>
      </c>
      <c r="C625" s="502" t="s">
        <v>89</v>
      </c>
      <c r="D625" s="505">
        <v>7</v>
      </c>
      <c r="E625" s="508">
        <v>5</v>
      </c>
      <c r="F625" s="99" t="s">
        <v>83</v>
      </c>
      <c r="G625" s="76">
        <v>1</v>
      </c>
      <c r="H625" s="77">
        <v>1</v>
      </c>
      <c r="I625" s="18" t="e">
        <f>INDEX(Commerce_session1!A6:CX792,MATCH("T",Commerce_session1!A6:A792,0),29)</f>
        <v>#N/A</v>
      </c>
      <c r="J625" s="19" t="e">
        <f>INDEX(Commerce_session1!A6:CX792,MATCH("T",Commerce_session1!A6:A792,0),30)</f>
        <v>#N/A</v>
      </c>
      <c r="K625" s="509" t="e">
        <f>INDEX(Commerce_session1!A6:CX792,MATCH("T",Commerce_session1!A6:A792,0),39)</f>
        <v>#N/A</v>
      </c>
      <c r="L625" s="488" t="e">
        <f>INDEX(Commerce_session1!A6:CX792,MATCH("T",Commerce_session1!A6:A792,0),40)</f>
        <v>#N/A</v>
      </c>
      <c r="M625" s="489" t="e">
        <f>INDEX(Commerce_session1!D406:CZ448,MATCH("a",Commerce_session1!D406:D448,0),23)</f>
        <v>#N/A</v>
      </c>
      <c r="N625" s="498" t="e">
        <f>INDEX(Commerce_session1!#REF!,MATCH("a",Commerce_session1!#REF!,0),62)</f>
        <v>#REF!</v>
      </c>
      <c r="O625" s="487" t="e">
        <f>INDEX(Commerce_session1!#REF!,MATCH("a",Commerce_session1!#REF!,0),62)</f>
        <v>#REF!</v>
      </c>
    </row>
    <row r="626" spans="1:15" ht="18.75" customHeight="1" thickTop="1" thickBot="1">
      <c r="A626" s="550"/>
      <c r="B626" s="500"/>
      <c r="C626" s="503"/>
      <c r="D626" s="506"/>
      <c r="E626" s="450"/>
      <c r="F626" s="100" t="s">
        <v>99</v>
      </c>
      <c r="G626" s="78">
        <v>3</v>
      </c>
      <c r="H626" s="79">
        <v>2</v>
      </c>
      <c r="I626" s="18" t="e">
        <f>INDEX(Commerce_session1!A6:CX792,MATCH("T",Commerce_session1!A6:A792,0),33)</f>
        <v>#N/A</v>
      </c>
      <c r="J626" s="15" t="e">
        <f>INDEX(Commerce_session1!A6:CX792,MATCH("T",Commerce_session1!A6:A792,0),34)</f>
        <v>#N/A</v>
      </c>
      <c r="K626" s="510" t="e">
        <f>INDEX(Commerce_session1!B405:CY448,MATCH("a",Commerce_session1!B405:B448,0),22)</f>
        <v>#N/A</v>
      </c>
      <c r="L626" s="496" t="e">
        <f>INDEX(Commerce_session1!D405:CZ448,MATCH("a",Commerce_session1!D405:D448,0),22)</f>
        <v>#N/A</v>
      </c>
      <c r="M626" s="497" t="e">
        <f>INDEX(Commerce_session1!E405:DA448,MATCH("a",Commerce_session1!E405:E448,0),22)</f>
        <v>#N/A</v>
      </c>
      <c r="N626" s="498" t="e">
        <f>INDEX(Commerce_session1!#REF!,MATCH("a",Commerce_session1!#REF!,0),62)</f>
        <v>#REF!</v>
      </c>
      <c r="O626" s="487" t="e">
        <f>INDEX(Commerce_session1!#REF!,MATCH("a",Commerce_session1!#REF!,0),62)</f>
        <v>#REF!</v>
      </c>
    </row>
    <row r="627" spans="1:15" ht="18.75" customHeight="1" thickBot="1">
      <c r="A627" s="550"/>
      <c r="B627" s="501"/>
      <c r="C627" s="504"/>
      <c r="D627" s="507"/>
      <c r="E627" s="451"/>
      <c r="F627" s="101" t="s">
        <v>84</v>
      </c>
      <c r="G627" s="80">
        <v>3</v>
      </c>
      <c r="H627" s="81">
        <v>2</v>
      </c>
      <c r="I627" s="20" t="e">
        <f>INDEX(Commerce_session1!A6:CX792,MATCH("T",Commerce_session1!A6:A792,0),37)</f>
        <v>#N/A</v>
      </c>
      <c r="J627" s="17" t="e">
        <f>INDEX(Commerce_session1!A6:CX792,MATCH("T",Commerce_session1!A6:A792,0),38)</f>
        <v>#N/A</v>
      </c>
      <c r="K627" s="511" t="e">
        <f>INDEX(Commerce_session1!B406:CY448,MATCH("a",Commerce_session1!B406:B448,0),22)</f>
        <v>#N/A</v>
      </c>
      <c r="L627" s="490" t="e">
        <f>INDEX(Commerce_session1!D406:CZ448,MATCH("a",Commerce_session1!D406:D448,0),22)</f>
        <v>#N/A</v>
      </c>
      <c r="M627" s="491" t="e">
        <f>INDEX(Commerce_session1!E406:DA448,MATCH("a",Commerce_session1!E406:E448,0),22)</f>
        <v>#N/A</v>
      </c>
      <c r="N627" s="498" t="e">
        <f>INDEX(Commerce_session1!#REF!,MATCH("a",Commerce_session1!#REF!,0),62)</f>
        <v>#REF!</v>
      </c>
      <c r="O627" s="487" t="e">
        <f>INDEX(Commerce_session1!#REF!,MATCH("a",Commerce_session1!#REF!,0),62)</f>
        <v>#REF!</v>
      </c>
    </row>
    <row r="628" spans="1:15" ht="33.75" customHeight="1" thickTop="1" thickBot="1">
      <c r="A628" s="550"/>
      <c r="B628" s="531" t="s">
        <v>38</v>
      </c>
      <c r="C628" s="559" t="s">
        <v>50</v>
      </c>
      <c r="D628" s="520">
        <v>5</v>
      </c>
      <c r="E628" s="508">
        <v>2</v>
      </c>
      <c r="F628" s="102" t="s">
        <v>63</v>
      </c>
      <c r="G628" s="68">
        <v>4</v>
      </c>
      <c r="H628" s="69">
        <v>1</v>
      </c>
      <c r="I628" s="18" t="e">
        <f>INDEX(Commerce_session1!A6:CX792,MATCH("T",Commerce_session1!A6:A792,0),43)</f>
        <v>#N/A</v>
      </c>
      <c r="J628" s="19" t="e">
        <f>INDEX(Commerce_session1!A6:CX792,MATCH("T",Commerce_session1!A6:A792,0),44)</f>
        <v>#N/A</v>
      </c>
      <c r="K628" s="509" t="e">
        <f>INDEX(Commerce_session1!A6:CX792,MATCH("T",Commerce_session1!A6:A792,0),48)</f>
        <v>#N/A</v>
      </c>
      <c r="L628" s="488" t="e">
        <f>INDEX(Commerce_session1!A6:CX792,MATCH("T",Commerce_session1!A6:A792,0),49)</f>
        <v>#N/A</v>
      </c>
      <c r="M628" s="489" t="e">
        <f>INDEX(Commerce_session1!D406:CZ448,MATCH("a",Commerce_session1!D406:D448,0),29)</f>
        <v>#N/A</v>
      </c>
      <c r="N628" s="498" t="e">
        <f>INDEX(Commerce_session1!#REF!,MATCH("a",Commerce_session1!#REF!,0),62)</f>
        <v>#REF!</v>
      </c>
      <c r="O628" s="487" t="e">
        <f>INDEX(Commerce_session1!#REF!,MATCH("a",Commerce_session1!#REF!,0),62)</f>
        <v>#REF!</v>
      </c>
    </row>
    <row r="629" spans="1:15" ht="18.75" customHeight="1" thickBot="1">
      <c r="A629" s="550"/>
      <c r="B629" s="527"/>
      <c r="C629" s="524"/>
      <c r="D629" s="521"/>
      <c r="E629" s="451"/>
      <c r="F629" s="101" t="s">
        <v>62</v>
      </c>
      <c r="G629" s="80">
        <v>1</v>
      </c>
      <c r="H629" s="81">
        <v>1</v>
      </c>
      <c r="I629" s="16" t="e">
        <f>INDEX(Commerce_session1!A6:CX792,MATCH("T",Commerce_session1!A6:A792,0),46)</f>
        <v>#N/A</v>
      </c>
      <c r="J629" s="21" t="e">
        <f>INDEX(Commerce_session1!A6:CX792,MATCH("T",Commerce_session1!A6:A792,0),47)</f>
        <v>#N/A</v>
      </c>
      <c r="K629" s="511" t="e">
        <f>INDEX(Commerce_session1!B406:CY448,MATCH("a",Commerce_session1!B406:B448,0),28)</f>
        <v>#N/A</v>
      </c>
      <c r="L629" s="490" t="e">
        <f>INDEX(Commerce_session1!D406:CZ448,MATCH("a",Commerce_session1!D406:D448,0),28)</f>
        <v>#N/A</v>
      </c>
      <c r="M629" s="491" t="e">
        <f>INDEX(Commerce_session1!E406:DA448,MATCH("a",Commerce_session1!E406:E448,0),28)</f>
        <v>#N/A</v>
      </c>
      <c r="N629" s="498" t="e">
        <f>INDEX(Commerce_session1!#REF!,MATCH("a",Commerce_session1!#REF!,0),62)</f>
        <v>#REF!</v>
      </c>
      <c r="O629" s="487" t="e">
        <f>INDEX(Commerce_session1!#REF!,MATCH("a",Commerce_session1!#REF!,0),62)</f>
        <v>#REF!</v>
      </c>
    </row>
    <row r="630" spans="1:15" ht="20.25" customHeight="1" thickTop="1" thickBot="1">
      <c r="A630" s="551"/>
      <c r="B630" s="105" t="s">
        <v>39</v>
      </c>
      <c r="C630" s="104" t="s">
        <v>51</v>
      </c>
      <c r="D630" s="22">
        <v>1</v>
      </c>
      <c r="E630" s="23">
        <v>1</v>
      </c>
      <c r="F630" s="103" t="s">
        <v>64</v>
      </c>
      <c r="G630" s="82">
        <v>1</v>
      </c>
      <c r="H630" s="83">
        <v>1</v>
      </c>
      <c r="I630" s="20" t="e">
        <f>INDEX(Commerce_session1!A6:CX792,MATCH("T",Commerce_session1!A6:A792,0),52)</f>
        <v>#N/A</v>
      </c>
      <c r="J630" s="24" t="e">
        <f>INDEX(Commerce_session1!A6:CX792,MATCH("T",Commerce_session1!A6:A792,0),53)</f>
        <v>#N/A</v>
      </c>
      <c r="K630" s="36" t="e">
        <f>INDEX(Commerce_session1!A6:CX792,MATCH("T",Commerce_session1!A6:A792,0),54)</f>
        <v>#N/A</v>
      </c>
      <c r="L630" s="492" t="e">
        <f>INDEX(Commerce_session1!A6:CX792,MATCH("T",Commerce_session1!A6:A792,0),55)</f>
        <v>#N/A</v>
      </c>
      <c r="M630" s="493" t="e">
        <f>INDEX(Commerce_session1!D406:CZ448,MATCH("a",Commerce_session1!D406:D448,0),33)</f>
        <v>#N/A</v>
      </c>
      <c r="N630" s="498" t="e">
        <f>INDEX(Commerce_session1!#REF!,MATCH("a",Commerce_session1!#REF!,0),62)</f>
        <v>#REF!</v>
      </c>
      <c r="O630" s="487" t="e">
        <f>INDEX(Commerce_session1!#REF!,MATCH("a",Commerce_session1!#REF!,0),62)</f>
        <v>#REF!</v>
      </c>
    </row>
    <row r="631" spans="1:15" ht="19.5" customHeight="1" thickTop="1" thickBot="1">
      <c r="A631" s="516" t="s">
        <v>77</v>
      </c>
      <c r="B631" s="525" t="s">
        <v>36</v>
      </c>
      <c r="C631" s="522" t="s">
        <v>88</v>
      </c>
      <c r="D631" s="528">
        <v>16</v>
      </c>
      <c r="E631" s="449">
        <v>5</v>
      </c>
      <c r="F631" s="96" t="s">
        <v>67</v>
      </c>
      <c r="G631" s="114">
        <v>6</v>
      </c>
      <c r="H631" s="115">
        <v>2</v>
      </c>
      <c r="I631" s="18" t="e">
        <f>INDEX(Commerce_session1!A6:CX792,MATCH("T",Commerce_session1!A6:A792,0),60)</f>
        <v>#N/A</v>
      </c>
      <c r="J631" s="19" t="e">
        <f>INDEX(Commerce_session1!A6:CX792,MATCH("T",Commerce_session1!A6:A792,0),61)</f>
        <v>#N/A</v>
      </c>
      <c r="K631" s="519" t="e">
        <f>INDEX(Commerce_session1!A6:CX792,MATCH("T",Commerce_session1!A6:A792,0),70)</f>
        <v>#N/A</v>
      </c>
      <c r="L631" s="494" t="e">
        <f>INDEX(Commerce_session1!A6:CX792,MATCH("T",Commerce_session1!A6:A792,0),71)</f>
        <v>#N/A</v>
      </c>
      <c r="M631" s="495"/>
      <c r="N631" s="498" t="e">
        <f>INDEX(Commerce_session1!A6:CX792,MATCH("T",Commerce_session1!A6:A792,0),97)</f>
        <v>#N/A</v>
      </c>
      <c r="O631" s="487" t="e">
        <f>INDEX(Commerce_session1!A6:CX792,MATCH("T",Commerce_session1!A6:A792,0),98)</f>
        <v>#N/A</v>
      </c>
    </row>
    <row r="632" spans="1:15" ht="18.75" customHeight="1" thickBot="1">
      <c r="A632" s="517"/>
      <c r="B632" s="526"/>
      <c r="C632" s="523"/>
      <c r="D632" s="529"/>
      <c r="E632" s="450"/>
      <c r="F632" s="100" t="s">
        <v>68</v>
      </c>
      <c r="G632" s="116">
        <v>6</v>
      </c>
      <c r="H632" s="117">
        <v>2</v>
      </c>
      <c r="I632" s="14" t="e">
        <f>INDEX(Commerce_session1!A6:CX792,MATCH("T",Commerce_session1!A6:A792,0),64)</f>
        <v>#N/A</v>
      </c>
      <c r="J632" s="15" t="e">
        <f>INDEX(Commerce_session1!A6:CX792,MATCH("T",Commerce_session1!A6:A792,0),65)</f>
        <v>#N/A</v>
      </c>
      <c r="K632" s="510"/>
      <c r="L632" s="496"/>
      <c r="M632" s="497"/>
      <c r="N632" s="498" t="e">
        <f>INDEX(Commerce_session1!F406:DA448,MATCH("a",Commerce_session1!F406:F448,0),42)</f>
        <v>#N/A</v>
      </c>
      <c r="O632" s="487" t="e">
        <f>INDEX(Commerce_session1!G406:DA448,MATCH("a",Commerce_session1!G406:G448,0),42)</f>
        <v>#N/A</v>
      </c>
    </row>
    <row r="633" spans="1:15" ht="20.25" customHeight="1" thickBot="1">
      <c r="A633" s="517"/>
      <c r="B633" s="527"/>
      <c r="C633" s="524"/>
      <c r="D633" s="530"/>
      <c r="E633" s="451"/>
      <c r="F633" s="101" t="s">
        <v>103</v>
      </c>
      <c r="G633" s="118">
        <v>4</v>
      </c>
      <c r="H633" s="119">
        <v>1</v>
      </c>
      <c r="I633" s="127" t="e">
        <f>INDEX(Commerce_session1!A6:CX792,MATCH("T",Commerce_session1!A6:A792,0),68)</f>
        <v>#N/A</v>
      </c>
      <c r="J633" s="21" t="e">
        <f>INDEX(Commerce_session1!A6:CX792,MATCH("T",Commerce_session1!A6:A792,0),69)</f>
        <v>#N/A</v>
      </c>
      <c r="K633" s="511"/>
      <c r="L633" s="490"/>
      <c r="M633" s="491"/>
      <c r="N633" s="498" t="e">
        <f>INDEX(Commerce_session1!F407:DA448,MATCH("a",Commerce_session1!F407:F448,0),42)</f>
        <v>#N/A</v>
      </c>
      <c r="O633" s="487" t="e">
        <f>INDEX(Commerce_session1!G407:DA448,MATCH("a",Commerce_session1!G407:G448,0),42)</f>
        <v>#N/A</v>
      </c>
    </row>
    <row r="634" spans="1:15" ht="22.5" customHeight="1" thickTop="1" thickBot="1">
      <c r="A634" s="517"/>
      <c r="B634" s="531" t="s">
        <v>37</v>
      </c>
      <c r="C634" s="559" t="s">
        <v>87</v>
      </c>
      <c r="D634" s="532">
        <v>10</v>
      </c>
      <c r="E634" s="508">
        <v>4</v>
      </c>
      <c r="F634" s="128" t="s">
        <v>104</v>
      </c>
      <c r="G634" s="76">
        <v>5</v>
      </c>
      <c r="H634" s="77">
        <v>2</v>
      </c>
      <c r="I634" s="18" t="e">
        <f>INDEX(Commerce_session1!A6:CX792,MATCH("T",Commerce_session1!A6:A792,0),74)</f>
        <v>#N/A</v>
      </c>
      <c r="J634" s="19" t="e">
        <f>INDEX(Commerce_session1!A6:CX792,MATCH("T",Commerce_session1!A6:A792,0),75)</f>
        <v>#N/A</v>
      </c>
      <c r="K634" s="509" t="e">
        <f>INDEX(Commerce_session1!A6:CX792,MATCH("T",Commerce_session1!A6:A792,0),80)</f>
        <v>#N/A</v>
      </c>
      <c r="L634" s="488" t="e">
        <f>INDEX(Commerce_session1!A6:CX792,MATCH("T",Commerce_session1!A6:A792,0),81)</f>
        <v>#N/A</v>
      </c>
      <c r="M634" s="489"/>
      <c r="N634" s="498" t="e">
        <f>INDEX(Commerce_session1!E409:DA448,MATCH("a",Commerce_session1!E409:E448,0),43)</f>
        <v>#N/A</v>
      </c>
      <c r="O634" s="487" t="e">
        <f>INDEX(Commerce_session1!F409:DA448,MATCH("a",Commerce_session1!F409:F448,0),43)</f>
        <v>#N/A</v>
      </c>
    </row>
    <row r="635" spans="1:15" ht="18.75" customHeight="1" thickBot="1">
      <c r="A635" s="517"/>
      <c r="B635" s="527"/>
      <c r="C635" s="524"/>
      <c r="D635" s="530"/>
      <c r="E635" s="451"/>
      <c r="F635" s="98" t="s">
        <v>69</v>
      </c>
      <c r="G635" s="74">
        <v>5</v>
      </c>
      <c r="H635" s="75">
        <v>2</v>
      </c>
      <c r="I635" s="20" t="e">
        <f>INDEX(Commerce_session1!A6:CX792,MATCH("T",Commerce_session1!A6:A792,0),78)</f>
        <v>#N/A</v>
      </c>
      <c r="J635" s="17" t="e">
        <f>INDEX(Commerce_session1!A6:CX792,MATCH("T",Commerce_session1!A6:A792,0),79)</f>
        <v>#N/A</v>
      </c>
      <c r="K635" s="511"/>
      <c r="L635" s="490"/>
      <c r="M635" s="491"/>
      <c r="N635" s="498" t="e">
        <f>INDEX(Commerce_session1!F410:DA448,MATCH("a",Commerce_session1!F410:F448,0),42)</f>
        <v>#N/A</v>
      </c>
      <c r="O635" s="487" t="e">
        <f>INDEX(Commerce_session1!G410:DA448,MATCH("a",Commerce_session1!G410:G448,0),42)</f>
        <v>#N/A</v>
      </c>
    </row>
    <row r="636" spans="1:15" ht="18.75" customHeight="1" thickTop="1" thickBot="1">
      <c r="A636" s="517"/>
      <c r="B636" s="105" t="s">
        <v>38</v>
      </c>
      <c r="C636" s="104" t="s">
        <v>85</v>
      </c>
      <c r="D636" s="22">
        <v>3</v>
      </c>
      <c r="E636" s="23">
        <v>2</v>
      </c>
      <c r="F636" s="101" t="s">
        <v>74</v>
      </c>
      <c r="G636" s="74">
        <v>3</v>
      </c>
      <c r="H636" s="75">
        <v>2</v>
      </c>
      <c r="I636" s="20" t="e">
        <f>INDEX(Commerce_session1!A6:CX792,MATCH("T",Commerce_session1!A6:A792,0),84)</f>
        <v>#N/A</v>
      </c>
      <c r="J636" s="17" t="e">
        <f>INDEX(Commerce_session1!A6:CX792,MATCH("T",Commerce_session1!A6:A792,0),85)</f>
        <v>#N/A</v>
      </c>
      <c r="K636" s="123" t="e">
        <f>INDEX(Commerce_session1!A6:CX792,MATCH("T",Commerce_session1!A6:A792,0),86)</f>
        <v>#N/A</v>
      </c>
      <c r="L636" s="512" t="e">
        <f>INDEX(Commerce_session1!A6:CX792,MATCH("T",Commerce_session1!A6:A792,0),87)</f>
        <v>#N/A</v>
      </c>
      <c r="M636" s="513"/>
      <c r="N636" s="498" t="e">
        <f>INDEX(Commerce_session1!F412:DA448,MATCH("a",Commerce_session1!F412:F448,0),42)</f>
        <v>#N/A</v>
      </c>
      <c r="O636" s="487" t="e">
        <f>INDEX(Commerce_session1!G412:DA448,MATCH("a",Commerce_session1!G412:G448,0),42)</f>
        <v>#N/A</v>
      </c>
    </row>
    <row r="637" spans="1:15" ht="20.25" customHeight="1" thickTop="1" thickBot="1">
      <c r="A637" s="518"/>
      <c r="B637" s="105" t="s">
        <v>39</v>
      </c>
      <c r="C637" s="104" t="s">
        <v>86</v>
      </c>
      <c r="D637" s="22">
        <v>1</v>
      </c>
      <c r="E637" s="23">
        <v>1</v>
      </c>
      <c r="F637" s="103" t="s">
        <v>73</v>
      </c>
      <c r="G637" s="82">
        <v>1</v>
      </c>
      <c r="H637" s="83">
        <v>1</v>
      </c>
      <c r="I637" s="25" t="e">
        <f>INDEX(Commerce_session1!A6:CX792,MATCH("T",Commerce_session1!A6:A792,0),89)</f>
        <v>#N/A</v>
      </c>
      <c r="J637" s="26" t="e">
        <f>INDEX(Commerce_session1!A6:CX792,MATCH("T",Commerce_session1!A6:A792,0),90)</f>
        <v>#N/A</v>
      </c>
      <c r="K637" s="27" t="e">
        <f>INDEX(Commerce_session1!A6:CX792,MATCH("T",Commerce_session1!A6:A792,0),91)</f>
        <v>#N/A</v>
      </c>
      <c r="L637" s="514" t="e">
        <f>INDEX(Commerce_session1!A6:CX792,MATCH("T",Commerce_session1!A6:A792,0),92)</f>
        <v>#N/A</v>
      </c>
      <c r="M637" s="515" t="e">
        <f>INDEX(Commerce_session1!D406:CZ448,MATCH("a",Commerce_session1!D406:D448,0),61)</f>
        <v>#N/A</v>
      </c>
      <c r="N637" s="498" t="e">
        <f>INDEX(Commerce_session1!F413:DA448,MATCH("a",Commerce_session1!F413:F448,0),42)</f>
        <v>#N/A</v>
      </c>
      <c r="O637" s="487" t="e">
        <f>INDEX(Commerce_session1!G413:DA448,MATCH("a",Commerce_session1!G413:G448,0),42)</f>
        <v>#N/A</v>
      </c>
    </row>
    <row r="638" spans="1:15" ht="20.25">
      <c r="A638" s="535" t="s">
        <v>40</v>
      </c>
      <c r="B638" s="536"/>
      <c r="C638" s="537"/>
      <c r="D638" s="121" t="e">
        <f>INDEX(Commerce_session1!A6:CX792,MATCH("T",Commerce_session1!A6:A792,0),99)</f>
        <v>#N/A</v>
      </c>
      <c r="E638" s="538" t="s">
        <v>41</v>
      </c>
      <c r="F638" s="540"/>
      <c r="G638" s="120" t="e">
        <f>INDEX(Commerce_session1!A6:CX792,MATCH("T",Commerce_session1!A6:A792,0),100)</f>
        <v>#N/A</v>
      </c>
      <c r="H638" s="538" t="s">
        <v>91</v>
      </c>
      <c r="I638" s="539"/>
      <c r="J638" s="539"/>
      <c r="K638" s="540"/>
      <c r="L638" s="541" t="e">
        <f>INDEX(Commerce_session1!A6:CX792,MATCH("T",Commerce_session1!A6:A792,0),101)</f>
        <v>#N/A</v>
      </c>
      <c r="M638" s="542"/>
      <c r="N638" s="8"/>
      <c r="O638" s="8"/>
    </row>
    <row r="639" spans="1:15" ht="22.5">
      <c r="A639" s="546" t="s">
        <v>42</v>
      </c>
      <c r="B639" s="547"/>
      <c r="C639" s="548"/>
      <c r="D639" s="543" t="e">
        <f>INDEX(Commerce_session1!A6:CX792,MATCH("T",Commerce_session1!A6:A792,0),102)</f>
        <v>#N/A</v>
      </c>
      <c r="E639" s="544"/>
      <c r="F639" s="545"/>
      <c r="G639" s="108"/>
      <c r="H639" s="109"/>
      <c r="I639" s="110"/>
      <c r="J639" s="111"/>
      <c r="K639" s="110"/>
      <c r="L639" s="110"/>
      <c r="M639" s="110"/>
      <c r="N639" s="112" t="s">
        <v>43</v>
      </c>
      <c r="O639" s="28">
        <f ca="1">TODAY()</f>
        <v>43626</v>
      </c>
    </row>
    <row r="640" spans="1:15" ht="32.25" customHeight="1">
      <c r="A640" s="113" t="s">
        <v>44</v>
      </c>
      <c r="B640" s="29"/>
      <c r="C640" s="29"/>
      <c r="D640" s="533"/>
      <c r="E640" s="533"/>
      <c r="F640" s="30"/>
      <c r="G640" s="4"/>
      <c r="J640" s="4"/>
      <c r="L640" s="534" t="s">
        <v>46</v>
      </c>
      <c r="M640" s="534"/>
      <c r="N640" s="534"/>
    </row>
    <row r="641" spans="1:18" ht="23.25" customHeight="1" thickBot="1">
      <c r="A641" s="84" t="s">
        <v>12</v>
      </c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445" t="s">
        <v>13</v>
      </c>
      <c r="M641" s="445"/>
      <c r="N641" s="445"/>
      <c r="O641" s="445"/>
      <c r="P641" s="2"/>
      <c r="Q641" s="2"/>
      <c r="R641" s="2"/>
    </row>
    <row r="642" spans="1:18" ht="15.75">
      <c r="A642" s="446" t="s">
        <v>14</v>
      </c>
      <c r="B642" s="446"/>
      <c r="C642" s="446"/>
      <c r="D642" s="446"/>
      <c r="E642" s="446"/>
      <c r="F642" s="3"/>
      <c r="H642" s="4"/>
      <c r="K642" s="4"/>
      <c r="L642" s="4"/>
    </row>
    <row r="643" spans="1:18" ht="15.75">
      <c r="A643" s="85" t="s">
        <v>15</v>
      </c>
      <c r="B643" s="85"/>
      <c r="C643" s="85"/>
      <c r="D643" s="85"/>
      <c r="E643" s="85"/>
      <c r="F643" s="5"/>
      <c r="H643" s="4"/>
      <c r="K643" s="4"/>
      <c r="L643" s="4"/>
      <c r="P643" s="6"/>
    </row>
    <row r="644" spans="1:18" ht="15.75">
      <c r="A644" s="85" t="s">
        <v>100</v>
      </c>
      <c r="B644" s="85"/>
      <c r="C644" s="85"/>
      <c r="D644" s="85"/>
      <c r="E644" s="85"/>
      <c r="F644" s="3"/>
      <c r="H644" s="4"/>
      <c r="K644" s="4"/>
      <c r="L644" s="4"/>
    </row>
    <row r="645" spans="1:18" s="8" customFormat="1" ht="27" customHeight="1">
      <c r="A645" s="7"/>
      <c r="B645" s="7"/>
      <c r="C645" s="7"/>
      <c r="D645" s="447" t="s">
        <v>94</v>
      </c>
      <c r="E645" s="447"/>
      <c r="F645" s="447"/>
      <c r="G645" s="447"/>
      <c r="H645" s="447"/>
      <c r="I645" s="447"/>
      <c r="J645" s="447"/>
      <c r="K645" s="447"/>
      <c r="L645" s="447"/>
      <c r="M645" s="7"/>
      <c r="N645" s="7"/>
      <c r="O645" s="7"/>
    </row>
    <row r="646" spans="1:18" ht="23.25" customHeight="1">
      <c r="A646" s="126" t="s">
        <v>101</v>
      </c>
      <c r="B646" s="126"/>
      <c r="C646" s="126"/>
      <c r="D646" s="126"/>
      <c r="E646" s="126"/>
      <c r="F646" s="126"/>
      <c r="G646" s="122"/>
      <c r="H646" s="122"/>
      <c r="I646" s="122" t="e">
        <f>IF(D671="ناجح(ة) دورة1","-الدورة الأولى-","-الدورة الثانية-")</f>
        <v>#N/A</v>
      </c>
      <c r="J646" s="124" t="s">
        <v>48</v>
      </c>
      <c r="K646" s="124"/>
      <c r="L646" s="87"/>
      <c r="M646" s="88"/>
      <c r="N646" s="89"/>
      <c r="O646" s="9"/>
    </row>
    <row r="647" spans="1:18" ht="20.25" customHeight="1">
      <c r="A647" s="476" t="s">
        <v>93</v>
      </c>
      <c r="B647" s="476"/>
      <c r="C647" s="90" t="e">
        <f>INDEX(Commerce_session1!A6:CX792,MATCH("U",Commerce_session1!A6:A792,0),3)</f>
        <v>#N/A</v>
      </c>
      <c r="D647" s="91" t="s">
        <v>92</v>
      </c>
      <c r="E647" s="448" t="e">
        <f>INDEX(Commerce_session1!A6:CX792,MATCH("U",Commerce_session1!A6:A792,0),4)</f>
        <v>#N/A</v>
      </c>
      <c r="F647" s="448" t="e">
        <f>INDEX(Commerce_session1!D438:DA732,MATCH("a",Commerce_session1!D438:D732,0),3)</f>
        <v>#N/A</v>
      </c>
      <c r="G647" s="477" t="s">
        <v>16</v>
      </c>
      <c r="H647" s="477"/>
      <c r="I647" s="477"/>
      <c r="J647" s="478" t="e">
        <f>INDEX(Commerce_session1!A6:CX792,MATCH("U",Commerce_session1!A6:A792,0),6)</f>
        <v>#N/A</v>
      </c>
      <c r="K647" s="478"/>
      <c r="L647" s="88"/>
      <c r="M647" s="92" t="s">
        <v>17</v>
      </c>
      <c r="N647" s="90" t="e">
        <f>INDEX(Commerce_session1!A6:CX792,MATCH("U",Commerce_session1!A6:A792,0),7)</f>
        <v>#N/A</v>
      </c>
      <c r="O647" s="10"/>
    </row>
    <row r="648" spans="1:18" ht="20.25" customHeight="1">
      <c r="A648" s="476" t="s">
        <v>18</v>
      </c>
      <c r="B648" s="476"/>
      <c r="C648" s="448" t="e">
        <f>INDEX(Commerce_session1!A6:CX792,MATCH("U",Commerce_session1!A6:A792,0),5)</f>
        <v>#N/A</v>
      </c>
      <c r="D648" s="448"/>
      <c r="E648" s="91"/>
      <c r="F648" s="88"/>
      <c r="G648" s="93"/>
      <c r="H648" s="88"/>
      <c r="I648" s="88"/>
      <c r="J648" s="93"/>
      <c r="K648" s="88"/>
      <c r="L648" s="88"/>
      <c r="M648" s="88"/>
      <c r="N648" s="88"/>
      <c r="O648" s="10"/>
    </row>
    <row r="649" spans="1:18" ht="20.25" customHeight="1">
      <c r="A649" s="476" t="s">
        <v>102</v>
      </c>
      <c r="B649" s="476"/>
      <c r="C649" s="476"/>
      <c r="D649" s="476"/>
      <c r="E649" s="476"/>
      <c r="F649" s="476"/>
      <c r="G649" s="476"/>
      <c r="H649" s="476"/>
      <c r="I649" s="476"/>
      <c r="J649" s="476"/>
      <c r="K649" s="476"/>
      <c r="L649" s="476"/>
      <c r="M649" s="476"/>
      <c r="N649" s="476"/>
      <c r="O649" s="476"/>
    </row>
    <row r="650" spans="1:18" ht="20.25" customHeight="1" thickBot="1">
      <c r="A650" s="459" t="s">
        <v>19</v>
      </c>
      <c r="B650" s="459"/>
      <c r="C650" s="459"/>
      <c r="D650" s="459"/>
      <c r="E650" s="459"/>
      <c r="F650" s="459"/>
      <c r="G650" s="459"/>
      <c r="H650" s="94"/>
      <c r="I650" s="94"/>
      <c r="J650" s="95"/>
      <c r="K650" s="94"/>
      <c r="L650" s="94"/>
      <c r="M650" s="94"/>
      <c r="N650" s="94"/>
      <c r="O650" s="11"/>
    </row>
    <row r="651" spans="1:18" ht="18.75" thickBot="1">
      <c r="A651" s="460" t="s">
        <v>20</v>
      </c>
      <c r="B651" s="463" t="s">
        <v>21</v>
      </c>
      <c r="C651" s="464"/>
      <c r="D651" s="464"/>
      <c r="E651" s="464"/>
      <c r="F651" s="464" t="s">
        <v>22</v>
      </c>
      <c r="G651" s="464"/>
      <c r="H651" s="464"/>
      <c r="I651" s="465" t="s">
        <v>23</v>
      </c>
      <c r="J651" s="466"/>
      <c r="K651" s="466"/>
      <c r="L651" s="466"/>
      <c r="M651" s="466"/>
      <c r="N651" s="466"/>
      <c r="O651" s="467"/>
    </row>
    <row r="652" spans="1:18">
      <c r="A652" s="461"/>
      <c r="B652" s="468" t="s">
        <v>24</v>
      </c>
      <c r="C652" s="470" t="s">
        <v>25</v>
      </c>
      <c r="D652" s="472" t="s">
        <v>26</v>
      </c>
      <c r="E652" s="474" t="s">
        <v>27</v>
      </c>
      <c r="F652" s="479" t="s">
        <v>28</v>
      </c>
      <c r="G652" s="468" t="s">
        <v>11</v>
      </c>
      <c r="H652" s="481" t="s">
        <v>27</v>
      </c>
      <c r="I652" s="482" t="s">
        <v>29</v>
      </c>
      <c r="J652" s="483"/>
      <c r="K652" s="484" t="s">
        <v>30</v>
      </c>
      <c r="L652" s="485"/>
      <c r="M652" s="486"/>
      <c r="N652" s="455" t="s">
        <v>20</v>
      </c>
      <c r="O652" s="456"/>
    </row>
    <row r="653" spans="1:18" ht="15.75" thickBot="1">
      <c r="A653" s="462"/>
      <c r="B653" s="469"/>
      <c r="C653" s="471"/>
      <c r="D653" s="473"/>
      <c r="E653" s="475"/>
      <c r="F653" s="480"/>
      <c r="G653" s="469"/>
      <c r="H653" s="473"/>
      <c r="I653" s="106" t="s">
        <v>10</v>
      </c>
      <c r="J653" s="106" t="s">
        <v>31</v>
      </c>
      <c r="K653" s="106" t="s">
        <v>32</v>
      </c>
      <c r="L653" s="457" t="s">
        <v>33</v>
      </c>
      <c r="M653" s="458"/>
      <c r="N653" s="106" t="s">
        <v>34</v>
      </c>
      <c r="O653" s="107" t="s">
        <v>35</v>
      </c>
    </row>
    <row r="654" spans="1:18" ht="18.75" customHeight="1" thickBot="1">
      <c r="A654" s="549" t="s">
        <v>76</v>
      </c>
      <c r="B654" s="552" t="s">
        <v>36</v>
      </c>
      <c r="C654" s="555" t="s">
        <v>90</v>
      </c>
      <c r="D654" s="556">
        <v>17</v>
      </c>
      <c r="E654" s="449">
        <v>6</v>
      </c>
      <c r="F654" s="96" t="s">
        <v>54</v>
      </c>
      <c r="G654" s="70">
        <v>5</v>
      </c>
      <c r="H654" s="71">
        <v>2</v>
      </c>
      <c r="I654" s="12" t="e">
        <f>INDEX(Commerce_session1!A6:CX792,MATCH("U",Commerce_session1!A6:A792,0),16)</f>
        <v>#N/A</v>
      </c>
      <c r="J654" s="13" t="e">
        <f>INDEX(Commerce_session1!A6:CX792,MATCH("U",Commerce_session1!A6:A792,0),17)</f>
        <v>#N/A</v>
      </c>
      <c r="K654" s="452" t="e">
        <f>INDEX(Commerce_session1!A6:CX792,MATCH("U",Commerce_session1!A6:A792,0),26)</f>
        <v>#N/A</v>
      </c>
      <c r="L654" s="494" t="e">
        <f>INDEX(Commerce_session1!A6:CX792,MATCH("U",Commerce_session1!A6:A792,0),27)</f>
        <v>#N/A</v>
      </c>
      <c r="M654" s="495" t="e">
        <f>INDEX(Commerce_session1!D438:CZ480,MATCH("a",Commerce_session1!D438:D480,0),15)</f>
        <v>#N/A</v>
      </c>
      <c r="N654" s="498" t="e">
        <f>INDEX(Commerce_session1!A6:CX792,MATCH("U",Commerce_session1!A6:A792,0),95)</f>
        <v>#N/A</v>
      </c>
      <c r="O654" s="487" t="e">
        <f>INDEX(Commerce_session1!A6:CX792,MATCH("U",Commerce_session1!A6:A792,0),96)</f>
        <v>#N/A</v>
      </c>
    </row>
    <row r="655" spans="1:18" ht="18.75" customHeight="1" thickBot="1">
      <c r="A655" s="550"/>
      <c r="B655" s="553"/>
      <c r="C655" s="503"/>
      <c r="D655" s="557"/>
      <c r="E655" s="450"/>
      <c r="F655" s="97" t="s">
        <v>55</v>
      </c>
      <c r="G655" s="72">
        <v>6</v>
      </c>
      <c r="H655" s="73">
        <v>2</v>
      </c>
      <c r="I655" s="14" t="e">
        <f>INDEX(Commerce_session1!A6:CX792,MATCH("U",Commerce_session1!A6:A792,0),20)</f>
        <v>#N/A</v>
      </c>
      <c r="J655" s="15" t="e">
        <f>INDEX(Commerce_session1!A6:CX792,MATCH("U",Commerce_session1!A6:A792,0),21)</f>
        <v>#N/A</v>
      </c>
      <c r="K655" s="453" t="e">
        <f>INDEX(Commerce_session1!B438:CY480,MATCH("a",Commerce_session1!B438:B480,0),14)</f>
        <v>#N/A</v>
      </c>
      <c r="L655" s="496" t="e">
        <f>INDEX(Commerce_session1!D438:CZ480,MATCH("a",Commerce_session1!D438:D480,0),14)</f>
        <v>#N/A</v>
      </c>
      <c r="M655" s="497" t="e">
        <f>INDEX(Commerce_session1!E438:DA480,MATCH("a",Commerce_session1!E438:E480,0),14)</f>
        <v>#N/A</v>
      </c>
      <c r="N655" s="498" t="e">
        <f>INDEX(Commerce_session1!#REF!,MATCH("a",Commerce_session1!#REF!,0),62)</f>
        <v>#REF!</v>
      </c>
      <c r="O655" s="487" t="e">
        <f>INDEX(Commerce_session1!#REF!,MATCH("a",Commerce_session1!#REF!,0),62)</f>
        <v>#REF!</v>
      </c>
    </row>
    <row r="656" spans="1:18" ht="18.75" customHeight="1" thickBot="1">
      <c r="A656" s="550"/>
      <c r="B656" s="554"/>
      <c r="C656" s="504"/>
      <c r="D656" s="558"/>
      <c r="E656" s="451"/>
      <c r="F656" s="98" t="s">
        <v>56</v>
      </c>
      <c r="G656" s="74">
        <v>6</v>
      </c>
      <c r="H656" s="75">
        <v>2</v>
      </c>
      <c r="I656" s="16" t="e">
        <f>INDEX(Commerce_session1!A6:CX792,MATCH("U",Commerce_session1!A6:A792,0),24)</f>
        <v>#N/A</v>
      </c>
      <c r="J656" s="17" t="e">
        <f>INDEX(Commerce_session1!A6:CX792,MATCH("U",Commerce_session1!A6:A792,0),25)</f>
        <v>#N/A</v>
      </c>
      <c r="K656" s="454" t="e">
        <f>INDEX(Commerce_session1!B440:CY480,MATCH("a",Commerce_session1!B440:B480,0),14)</f>
        <v>#N/A</v>
      </c>
      <c r="L656" s="490" t="e">
        <f>INDEX(Commerce_session1!D440:CZ480,MATCH("a",Commerce_session1!D440:D480,0),14)</f>
        <v>#N/A</v>
      </c>
      <c r="M656" s="491" t="e">
        <f>INDEX(Commerce_session1!E440:DA480,MATCH("a",Commerce_session1!E440:E480,0),14)</f>
        <v>#N/A</v>
      </c>
      <c r="N656" s="498" t="e">
        <f>INDEX(Commerce_session1!#REF!,MATCH("a",Commerce_session1!#REF!,0),62)</f>
        <v>#REF!</v>
      </c>
      <c r="O656" s="487" t="e">
        <f>INDEX(Commerce_session1!#REF!,MATCH("a",Commerce_session1!#REF!,0),62)</f>
        <v>#REF!</v>
      </c>
    </row>
    <row r="657" spans="1:15" ht="19.5" customHeight="1" thickTop="1" thickBot="1">
      <c r="A657" s="550"/>
      <c r="B657" s="499" t="s">
        <v>37</v>
      </c>
      <c r="C657" s="502" t="s">
        <v>89</v>
      </c>
      <c r="D657" s="505">
        <v>7</v>
      </c>
      <c r="E657" s="508">
        <v>5</v>
      </c>
      <c r="F657" s="99" t="s">
        <v>83</v>
      </c>
      <c r="G657" s="76">
        <v>1</v>
      </c>
      <c r="H657" s="77">
        <v>1</v>
      </c>
      <c r="I657" s="18" t="e">
        <f>INDEX(Commerce_session1!A6:CX792,MATCH("U",Commerce_session1!A6:A792,0),29)</f>
        <v>#N/A</v>
      </c>
      <c r="J657" s="19" t="e">
        <f>INDEX(Commerce_session1!A6:CX792,MATCH("U",Commerce_session1!A6:A792,0),30)</f>
        <v>#N/A</v>
      </c>
      <c r="K657" s="509" t="e">
        <f>INDEX(Commerce_session1!A6:CX792,MATCH("U",Commerce_session1!A6:A792,0),39)</f>
        <v>#N/A</v>
      </c>
      <c r="L657" s="488" t="e">
        <f>INDEX(Commerce_session1!A6:CX792,MATCH("U",Commerce_session1!A6:A792,0),40)</f>
        <v>#N/A</v>
      </c>
      <c r="M657" s="489" t="e">
        <f>INDEX(Commerce_session1!D438:CZ480,MATCH("a",Commerce_session1!D438:D480,0),23)</f>
        <v>#N/A</v>
      </c>
      <c r="N657" s="498" t="e">
        <f>INDEX(Commerce_session1!#REF!,MATCH("a",Commerce_session1!#REF!,0),62)</f>
        <v>#REF!</v>
      </c>
      <c r="O657" s="487" t="e">
        <f>INDEX(Commerce_session1!#REF!,MATCH("a",Commerce_session1!#REF!,0),62)</f>
        <v>#REF!</v>
      </c>
    </row>
    <row r="658" spans="1:15" ht="18.75" customHeight="1" thickTop="1" thickBot="1">
      <c r="A658" s="550"/>
      <c r="B658" s="500"/>
      <c r="C658" s="503"/>
      <c r="D658" s="506"/>
      <c r="E658" s="450"/>
      <c r="F658" s="100" t="s">
        <v>99</v>
      </c>
      <c r="G658" s="78">
        <v>3</v>
      </c>
      <c r="H658" s="79">
        <v>2</v>
      </c>
      <c r="I658" s="18" t="e">
        <f>INDEX(Commerce_session1!A6:CX792,MATCH("U",Commerce_session1!A6:A792,0),33)</f>
        <v>#N/A</v>
      </c>
      <c r="J658" s="15" t="e">
        <f>INDEX(Commerce_session1!A6:CX792,MATCH("U",Commerce_session1!A6:A792,0),34)</f>
        <v>#N/A</v>
      </c>
      <c r="K658" s="510" t="e">
        <f>INDEX(Commerce_session1!B437:CY480,MATCH("a",Commerce_session1!B437:B480,0),22)</f>
        <v>#N/A</v>
      </c>
      <c r="L658" s="496" t="e">
        <f>INDEX(Commerce_session1!D437:CZ480,MATCH("a",Commerce_session1!D437:D480,0),22)</f>
        <v>#N/A</v>
      </c>
      <c r="M658" s="497" t="e">
        <f>INDEX(Commerce_session1!E437:DA480,MATCH("a",Commerce_session1!E437:E480,0),22)</f>
        <v>#N/A</v>
      </c>
      <c r="N658" s="498" t="e">
        <f>INDEX(Commerce_session1!#REF!,MATCH("a",Commerce_session1!#REF!,0),62)</f>
        <v>#REF!</v>
      </c>
      <c r="O658" s="487" t="e">
        <f>INDEX(Commerce_session1!#REF!,MATCH("a",Commerce_session1!#REF!,0),62)</f>
        <v>#REF!</v>
      </c>
    </row>
    <row r="659" spans="1:15" ht="18.75" customHeight="1" thickBot="1">
      <c r="A659" s="550"/>
      <c r="B659" s="501"/>
      <c r="C659" s="504"/>
      <c r="D659" s="507"/>
      <c r="E659" s="451"/>
      <c r="F659" s="101" t="s">
        <v>84</v>
      </c>
      <c r="G659" s="80">
        <v>3</v>
      </c>
      <c r="H659" s="81">
        <v>2</v>
      </c>
      <c r="I659" s="20" t="e">
        <f>INDEX(Commerce_session1!A6:CX792,MATCH("U",Commerce_session1!A6:A792,0),37)</f>
        <v>#N/A</v>
      </c>
      <c r="J659" s="17" t="e">
        <f>INDEX(Commerce_session1!A6:CX792,MATCH("U",Commerce_session1!A6:A792,0),38)</f>
        <v>#N/A</v>
      </c>
      <c r="K659" s="511" t="e">
        <f>INDEX(Commerce_session1!B438:CY480,MATCH("a",Commerce_session1!B438:B480,0),22)</f>
        <v>#N/A</v>
      </c>
      <c r="L659" s="490" t="e">
        <f>INDEX(Commerce_session1!D438:CZ480,MATCH("a",Commerce_session1!D438:D480,0),22)</f>
        <v>#N/A</v>
      </c>
      <c r="M659" s="491" t="e">
        <f>INDEX(Commerce_session1!E438:DA480,MATCH("a",Commerce_session1!E438:E480,0),22)</f>
        <v>#N/A</v>
      </c>
      <c r="N659" s="498" t="e">
        <f>INDEX(Commerce_session1!#REF!,MATCH("a",Commerce_session1!#REF!,0),62)</f>
        <v>#REF!</v>
      </c>
      <c r="O659" s="487" t="e">
        <f>INDEX(Commerce_session1!#REF!,MATCH("a",Commerce_session1!#REF!,0),62)</f>
        <v>#REF!</v>
      </c>
    </row>
    <row r="660" spans="1:15" ht="33.75" customHeight="1" thickTop="1" thickBot="1">
      <c r="A660" s="550"/>
      <c r="B660" s="531" t="s">
        <v>38</v>
      </c>
      <c r="C660" s="559" t="s">
        <v>50</v>
      </c>
      <c r="D660" s="520">
        <v>5</v>
      </c>
      <c r="E660" s="508">
        <v>2</v>
      </c>
      <c r="F660" s="102" t="s">
        <v>63</v>
      </c>
      <c r="G660" s="68">
        <v>4</v>
      </c>
      <c r="H660" s="69">
        <v>1</v>
      </c>
      <c r="I660" s="18" t="e">
        <f>INDEX(Commerce_session1!A6:CX792,MATCH("U",Commerce_session1!A6:A792,0),43)</f>
        <v>#N/A</v>
      </c>
      <c r="J660" s="19" t="e">
        <f>INDEX(Commerce_session1!A6:CX792,MATCH("U",Commerce_session1!A6:A792,0),44)</f>
        <v>#N/A</v>
      </c>
      <c r="K660" s="509" t="e">
        <f>INDEX(Commerce_session1!A6:CX792,MATCH("U",Commerce_session1!A6:A792,0),48)</f>
        <v>#N/A</v>
      </c>
      <c r="L660" s="488" t="e">
        <f>INDEX(Commerce_session1!A6:CX792,MATCH("U",Commerce_session1!A6:A792,0),49)</f>
        <v>#N/A</v>
      </c>
      <c r="M660" s="489" t="e">
        <f>INDEX(Commerce_session1!D438:CZ480,MATCH("a",Commerce_session1!D438:D480,0),29)</f>
        <v>#N/A</v>
      </c>
      <c r="N660" s="498" t="e">
        <f>INDEX(Commerce_session1!#REF!,MATCH("a",Commerce_session1!#REF!,0),62)</f>
        <v>#REF!</v>
      </c>
      <c r="O660" s="487" t="e">
        <f>INDEX(Commerce_session1!#REF!,MATCH("a",Commerce_session1!#REF!,0),62)</f>
        <v>#REF!</v>
      </c>
    </row>
    <row r="661" spans="1:15" ht="18.75" customHeight="1" thickBot="1">
      <c r="A661" s="550"/>
      <c r="B661" s="527"/>
      <c r="C661" s="524"/>
      <c r="D661" s="521"/>
      <c r="E661" s="451"/>
      <c r="F661" s="101" t="s">
        <v>62</v>
      </c>
      <c r="G661" s="80">
        <v>1</v>
      </c>
      <c r="H661" s="81">
        <v>1</v>
      </c>
      <c r="I661" s="16" t="e">
        <f>INDEX(Commerce_session1!A6:CX792,MATCH("U",Commerce_session1!A6:A792,0),46)</f>
        <v>#N/A</v>
      </c>
      <c r="J661" s="21" t="e">
        <f>INDEX(Commerce_session1!A6:CX792,MATCH("U",Commerce_session1!A6:A792,0),47)</f>
        <v>#N/A</v>
      </c>
      <c r="K661" s="511" t="e">
        <f>INDEX(Commerce_session1!B438:CY480,MATCH("a",Commerce_session1!B438:B480,0),28)</f>
        <v>#N/A</v>
      </c>
      <c r="L661" s="490" t="e">
        <f>INDEX(Commerce_session1!D438:CZ480,MATCH("a",Commerce_session1!D438:D480,0),28)</f>
        <v>#N/A</v>
      </c>
      <c r="M661" s="491" t="e">
        <f>INDEX(Commerce_session1!E438:DA480,MATCH("a",Commerce_session1!E438:E480,0),28)</f>
        <v>#N/A</v>
      </c>
      <c r="N661" s="498" t="e">
        <f>INDEX(Commerce_session1!#REF!,MATCH("a",Commerce_session1!#REF!,0),62)</f>
        <v>#REF!</v>
      </c>
      <c r="O661" s="487" t="e">
        <f>INDEX(Commerce_session1!#REF!,MATCH("a",Commerce_session1!#REF!,0),62)</f>
        <v>#REF!</v>
      </c>
    </row>
    <row r="662" spans="1:15" ht="20.25" customHeight="1" thickTop="1" thickBot="1">
      <c r="A662" s="551"/>
      <c r="B662" s="105" t="s">
        <v>39</v>
      </c>
      <c r="C662" s="104" t="s">
        <v>51</v>
      </c>
      <c r="D662" s="22">
        <v>1</v>
      </c>
      <c r="E662" s="23">
        <v>1</v>
      </c>
      <c r="F662" s="103" t="s">
        <v>64</v>
      </c>
      <c r="G662" s="82">
        <v>1</v>
      </c>
      <c r="H662" s="83">
        <v>1</v>
      </c>
      <c r="I662" s="20" t="e">
        <f>INDEX(Commerce_session1!A6:CX792,MATCH("U",Commerce_session1!A6:A792,0),52)</f>
        <v>#N/A</v>
      </c>
      <c r="J662" s="24" t="e">
        <f>INDEX(Commerce_session1!A6:CX792,MATCH("U",Commerce_session1!A6:A792,0),53)</f>
        <v>#N/A</v>
      </c>
      <c r="K662" s="36" t="e">
        <f>INDEX(Commerce_session1!A6:CX792,MATCH("U",Commerce_session1!A6:A792,0),54)</f>
        <v>#N/A</v>
      </c>
      <c r="L662" s="492" t="e">
        <f>INDEX(Commerce_session1!A6:CX792,MATCH("U",Commerce_session1!A6:A792,0),55)</f>
        <v>#N/A</v>
      </c>
      <c r="M662" s="493" t="e">
        <f>INDEX(Commerce_session1!D438:CZ480,MATCH("a",Commerce_session1!D438:D480,0),33)</f>
        <v>#N/A</v>
      </c>
      <c r="N662" s="498" t="e">
        <f>INDEX(Commerce_session1!#REF!,MATCH("a",Commerce_session1!#REF!,0),62)</f>
        <v>#REF!</v>
      </c>
      <c r="O662" s="487" t="e">
        <f>INDEX(Commerce_session1!#REF!,MATCH("a",Commerce_session1!#REF!,0),62)</f>
        <v>#REF!</v>
      </c>
    </row>
    <row r="663" spans="1:15" ht="19.5" customHeight="1" thickTop="1" thickBot="1">
      <c r="A663" s="516" t="s">
        <v>77</v>
      </c>
      <c r="B663" s="525" t="s">
        <v>36</v>
      </c>
      <c r="C663" s="522" t="s">
        <v>88</v>
      </c>
      <c r="D663" s="528">
        <v>16</v>
      </c>
      <c r="E663" s="449">
        <v>5</v>
      </c>
      <c r="F663" s="96" t="s">
        <v>67</v>
      </c>
      <c r="G663" s="114">
        <v>6</v>
      </c>
      <c r="H663" s="115">
        <v>2</v>
      </c>
      <c r="I663" s="18" t="e">
        <f>INDEX(Commerce_session1!A6:CX792,MATCH("U",Commerce_session1!A6:A792,0),60)</f>
        <v>#N/A</v>
      </c>
      <c r="J663" s="19" t="e">
        <f>INDEX(Commerce_session1!A6:CX792,MATCH("U",Commerce_session1!A6:A792,0),61)</f>
        <v>#N/A</v>
      </c>
      <c r="K663" s="519" t="e">
        <f>INDEX(Commerce_session1!A6:CX792,MATCH("U",Commerce_session1!A6:A792,0),70)</f>
        <v>#N/A</v>
      </c>
      <c r="L663" s="494" t="e">
        <f>INDEX(Commerce_session1!A6:CX792,MATCH("U",Commerce_session1!A6:A792,0),71)</f>
        <v>#N/A</v>
      </c>
      <c r="M663" s="495"/>
      <c r="N663" s="498" t="e">
        <f>INDEX(Commerce_session1!A6:CX792,MATCH("U",Commerce_session1!A6:A792,0),97)</f>
        <v>#N/A</v>
      </c>
      <c r="O663" s="487" t="e">
        <f>INDEX(Commerce_session1!A6:CX792,MATCH("U",Commerce_session1!A6:A792,0),98)</f>
        <v>#N/A</v>
      </c>
    </row>
    <row r="664" spans="1:15" ht="18.75" customHeight="1" thickBot="1">
      <c r="A664" s="517"/>
      <c r="B664" s="526"/>
      <c r="C664" s="523"/>
      <c r="D664" s="529"/>
      <c r="E664" s="450"/>
      <c r="F664" s="100" t="s">
        <v>68</v>
      </c>
      <c r="G664" s="116">
        <v>6</v>
      </c>
      <c r="H664" s="117">
        <v>2</v>
      </c>
      <c r="I664" s="14" t="e">
        <f>INDEX(Commerce_session1!A6:CX792,MATCH("U",Commerce_session1!A6:A792,0),64)</f>
        <v>#N/A</v>
      </c>
      <c r="J664" s="15" t="e">
        <f>INDEX(Commerce_session1!A6:CX792,MATCH("U",Commerce_session1!A6:A792,0),65)</f>
        <v>#N/A</v>
      </c>
      <c r="K664" s="510"/>
      <c r="L664" s="496"/>
      <c r="M664" s="497"/>
      <c r="N664" s="498" t="e">
        <f>INDEX(Commerce_session1!F438:DA480,MATCH("a",Commerce_session1!F438:F480,0),42)</f>
        <v>#N/A</v>
      </c>
      <c r="O664" s="487" t="e">
        <f>INDEX(Commerce_session1!G438:DA480,MATCH("a",Commerce_session1!G438:G480,0),42)</f>
        <v>#N/A</v>
      </c>
    </row>
    <row r="665" spans="1:15" ht="20.25" customHeight="1" thickBot="1">
      <c r="A665" s="517"/>
      <c r="B665" s="527"/>
      <c r="C665" s="524"/>
      <c r="D665" s="530"/>
      <c r="E665" s="451"/>
      <c r="F665" s="101" t="s">
        <v>103</v>
      </c>
      <c r="G665" s="118">
        <v>4</v>
      </c>
      <c r="H665" s="119">
        <v>1</v>
      </c>
      <c r="I665" s="127" t="e">
        <f>INDEX(Commerce_session1!A6:CX792,MATCH("U",Commerce_session1!A6:A792,0),68)</f>
        <v>#N/A</v>
      </c>
      <c r="J665" s="21" t="e">
        <f>INDEX(Commerce_session1!A6:CX792,MATCH("U",Commerce_session1!A6:A792,0),69)</f>
        <v>#N/A</v>
      </c>
      <c r="K665" s="511"/>
      <c r="L665" s="490"/>
      <c r="M665" s="491"/>
      <c r="N665" s="498" t="e">
        <f>INDEX(Commerce_session1!F439:DA480,MATCH("a",Commerce_session1!F439:F480,0),42)</f>
        <v>#N/A</v>
      </c>
      <c r="O665" s="487" t="e">
        <f>INDEX(Commerce_session1!G439:DA480,MATCH("a",Commerce_session1!G439:G480,0),42)</f>
        <v>#N/A</v>
      </c>
    </row>
    <row r="666" spans="1:15" ht="22.5" customHeight="1" thickTop="1" thickBot="1">
      <c r="A666" s="517"/>
      <c r="B666" s="531" t="s">
        <v>37</v>
      </c>
      <c r="C666" s="559" t="s">
        <v>87</v>
      </c>
      <c r="D666" s="532">
        <v>10</v>
      </c>
      <c r="E666" s="508">
        <v>4</v>
      </c>
      <c r="F666" s="128" t="s">
        <v>104</v>
      </c>
      <c r="G666" s="76">
        <v>5</v>
      </c>
      <c r="H666" s="77">
        <v>2</v>
      </c>
      <c r="I666" s="18" t="e">
        <f>INDEX(Commerce_session1!A6:CX792,MATCH("U",Commerce_session1!A6:A792,0),74)</f>
        <v>#N/A</v>
      </c>
      <c r="J666" s="19" t="e">
        <f>INDEX(Commerce_session1!A6:CX792,MATCH("U",Commerce_session1!A6:A792,0),75)</f>
        <v>#N/A</v>
      </c>
      <c r="K666" s="509" t="e">
        <f>INDEX(Commerce_session1!A6:CX792,MATCH("U",Commerce_session1!A6:A792,0),80)</f>
        <v>#N/A</v>
      </c>
      <c r="L666" s="488" t="e">
        <f>INDEX(Commerce_session1!A6:CX792,MATCH("U",Commerce_session1!A6:A792,0),81)</f>
        <v>#N/A</v>
      </c>
      <c r="M666" s="489"/>
      <c r="N666" s="498" t="e">
        <f>INDEX(Commerce_session1!E441:DA480,MATCH("a",Commerce_session1!E441:E480,0),43)</f>
        <v>#N/A</v>
      </c>
      <c r="O666" s="487" t="e">
        <f>INDEX(Commerce_session1!F441:DA480,MATCH("a",Commerce_session1!F441:F480,0),43)</f>
        <v>#N/A</v>
      </c>
    </row>
    <row r="667" spans="1:15" ht="18.75" customHeight="1" thickBot="1">
      <c r="A667" s="517"/>
      <c r="B667" s="527"/>
      <c r="C667" s="524"/>
      <c r="D667" s="530"/>
      <c r="E667" s="451"/>
      <c r="F667" s="98" t="s">
        <v>69</v>
      </c>
      <c r="G667" s="74">
        <v>5</v>
      </c>
      <c r="H667" s="75">
        <v>2</v>
      </c>
      <c r="I667" s="20" t="e">
        <f>INDEX(Commerce_session1!A6:CX792,MATCH("U",Commerce_session1!A6:A792,0),78)</f>
        <v>#N/A</v>
      </c>
      <c r="J667" s="17" t="e">
        <f>INDEX(Commerce_session1!A6:CX792,MATCH("U",Commerce_session1!A6:A792,0),79)</f>
        <v>#N/A</v>
      </c>
      <c r="K667" s="511"/>
      <c r="L667" s="490"/>
      <c r="M667" s="491"/>
      <c r="N667" s="498" t="e">
        <f>INDEX(Commerce_session1!F442:DA480,MATCH("a",Commerce_session1!F442:F480,0),42)</f>
        <v>#N/A</v>
      </c>
      <c r="O667" s="487" t="e">
        <f>INDEX(Commerce_session1!G442:DA480,MATCH("a",Commerce_session1!G442:G480,0),42)</f>
        <v>#N/A</v>
      </c>
    </row>
    <row r="668" spans="1:15" ht="18.75" customHeight="1" thickTop="1" thickBot="1">
      <c r="A668" s="517"/>
      <c r="B668" s="105" t="s">
        <v>38</v>
      </c>
      <c r="C668" s="104" t="s">
        <v>85</v>
      </c>
      <c r="D668" s="22">
        <v>3</v>
      </c>
      <c r="E668" s="23">
        <v>2</v>
      </c>
      <c r="F668" s="101" t="s">
        <v>74</v>
      </c>
      <c r="G668" s="74">
        <v>3</v>
      </c>
      <c r="H668" s="75">
        <v>2</v>
      </c>
      <c r="I668" s="20" t="e">
        <f>INDEX(Commerce_session1!A6:CX792,MATCH("U",Commerce_session1!A6:A792,0),84)</f>
        <v>#N/A</v>
      </c>
      <c r="J668" s="17" t="e">
        <f>INDEX(Commerce_session1!A6:CX792,MATCH("U",Commerce_session1!A6:A792,0),85)</f>
        <v>#N/A</v>
      </c>
      <c r="K668" s="123" t="e">
        <f>INDEX(Commerce_session1!A6:CX792,MATCH("U",Commerce_session1!A6:A792,0),86)</f>
        <v>#N/A</v>
      </c>
      <c r="L668" s="512" t="e">
        <f>INDEX(Commerce_session1!A6:CX792,MATCH("U",Commerce_session1!A6:A792,0),87)</f>
        <v>#N/A</v>
      </c>
      <c r="M668" s="513"/>
      <c r="N668" s="498" t="e">
        <f>INDEX(Commerce_session1!F444:DA480,MATCH("a",Commerce_session1!F444:F480,0),42)</f>
        <v>#N/A</v>
      </c>
      <c r="O668" s="487" t="e">
        <f>INDEX(Commerce_session1!G444:DA480,MATCH("a",Commerce_session1!G444:G480,0),42)</f>
        <v>#N/A</v>
      </c>
    </row>
    <row r="669" spans="1:15" ht="20.25" customHeight="1" thickTop="1" thickBot="1">
      <c r="A669" s="518"/>
      <c r="B669" s="105" t="s">
        <v>39</v>
      </c>
      <c r="C669" s="104" t="s">
        <v>86</v>
      </c>
      <c r="D669" s="22">
        <v>1</v>
      </c>
      <c r="E669" s="23">
        <v>1</v>
      </c>
      <c r="F669" s="103" t="s">
        <v>73</v>
      </c>
      <c r="G669" s="82">
        <v>1</v>
      </c>
      <c r="H669" s="83">
        <v>1</v>
      </c>
      <c r="I669" s="25" t="e">
        <f>INDEX(Commerce_session1!A6:CX792,MATCH("U",Commerce_session1!A6:A792,0),89)</f>
        <v>#N/A</v>
      </c>
      <c r="J669" s="26" t="e">
        <f>INDEX(Commerce_session1!A6:CX792,MATCH("U",Commerce_session1!A6:A792,0),90)</f>
        <v>#N/A</v>
      </c>
      <c r="K669" s="27" t="e">
        <f>INDEX(Commerce_session1!A6:CX792,MATCH("U",Commerce_session1!A6:A792,0),91)</f>
        <v>#N/A</v>
      </c>
      <c r="L669" s="514" t="e">
        <f>INDEX(Commerce_session1!A6:CX792,MATCH("U",Commerce_session1!A6:A792,0),92)</f>
        <v>#N/A</v>
      </c>
      <c r="M669" s="515" t="e">
        <f>INDEX(Commerce_session1!D438:CZ480,MATCH("a",Commerce_session1!D438:D480,0),61)</f>
        <v>#N/A</v>
      </c>
      <c r="N669" s="498" t="e">
        <f>INDEX(Commerce_session1!F445:DA480,MATCH("a",Commerce_session1!F445:F480,0),42)</f>
        <v>#N/A</v>
      </c>
      <c r="O669" s="487" t="e">
        <f>INDEX(Commerce_session1!G445:DA480,MATCH("a",Commerce_session1!G445:G480,0),42)</f>
        <v>#N/A</v>
      </c>
    </row>
    <row r="670" spans="1:15" ht="20.25">
      <c r="A670" s="535" t="s">
        <v>40</v>
      </c>
      <c r="B670" s="536"/>
      <c r="C670" s="537"/>
      <c r="D670" s="121" t="e">
        <f>INDEX(Commerce_session1!A6:CX792,MATCH("U",Commerce_session1!A6:A792,0),99)</f>
        <v>#N/A</v>
      </c>
      <c r="E670" s="538" t="s">
        <v>41</v>
      </c>
      <c r="F670" s="540"/>
      <c r="G670" s="120" t="e">
        <f>INDEX(Commerce_session1!A6:CX792,MATCH("U",Commerce_session1!A6:A792,0),100)</f>
        <v>#N/A</v>
      </c>
      <c r="H670" s="538" t="s">
        <v>91</v>
      </c>
      <c r="I670" s="539"/>
      <c r="J670" s="539"/>
      <c r="K670" s="540"/>
      <c r="L670" s="541" t="e">
        <f>INDEX(Commerce_session1!A6:CX792,MATCH("U",Commerce_session1!A6:A792,0),101)</f>
        <v>#N/A</v>
      </c>
      <c r="M670" s="542"/>
      <c r="N670" s="8"/>
      <c r="O670" s="8"/>
    </row>
    <row r="671" spans="1:15" ht="22.5">
      <c r="A671" s="546" t="s">
        <v>42</v>
      </c>
      <c r="B671" s="547"/>
      <c r="C671" s="548"/>
      <c r="D671" s="543" t="e">
        <f>INDEX(Commerce_session1!A6:CX792,MATCH("U",Commerce_session1!A6:A792,0),102)</f>
        <v>#N/A</v>
      </c>
      <c r="E671" s="544"/>
      <c r="F671" s="545"/>
      <c r="G671" s="108"/>
      <c r="H671" s="109"/>
      <c r="I671" s="110"/>
      <c r="J671" s="111"/>
      <c r="K671" s="110"/>
      <c r="L671" s="110"/>
      <c r="M671" s="110"/>
      <c r="N671" s="112" t="s">
        <v>43</v>
      </c>
      <c r="O671" s="28">
        <f ca="1">TODAY()</f>
        <v>43626</v>
      </c>
    </row>
    <row r="672" spans="1:15" ht="32.25" customHeight="1">
      <c r="A672" s="113" t="s">
        <v>44</v>
      </c>
      <c r="B672" s="29"/>
      <c r="C672" s="29"/>
      <c r="D672" s="533"/>
      <c r="E672" s="533"/>
      <c r="F672" s="30"/>
      <c r="G672" s="4"/>
      <c r="J672" s="4"/>
      <c r="L672" s="534" t="s">
        <v>46</v>
      </c>
      <c r="M672" s="534"/>
      <c r="N672" s="534"/>
    </row>
    <row r="673" spans="1:18" ht="23.25" customHeight="1" thickBot="1">
      <c r="A673" s="84" t="s">
        <v>12</v>
      </c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445" t="s">
        <v>13</v>
      </c>
      <c r="M673" s="445"/>
      <c r="N673" s="445"/>
      <c r="O673" s="445"/>
      <c r="P673" s="2"/>
      <c r="Q673" s="2"/>
      <c r="R673" s="2"/>
    </row>
    <row r="674" spans="1:18" ht="15.75">
      <c r="A674" s="446" t="s">
        <v>14</v>
      </c>
      <c r="B674" s="446"/>
      <c r="C674" s="446"/>
      <c r="D674" s="446"/>
      <c r="E674" s="446"/>
      <c r="F674" s="3"/>
      <c r="H674" s="4"/>
      <c r="K674" s="4"/>
      <c r="L674" s="4"/>
    </row>
    <row r="675" spans="1:18" ht="15.75">
      <c r="A675" s="85" t="s">
        <v>15</v>
      </c>
      <c r="B675" s="85"/>
      <c r="C675" s="85"/>
      <c r="D675" s="85"/>
      <c r="E675" s="85"/>
      <c r="F675" s="5"/>
      <c r="H675" s="4"/>
      <c r="K675" s="4"/>
      <c r="L675" s="4"/>
      <c r="P675" s="6"/>
    </row>
    <row r="676" spans="1:18" ht="15.75">
      <c r="A676" s="85" t="s">
        <v>100</v>
      </c>
      <c r="B676" s="85"/>
      <c r="C676" s="85"/>
      <c r="D676" s="85"/>
      <c r="E676" s="85"/>
      <c r="F676" s="3"/>
      <c r="H676" s="4"/>
      <c r="K676" s="4"/>
      <c r="L676" s="4"/>
    </row>
    <row r="677" spans="1:18" s="8" customFormat="1" ht="27" customHeight="1">
      <c r="A677" s="7"/>
      <c r="B677" s="7"/>
      <c r="C677" s="7"/>
      <c r="D677" s="447" t="s">
        <v>94</v>
      </c>
      <c r="E677" s="447"/>
      <c r="F677" s="447"/>
      <c r="G677" s="447"/>
      <c r="H677" s="447"/>
      <c r="I677" s="447"/>
      <c r="J677" s="447"/>
      <c r="K677" s="447"/>
      <c r="L677" s="447"/>
      <c r="M677" s="7"/>
      <c r="N677" s="7"/>
      <c r="O677" s="7"/>
    </row>
    <row r="678" spans="1:18" ht="23.25" customHeight="1">
      <c r="A678" s="126" t="s">
        <v>101</v>
      </c>
      <c r="B678" s="126"/>
      <c r="C678" s="126"/>
      <c r="D678" s="126"/>
      <c r="E678" s="126"/>
      <c r="F678" s="126"/>
      <c r="G678" s="122"/>
      <c r="H678" s="122"/>
      <c r="I678" s="122" t="e">
        <f>IF(D703="ناجح(ة) دورة1","-الدورة الأولى-","-الدورة الثانية-")</f>
        <v>#N/A</v>
      </c>
      <c r="J678" s="124" t="s">
        <v>48</v>
      </c>
      <c r="K678" s="124"/>
      <c r="L678" s="87"/>
      <c r="M678" s="88"/>
      <c r="N678" s="89"/>
      <c r="O678" s="9"/>
    </row>
    <row r="679" spans="1:18" ht="20.25" customHeight="1">
      <c r="A679" s="476" t="s">
        <v>93</v>
      </c>
      <c r="B679" s="476"/>
      <c r="C679" s="90" t="e">
        <f>INDEX(Commerce_session1!A6:CX792,MATCH("V",Commerce_session1!A6:A792,0),3)</f>
        <v>#N/A</v>
      </c>
      <c r="D679" s="91" t="s">
        <v>92</v>
      </c>
      <c r="E679" s="448" t="e">
        <f>INDEX(Commerce_session1!A6:CX792,MATCH("V",Commerce_session1!A6:A792,0),4)</f>
        <v>#N/A</v>
      </c>
      <c r="F679" s="448" t="e">
        <f>INDEX(Commerce_session1!D470:DA764,MATCH("a",Commerce_session1!D470:D764,0),3)</f>
        <v>#N/A</v>
      </c>
      <c r="G679" s="477" t="s">
        <v>16</v>
      </c>
      <c r="H679" s="477"/>
      <c r="I679" s="477"/>
      <c r="J679" s="478" t="e">
        <f>INDEX(Commerce_session1!A6:CX792,MATCH("V",Commerce_session1!A6:A792,0),6)</f>
        <v>#N/A</v>
      </c>
      <c r="K679" s="478"/>
      <c r="L679" s="88"/>
      <c r="M679" s="92" t="s">
        <v>17</v>
      </c>
      <c r="N679" s="90" t="e">
        <f>INDEX(Commerce_session1!A6:CX792,MATCH("V",Commerce_session1!A6:A792,0),7)</f>
        <v>#N/A</v>
      </c>
      <c r="O679" s="10"/>
    </row>
    <row r="680" spans="1:18" ht="20.25" customHeight="1">
      <c r="A680" s="476" t="s">
        <v>18</v>
      </c>
      <c r="B680" s="476"/>
      <c r="C680" s="448" t="e">
        <f>INDEX(Commerce_session1!A6:CX792,MATCH("V",Commerce_session1!A6:A792,0),5)</f>
        <v>#N/A</v>
      </c>
      <c r="D680" s="448"/>
      <c r="E680" s="91"/>
      <c r="F680" s="88"/>
      <c r="G680" s="93"/>
      <c r="H680" s="88"/>
      <c r="I680" s="88"/>
      <c r="J680" s="93"/>
      <c r="K680" s="88"/>
      <c r="L680" s="88"/>
      <c r="M680" s="88"/>
      <c r="N680" s="88"/>
      <c r="O680" s="10"/>
    </row>
    <row r="681" spans="1:18" ht="20.25" customHeight="1">
      <c r="A681" s="476" t="s">
        <v>102</v>
      </c>
      <c r="B681" s="476"/>
      <c r="C681" s="476"/>
      <c r="D681" s="476"/>
      <c r="E681" s="476"/>
      <c r="F681" s="476"/>
      <c r="G681" s="476"/>
      <c r="H681" s="476"/>
      <c r="I681" s="476"/>
      <c r="J681" s="476"/>
      <c r="K681" s="476"/>
      <c r="L681" s="476"/>
      <c r="M681" s="476"/>
      <c r="N681" s="476"/>
      <c r="O681" s="476"/>
    </row>
    <row r="682" spans="1:18" ht="20.25" customHeight="1" thickBot="1">
      <c r="A682" s="459" t="s">
        <v>19</v>
      </c>
      <c r="B682" s="459"/>
      <c r="C682" s="459"/>
      <c r="D682" s="459"/>
      <c r="E682" s="459"/>
      <c r="F682" s="459"/>
      <c r="G682" s="459"/>
      <c r="H682" s="94"/>
      <c r="I682" s="94"/>
      <c r="J682" s="95"/>
      <c r="K682" s="94"/>
      <c r="L682" s="94"/>
      <c r="M682" s="94"/>
      <c r="N682" s="94"/>
      <c r="O682" s="11"/>
    </row>
    <row r="683" spans="1:18" ht="18.75" thickBot="1">
      <c r="A683" s="460" t="s">
        <v>20</v>
      </c>
      <c r="B683" s="463" t="s">
        <v>21</v>
      </c>
      <c r="C683" s="464"/>
      <c r="D683" s="464"/>
      <c r="E683" s="464"/>
      <c r="F683" s="464" t="s">
        <v>22</v>
      </c>
      <c r="G683" s="464"/>
      <c r="H683" s="464"/>
      <c r="I683" s="465" t="s">
        <v>23</v>
      </c>
      <c r="J683" s="466"/>
      <c r="K683" s="466"/>
      <c r="L683" s="466"/>
      <c r="M683" s="466"/>
      <c r="N683" s="466"/>
      <c r="O683" s="467"/>
    </row>
    <row r="684" spans="1:18">
      <c r="A684" s="461"/>
      <c r="B684" s="468" t="s">
        <v>24</v>
      </c>
      <c r="C684" s="470" t="s">
        <v>25</v>
      </c>
      <c r="D684" s="472" t="s">
        <v>26</v>
      </c>
      <c r="E684" s="474" t="s">
        <v>27</v>
      </c>
      <c r="F684" s="479" t="s">
        <v>28</v>
      </c>
      <c r="G684" s="468" t="s">
        <v>11</v>
      </c>
      <c r="H684" s="481" t="s">
        <v>27</v>
      </c>
      <c r="I684" s="482" t="s">
        <v>29</v>
      </c>
      <c r="J684" s="483"/>
      <c r="K684" s="484" t="s">
        <v>30</v>
      </c>
      <c r="L684" s="485"/>
      <c r="M684" s="486"/>
      <c r="N684" s="455" t="s">
        <v>20</v>
      </c>
      <c r="O684" s="456"/>
    </row>
    <row r="685" spans="1:18" ht="15.75" thickBot="1">
      <c r="A685" s="462"/>
      <c r="B685" s="469"/>
      <c r="C685" s="471"/>
      <c r="D685" s="473"/>
      <c r="E685" s="475"/>
      <c r="F685" s="480"/>
      <c r="G685" s="469"/>
      <c r="H685" s="473"/>
      <c r="I685" s="106" t="s">
        <v>10</v>
      </c>
      <c r="J685" s="106" t="s">
        <v>31</v>
      </c>
      <c r="K685" s="106" t="s">
        <v>32</v>
      </c>
      <c r="L685" s="457" t="s">
        <v>33</v>
      </c>
      <c r="M685" s="458"/>
      <c r="N685" s="106" t="s">
        <v>34</v>
      </c>
      <c r="O685" s="107" t="s">
        <v>35</v>
      </c>
    </row>
    <row r="686" spans="1:18" ht="18.75" customHeight="1" thickBot="1">
      <c r="A686" s="549" t="s">
        <v>76</v>
      </c>
      <c r="B686" s="552" t="s">
        <v>36</v>
      </c>
      <c r="C686" s="555" t="s">
        <v>90</v>
      </c>
      <c r="D686" s="556">
        <v>17</v>
      </c>
      <c r="E686" s="449">
        <v>6</v>
      </c>
      <c r="F686" s="96" t="s">
        <v>54</v>
      </c>
      <c r="G686" s="70">
        <v>5</v>
      </c>
      <c r="H686" s="71">
        <v>2</v>
      </c>
      <c r="I686" s="12" t="e">
        <f>INDEX(Commerce_session1!A6:CX792,MATCH("V",Commerce_session1!A6:A792,0),16)</f>
        <v>#N/A</v>
      </c>
      <c r="J686" s="13" t="e">
        <f>INDEX(Commerce_session1!A6:CX792,MATCH("V",Commerce_session1!A6:A792,0),17)</f>
        <v>#N/A</v>
      </c>
      <c r="K686" s="452" t="e">
        <f>INDEX(Commerce_session1!A6:CX792,MATCH("V",Commerce_session1!A6:A792,0),26)</f>
        <v>#N/A</v>
      </c>
      <c r="L686" s="494" t="e">
        <f>INDEX(Commerce_session1!A6:CX792,MATCH("V",Commerce_session1!A6:A792,0),27)</f>
        <v>#N/A</v>
      </c>
      <c r="M686" s="495" t="e">
        <f>INDEX(Commerce_session1!D470:CZ512,MATCH("a",Commerce_session1!D470:D512,0),15)</f>
        <v>#N/A</v>
      </c>
      <c r="N686" s="498" t="e">
        <f>INDEX(Commerce_session1!A6:CX792,MATCH("V",Commerce_session1!A6:A792,0),95)</f>
        <v>#N/A</v>
      </c>
      <c r="O686" s="487" t="e">
        <f>INDEX(Commerce_session1!A6:CX792,MATCH("V",Commerce_session1!A6:A792,0),96)</f>
        <v>#N/A</v>
      </c>
    </row>
    <row r="687" spans="1:18" ht="18.75" customHeight="1" thickBot="1">
      <c r="A687" s="550"/>
      <c r="B687" s="553"/>
      <c r="C687" s="503"/>
      <c r="D687" s="557"/>
      <c r="E687" s="450"/>
      <c r="F687" s="97" t="s">
        <v>55</v>
      </c>
      <c r="G687" s="72">
        <v>6</v>
      </c>
      <c r="H687" s="73">
        <v>2</v>
      </c>
      <c r="I687" s="14" t="e">
        <f>INDEX(Commerce_session1!A6:CX792,MATCH("V",Commerce_session1!A6:A792,0),20)</f>
        <v>#N/A</v>
      </c>
      <c r="J687" s="15" t="e">
        <f>INDEX(Commerce_session1!A6:CX792,MATCH("V",Commerce_session1!A6:A792,0),21)</f>
        <v>#N/A</v>
      </c>
      <c r="K687" s="453" t="e">
        <f>INDEX(Commerce_session1!B470:CY512,MATCH("a",Commerce_session1!B470:B512,0),14)</f>
        <v>#N/A</v>
      </c>
      <c r="L687" s="496" t="e">
        <f>INDEX(Commerce_session1!D470:CZ512,MATCH("a",Commerce_session1!D470:D512,0),14)</f>
        <v>#N/A</v>
      </c>
      <c r="M687" s="497" t="e">
        <f>INDEX(Commerce_session1!E470:DA512,MATCH("a",Commerce_session1!E470:E512,0),14)</f>
        <v>#N/A</v>
      </c>
      <c r="N687" s="498" t="e">
        <f>INDEX(Commerce_session1!#REF!,MATCH("a",Commerce_session1!#REF!,0),62)</f>
        <v>#REF!</v>
      </c>
      <c r="O687" s="487" t="e">
        <f>INDEX(Commerce_session1!#REF!,MATCH("a",Commerce_session1!#REF!,0),62)</f>
        <v>#REF!</v>
      </c>
    </row>
    <row r="688" spans="1:18" ht="18.75" customHeight="1" thickBot="1">
      <c r="A688" s="550"/>
      <c r="B688" s="554"/>
      <c r="C688" s="504"/>
      <c r="D688" s="558"/>
      <c r="E688" s="451"/>
      <c r="F688" s="98" t="s">
        <v>56</v>
      </c>
      <c r="G688" s="74">
        <v>6</v>
      </c>
      <c r="H688" s="75">
        <v>2</v>
      </c>
      <c r="I688" s="16" t="e">
        <f>INDEX(Commerce_session1!A6:CX792,MATCH("V",Commerce_session1!A6:A792,0),24)</f>
        <v>#N/A</v>
      </c>
      <c r="J688" s="17" t="e">
        <f>INDEX(Commerce_session1!A6:CX792,MATCH("V",Commerce_session1!A6:A792,0),25)</f>
        <v>#N/A</v>
      </c>
      <c r="K688" s="454" t="e">
        <f>INDEX(Commerce_session1!B472:CY512,MATCH("a",Commerce_session1!B472:B512,0),14)</f>
        <v>#N/A</v>
      </c>
      <c r="L688" s="490" t="e">
        <f>INDEX(Commerce_session1!D472:CZ512,MATCH("a",Commerce_session1!D472:D512,0),14)</f>
        <v>#N/A</v>
      </c>
      <c r="M688" s="491" t="e">
        <f>INDEX(Commerce_session1!E472:DA512,MATCH("a",Commerce_session1!E472:E512,0),14)</f>
        <v>#N/A</v>
      </c>
      <c r="N688" s="498" t="e">
        <f>INDEX(Commerce_session1!#REF!,MATCH("a",Commerce_session1!#REF!,0),62)</f>
        <v>#REF!</v>
      </c>
      <c r="O688" s="487" t="e">
        <f>INDEX(Commerce_session1!#REF!,MATCH("a",Commerce_session1!#REF!,0),62)</f>
        <v>#REF!</v>
      </c>
    </row>
    <row r="689" spans="1:15" ht="19.5" customHeight="1" thickTop="1" thickBot="1">
      <c r="A689" s="550"/>
      <c r="B689" s="499" t="s">
        <v>37</v>
      </c>
      <c r="C689" s="502" t="s">
        <v>89</v>
      </c>
      <c r="D689" s="505">
        <v>7</v>
      </c>
      <c r="E689" s="508">
        <v>5</v>
      </c>
      <c r="F689" s="99" t="s">
        <v>83</v>
      </c>
      <c r="G689" s="76">
        <v>1</v>
      </c>
      <c r="H689" s="77">
        <v>1</v>
      </c>
      <c r="I689" s="18" t="e">
        <f>INDEX(Commerce_session1!A6:CX792,MATCH("V",Commerce_session1!A6:A792,0),29)</f>
        <v>#N/A</v>
      </c>
      <c r="J689" s="19" t="e">
        <f>INDEX(Commerce_session1!A6:CX792,MATCH("V",Commerce_session1!A6:A792,0),30)</f>
        <v>#N/A</v>
      </c>
      <c r="K689" s="509" t="e">
        <f>INDEX(Commerce_session1!A6:CX792,MATCH("V",Commerce_session1!A6:A792,0),39)</f>
        <v>#N/A</v>
      </c>
      <c r="L689" s="488" t="e">
        <f>INDEX(Commerce_session1!A6:CX792,MATCH("V",Commerce_session1!A6:A792,0),40)</f>
        <v>#N/A</v>
      </c>
      <c r="M689" s="489" t="e">
        <f>INDEX(Commerce_session1!D470:CZ512,MATCH("a",Commerce_session1!D470:D512,0),23)</f>
        <v>#N/A</v>
      </c>
      <c r="N689" s="498" t="e">
        <f>INDEX(Commerce_session1!#REF!,MATCH("a",Commerce_session1!#REF!,0),62)</f>
        <v>#REF!</v>
      </c>
      <c r="O689" s="487" t="e">
        <f>INDEX(Commerce_session1!#REF!,MATCH("a",Commerce_session1!#REF!,0),62)</f>
        <v>#REF!</v>
      </c>
    </row>
    <row r="690" spans="1:15" ht="18.75" customHeight="1" thickTop="1" thickBot="1">
      <c r="A690" s="550"/>
      <c r="B690" s="500"/>
      <c r="C690" s="503"/>
      <c r="D690" s="506"/>
      <c r="E690" s="450"/>
      <c r="F690" s="100" t="s">
        <v>99</v>
      </c>
      <c r="G690" s="78">
        <v>3</v>
      </c>
      <c r="H690" s="79">
        <v>2</v>
      </c>
      <c r="I690" s="18" t="e">
        <f>INDEX(Commerce_session1!A6:CX792,MATCH("V",Commerce_session1!A6:A792,0),33)</f>
        <v>#N/A</v>
      </c>
      <c r="J690" s="15" t="e">
        <f>INDEX(Commerce_session1!A6:CX792,MATCH("V",Commerce_session1!A6:A792,0),34)</f>
        <v>#N/A</v>
      </c>
      <c r="K690" s="510" t="e">
        <f>INDEX(Commerce_session1!B469:CY512,MATCH("a",Commerce_session1!B469:B512,0),22)</f>
        <v>#N/A</v>
      </c>
      <c r="L690" s="496" t="e">
        <f>INDEX(Commerce_session1!D469:CZ512,MATCH("a",Commerce_session1!D469:D512,0),22)</f>
        <v>#N/A</v>
      </c>
      <c r="M690" s="497" t="e">
        <f>INDEX(Commerce_session1!E469:DA512,MATCH("a",Commerce_session1!E469:E512,0),22)</f>
        <v>#N/A</v>
      </c>
      <c r="N690" s="498" t="e">
        <f>INDEX(Commerce_session1!#REF!,MATCH("a",Commerce_session1!#REF!,0),62)</f>
        <v>#REF!</v>
      </c>
      <c r="O690" s="487" t="e">
        <f>INDEX(Commerce_session1!#REF!,MATCH("a",Commerce_session1!#REF!,0),62)</f>
        <v>#REF!</v>
      </c>
    </row>
    <row r="691" spans="1:15" ht="18.75" customHeight="1" thickBot="1">
      <c r="A691" s="550"/>
      <c r="B691" s="501"/>
      <c r="C691" s="504"/>
      <c r="D691" s="507"/>
      <c r="E691" s="451"/>
      <c r="F691" s="101" t="s">
        <v>84</v>
      </c>
      <c r="G691" s="80">
        <v>3</v>
      </c>
      <c r="H691" s="81">
        <v>2</v>
      </c>
      <c r="I691" s="20" t="e">
        <f>INDEX(Commerce_session1!A6:CX792,MATCH("V",Commerce_session1!A6:A792,0),37)</f>
        <v>#N/A</v>
      </c>
      <c r="J691" s="17" t="e">
        <f>INDEX(Commerce_session1!A6:CX792,MATCH("V",Commerce_session1!A6:A792,0),38)</f>
        <v>#N/A</v>
      </c>
      <c r="K691" s="511" t="e">
        <f>INDEX(Commerce_session1!B470:CY512,MATCH("a",Commerce_session1!B470:B512,0),22)</f>
        <v>#N/A</v>
      </c>
      <c r="L691" s="490" t="e">
        <f>INDEX(Commerce_session1!D470:CZ512,MATCH("a",Commerce_session1!D470:D512,0),22)</f>
        <v>#N/A</v>
      </c>
      <c r="M691" s="491" t="e">
        <f>INDEX(Commerce_session1!E470:DA512,MATCH("a",Commerce_session1!E470:E512,0),22)</f>
        <v>#N/A</v>
      </c>
      <c r="N691" s="498" t="e">
        <f>INDEX(Commerce_session1!#REF!,MATCH("a",Commerce_session1!#REF!,0),62)</f>
        <v>#REF!</v>
      </c>
      <c r="O691" s="487" t="e">
        <f>INDEX(Commerce_session1!#REF!,MATCH("a",Commerce_session1!#REF!,0),62)</f>
        <v>#REF!</v>
      </c>
    </row>
    <row r="692" spans="1:15" ht="33.75" customHeight="1" thickTop="1" thickBot="1">
      <c r="A692" s="550"/>
      <c r="B692" s="531" t="s">
        <v>38</v>
      </c>
      <c r="C692" s="559" t="s">
        <v>50</v>
      </c>
      <c r="D692" s="520">
        <v>5</v>
      </c>
      <c r="E692" s="508">
        <v>2</v>
      </c>
      <c r="F692" s="102" t="s">
        <v>63</v>
      </c>
      <c r="G692" s="68">
        <v>4</v>
      </c>
      <c r="H692" s="69">
        <v>1</v>
      </c>
      <c r="I692" s="18" t="e">
        <f>INDEX(Commerce_session1!A6:CX792,MATCH("V",Commerce_session1!A6:A792,0),43)</f>
        <v>#N/A</v>
      </c>
      <c r="J692" s="19" t="e">
        <f>INDEX(Commerce_session1!A6:CX792,MATCH("V",Commerce_session1!A6:A792,0),44)</f>
        <v>#N/A</v>
      </c>
      <c r="K692" s="509" t="e">
        <f>INDEX(Commerce_session1!A6:CX792,MATCH("V",Commerce_session1!A6:A792,0),48)</f>
        <v>#N/A</v>
      </c>
      <c r="L692" s="488" t="e">
        <f>INDEX(Commerce_session1!A6:CX792,MATCH("V",Commerce_session1!A6:A792,0),49)</f>
        <v>#N/A</v>
      </c>
      <c r="M692" s="489" t="e">
        <f>INDEX(Commerce_session1!D470:CZ512,MATCH("a",Commerce_session1!D470:D512,0),29)</f>
        <v>#N/A</v>
      </c>
      <c r="N692" s="498" t="e">
        <f>INDEX(Commerce_session1!#REF!,MATCH("a",Commerce_session1!#REF!,0),62)</f>
        <v>#REF!</v>
      </c>
      <c r="O692" s="487" t="e">
        <f>INDEX(Commerce_session1!#REF!,MATCH("a",Commerce_session1!#REF!,0),62)</f>
        <v>#REF!</v>
      </c>
    </row>
    <row r="693" spans="1:15" ht="18.75" customHeight="1" thickBot="1">
      <c r="A693" s="550"/>
      <c r="B693" s="527"/>
      <c r="C693" s="524"/>
      <c r="D693" s="521"/>
      <c r="E693" s="451"/>
      <c r="F693" s="101" t="s">
        <v>62</v>
      </c>
      <c r="G693" s="80">
        <v>1</v>
      </c>
      <c r="H693" s="81">
        <v>1</v>
      </c>
      <c r="I693" s="16" t="e">
        <f>INDEX(Commerce_session1!A6:CX792,MATCH("V",Commerce_session1!A6:A792,0),46)</f>
        <v>#N/A</v>
      </c>
      <c r="J693" s="21" t="e">
        <f>INDEX(Commerce_session1!A6:CX792,MATCH("V",Commerce_session1!A6:A792,0),47)</f>
        <v>#N/A</v>
      </c>
      <c r="K693" s="511" t="e">
        <f>INDEX(Commerce_session1!B470:CY512,MATCH("a",Commerce_session1!B470:B512,0),28)</f>
        <v>#N/A</v>
      </c>
      <c r="L693" s="490" t="e">
        <f>INDEX(Commerce_session1!D470:CZ512,MATCH("a",Commerce_session1!D470:D512,0),28)</f>
        <v>#N/A</v>
      </c>
      <c r="M693" s="491" t="e">
        <f>INDEX(Commerce_session1!E470:DA512,MATCH("a",Commerce_session1!E470:E512,0),28)</f>
        <v>#N/A</v>
      </c>
      <c r="N693" s="498" t="e">
        <f>INDEX(Commerce_session1!#REF!,MATCH("a",Commerce_session1!#REF!,0),62)</f>
        <v>#REF!</v>
      </c>
      <c r="O693" s="487" t="e">
        <f>INDEX(Commerce_session1!#REF!,MATCH("a",Commerce_session1!#REF!,0),62)</f>
        <v>#REF!</v>
      </c>
    </row>
    <row r="694" spans="1:15" ht="20.25" customHeight="1" thickTop="1" thickBot="1">
      <c r="A694" s="551"/>
      <c r="B694" s="105" t="s">
        <v>39</v>
      </c>
      <c r="C694" s="104" t="s">
        <v>51</v>
      </c>
      <c r="D694" s="22">
        <v>1</v>
      </c>
      <c r="E694" s="23">
        <v>1</v>
      </c>
      <c r="F694" s="103" t="s">
        <v>64</v>
      </c>
      <c r="G694" s="82">
        <v>1</v>
      </c>
      <c r="H694" s="83">
        <v>1</v>
      </c>
      <c r="I694" s="20" t="e">
        <f>INDEX(Commerce_session1!A6:CX792,MATCH("V",Commerce_session1!A6:A792,0),52)</f>
        <v>#N/A</v>
      </c>
      <c r="J694" s="24" t="e">
        <f>INDEX(Commerce_session1!A6:CX792,MATCH("V",Commerce_session1!A6:A792,0),53)</f>
        <v>#N/A</v>
      </c>
      <c r="K694" s="36" t="e">
        <f>INDEX(Commerce_session1!A6:CX792,MATCH("V",Commerce_session1!A6:A792,0),54)</f>
        <v>#N/A</v>
      </c>
      <c r="L694" s="492" t="e">
        <f>INDEX(Commerce_session1!A6:CX792,MATCH("V",Commerce_session1!A6:A792,0),55)</f>
        <v>#N/A</v>
      </c>
      <c r="M694" s="493" t="e">
        <f>INDEX(Commerce_session1!D470:CZ512,MATCH("a",Commerce_session1!D470:D512,0),33)</f>
        <v>#N/A</v>
      </c>
      <c r="N694" s="498" t="e">
        <f>INDEX(Commerce_session1!#REF!,MATCH("a",Commerce_session1!#REF!,0),62)</f>
        <v>#REF!</v>
      </c>
      <c r="O694" s="487" t="e">
        <f>INDEX(Commerce_session1!#REF!,MATCH("a",Commerce_session1!#REF!,0),62)</f>
        <v>#REF!</v>
      </c>
    </row>
    <row r="695" spans="1:15" ht="19.5" customHeight="1" thickTop="1" thickBot="1">
      <c r="A695" s="516" t="s">
        <v>77</v>
      </c>
      <c r="B695" s="525" t="s">
        <v>36</v>
      </c>
      <c r="C695" s="522" t="s">
        <v>88</v>
      </c>
      <c r="D695" s="528">
        <v>16</v>
      </c>
      <c r="E695" s="449">
        <v>5</v>
      </c>
      <c r="F695" s="96" t="s">
        <v>67</v>
      </c>
      <c r="G695" s="114">
        <v>6</v>
      </c>
      <c r="H695" s="115">
        <v>2</v>
      </c>
      <c r="I695" s="18" t="e">
        <f>INDEX(Commerce_session1!A6:CX792,MATCH("V",Commerce_session1!A6:A792,0),60)</f>
        <v>#N/A</v>
      </c>
      <c r="J695" s="19" t="e">
        <f>INDEX(Commerce_session1!A6:CX792,MATCH("V",Commerce_session1!A6:A792,0),61)</f>
        <v>#N/A</v>
      </c>
      <c r="K695" s="519" t="e">
        <f>INDEX(Commerce_session1!A6:CX792,MATCH("V",Commerce_session1!A6:A792,0),70)</f>
        <v>#N/A</v>
      </c>
      <c r="L695" s="494" t="e">
        <f>INDEX(Commerce_session1!A6:CX792,MATCH("V",Commerce_session1!A6:A792,0),71)</f>
        <v>#N/A</v>
      </c>
      <c r="M695" s="495"/>
      <c r="N695" s="498" t="e">
        <f>INDEX(Commerce_session1!A6:CX792,MATCH("V",Commerce_session1!A6:A792,0),97)</f>
        <v>#N/A</v>
      </c>
      <c r="O695" s="487" t="e">
        <f>INDEX(Commerce_session1!A6:CX792,MATCH("V",Commerce_session1!A6:A792,0),98)</f>
        <v>#N/A</v>
      </c>
    </row>
    <row r="696" spans="1:15" ht="18.75" customHeight="1" thickBot="1">
      <c r="A696" s="517"/>
      <c r="B696" s="526"/>
      <c r="C696" s="523"/>
      <c r="D696" s="529"/>
      <c r="E696" s="450"/>
      <c r="F696" s="100" t="s">
        <v>68</v>
      </c>
      <c r="G696" s="116">
        <v>6</v>
      </c>
      <c r="H696" s="117">
        <v>2</v>
      </c>
      <c r="I696" s="14" t="e">
        <f>INDEX(Commerce_session1!A6:CX792,MATCH("V",Commerce_session1!A6:A792,0),64)</f>
        <v>#N/A</v>
      </c>
      <c r="J696" s="15" t="e">
        <f>INDEX(Commerce_session1!A6:CX792,MATCH("V",Commerce_session1!A6:A792,0),65)</f>
        <v>#N/A</v>
      </c>
      <c r="K696" s="510"/>
      <c r="L696" s="496"/>
      <c r="M696" s="497"/>
      <c r="N696" s="498" t="e">
        <f>INDEX(Commerce_session1!F470:DA512,MATCH("a",Commerce_session1!F470:F512,0),42)</f>
        <v>#N/A</v>
      </c>
      <c r="O696" s="487" t="e">
        <f>INDEX(Commerce_session1!G470:DA512,MATCH("a",Commerce_session1!G470:G512,0),42)</f>
        <v>#N/A</v>
      </c>
    </row>
    <row r="697" spans="1:15" ht="20.25" customHeight="1" thickBot="1">
      <c r="A697" s="517"/>
      <c r="B697" s="527"/>
      <c r="C697" s="524"/>
      <c r="D697" s="530"/>
      <c r="E697" s="451"/>
      <c r="F697" s="101" t="s">
        <v>103</v>
      </c>
      <c r="G697" s="118">
        <v>4</v>
      </c>
      <c r="H697" s="119">
        <v>1</v>
      </c>
      <c r="I697" s="127" t="e">
        <f>INDEX(Commerce_session1!A6:CX792,MATCH("V",Commerce_session1!A6:A792,0),68)</f>
        <v>#N/A</v>
      </c>
      <c r="J697" s="21" t="e">
        <f>INDEX(Commerce_session1!A6:CX792,MATCH("V",Commerce_session1!A6:A792,0),69)</f>
        <v>#N/A</v>
      </c>
      <c r="K697" s="511"/>
      <c r="L697" s="490"/>
      <c r="M697" s="491"/>
      <c r="N697" s="498" t="e">
        <f>INDEX(Commerce_session1!F471:DA512,MATCH("a",Commerce_session1!F471:F512,0),42)</f>
        <v>#N/A</v>
      </c>
      <c r="O697" s="487" t="e">
        <f>INDEX(Commerce_session1!G471:DA512,MATCH("a",Commerce_session1!G471:G512,0),42)</f>
        <v>#N/A</v>
      </c>
    </row>
    <row r="698" spans="1:15" ht="22.5" customHeight="1" thickTop="1" thickBot="1">
      <c r="A698" s="517"/>
      <c r="B698" s="531" t="s">
        <v>37</v>
      </c>
      <c r="C698" s="559" t="s">
        <v>87</v>
      </c>
      <c r="D698" s="532">
        <v>10</v>
      </c>
      <c r="E698" s="508">
        <v>4</v>
      </c>
      <c r="F698" s="128" t="s">
        <v>104</v>
      </c>
      <c r="G698" s="76">
        <v>5</v>
      </c>
      <c r="H698" s="77">
        <v>2</v>
      </c>
      <c r="I698" s="18" t="e">
        <f>INDEX(Commerce_session1!A6:CX792,MATCH("V",Commerce_session1!A6:A792,0),74)</f>
        <v>#N/A</v>
      </c>
      <c r="J698" s="19" t="e">
        <f>INDEX(Commerce_session1!A6:CX792,MATCH("V",Commerce_session1!A6:A792,0),75)</f>
        <v>#N/A</v>
      </c>
      <c r="K698" s="509" t="e">
        <f>INDEX(Commerce_session1!A6:CX792,MATCH("V",Commerce_session1!A6:A792,0),80)</f>
        <v>#N/A</v>
      </c>
      <c r="L698" s="488" t="e">
        <f>INDEX(Commerce_session1!A6:CX792,MATCH("V",Commerce_session1!A6:A792,0),81)</f>
        <v>#N/A</v>
      </c>
      <c r="M698" s="489"/>
      <c r="N698" s="498" t="e">
        <f>INDEX(Commerce_session1!E473:DA512,MATCH("a",Commerce_session1!E473:E512,0),43)</f>
        <v>#N/A</v>
      </c>
      <c r="O698" s="487" t="e">
        <f>INDEX(Commerce_session1!F473:DA512,MATCH("a",Commerce_session1!F473:F512,0),43)</f>
        <v>#N/A</v>
      </c>
    </row>
    <row r="699" spans="1:15" ht="18.75" customHeight="1" thickBot="1">
      <c r="A699" s="517"/>
      <c r="B699" s="527"/>
      <c r="C699" s="524"/>
      <c r="D699" s="530"/>
      <c r="E699" s="451"/>
      <c r="F699" s="98" t="s">
        <v>69</v>
      </c>
      <c r="G699" s="74">
        <v>5</v>
      </c>
      <c r="H699" s="75">
        <v>2</v>
      </c>
      <c r="I699" s="20" t="e">
        <f>INDEX(Commerce_session1!A6:CX792,MATCH("V",Commerce_session1!A6:A792,0),78)</f>
        <v>#N/A</v>
      </c>
      <c r="J699" s="17" t="e">
        <f>INDEX(Commerce_session1!A6:CX792,MATCH("V",Commerce_session1!A6:A792,0),79)</f>
        <v>#N/A</v>
      </c>
      <c r="K699" s="511"/>
      <c r="L699" s="490"/>
      <c r="M699" s="491"/>
      <c r="N699" s="498" t="e">
        <f>INDEX(Commerce_session1!F474:DA512,MATCH("a",Commerce_session1!F474:F512,0),42)</f>
        <v>#N/A</v>
      </c>
      <c r="O699" s="487" t="e">
        <f>INDEX(Commerce_session1!G474:DA512,MATCH("a",Commerce_session1!G474:G512,0),42)</f>
        <v>#N/A</v>
      </c>
    </row>
    <row r="700" spans="1:15" ht="18.75" customHeight="1" thickTop="1" thickBot="1">
      <c r="A700" s="517"/>
      <c r="B700" s="105" t="s">
        <v>38</v>
      </c>
      <c r="C700" s="104" t="s">
        <v>85</v>
      </c>
      <c r="D700" s="22">
        <v>3</v>
      </c>
      <c r="E700" s="23">
        <v>2</v>
      </c>
      <c r="F700" s="101" t="s">
        <v>74</v>
      </c>
      <c r="G700" s="74">
        <v>3</v>
      </c>
      <c r="H700" s="75">
        <v>2</v>
      </c>
      <c r="I700" s="20" t="e">
        <f>INDEX(Commerce_session1!A6:CX792,MATCH("V",Commerce_session1!A6:A792,0),84)</f>
        <v>#N/A</v>
      </c>
      <c r="J700" s="17" t="e">
        <f>INDEX(Commerce_session1!A6:CX792,MATCH("V",Commerce_session1!A6:A792,0),85)</f>
        <v>#N/A</v>
      </c>
      <c r="K700" s="123" t="e">
        <f>INDEX(Commerce_session1!A6:CX792,MATCH("V",Commerce_session1!A6:A792,0),86)</f>
        <v>#N/A</v>
      </c>
      <c r="L700" s="512" t="e">
        <f>INDEX(Commerce_session1!A6:CX792,MATCH("V",Commerce_session1!A6:A792,0),87)</f>
        <v>#N/A</v>
      </c>
      <c r="M700" s="513"/>
      <c r="N700" s="498" t="e">
        <f>INDEX(Commerce_session1!F476:DA512,MATCH("a",Commerce_session1!F476:F512,0),42)</f>
        <v>#N/A</v>
      </c>
      <c r="O700" s="487" t="e">
        <f>INDEX(Commerce_session1!G476:DA512,MATCH("a",Commerce_session1!G476:G512,0),42)</f>
        <v>#N/A</v>
      </c>
    </row>
    <row r="701" spans="1:15" ht="20.25" customHeight="1" thickTop="1" thickBot="1">
      <c r="A701" s="518"/>
      <c r="B701" s="105" t="s">
        <v>39</v>
      </c>
      <c r="C701" s="104" t="s">
        <v>86</v>
      </c>
      <c r="D701" s="22">
        <v>1</v>
      </c>
      <c r="E701" s="23">
        <v>1</v>
      </c>
      <c r="F701" s="103" t="s">
        <v>73</v>
      </c>
      <c r="G701" s="82">
        <v>1</v>
      </c>
      <c r="H701" s="83">
        <v>1</v>
      </c>
      <c r="I701" s="25" t="e">
        <f>INDEX(Commerce_session1!A6:CX792,MATCH("V",Commerce_session1!A6:A792,0),89)</f>
        <v>#N/A</v>
      </c>
      <c r="J701" s="26" t="e">
        <f>INDEX(Commerce_session1!A6:CX792,MATCH("V",Commerce_session1!A6:A792,0),90)</f>
        <v>#N/A</v>
      </c>
      <c r="K701" s="27" t="e">
        <f>INDEX(Commerce_session1!A6:CX792,MATCH("V",Commerce_session1!A6:A792,0),91)</f>
        <v>#N/A</v>
      </c>
      <c r="L701" s="514" t="e">
        <f>INDEX(Commerce_session1!A6:CX792,MATCH("V",Commerce_session1!A6:A792,0),92)</f>
        <v>#N/A</v>
      </c>
      <c r="M701" s="515" t="e">
        <f>INDEX(Commerce_session1!D470:CZ512,MATCH("a",Commerce_session1!D470:D512,0),61)</f>
        <v>#N/A</v>
      </c>
      <c r="N701" s="498" t="e">
        <f>INDEX(Commerce_session1!F477:DA512,MATCH("a",Commerce_session1!F477:F512,0),42)</f>
        <v>#N/A</v>
      </c>
      <c r="O701" s="487" t="e">
        <f>INDEX(Commerce_session1!G477:DA512,MATCH("a",Commerce_session1!G477:G512,0),42)</f>
        <v>#N/A</v>
      </c>
    </row>
    <row r="702" spans="1:15" ht="20.25">
      <c r="A702" s="535" t="s">
        <v>40</v>
      </c>
      <c r="B702" s="536"/>
      <c r="C702" s="537"/>
      <c r="D702" s="121" t="e">
        <f>INDEX(Commerce_session1!A6:CX792,MATCH("V",Commerce_session1!A6:A792,0),99)</f>
        <v>#N/A</v>
      </c>
      <c r="E702" s="538" t="s">
        <v>41</v>
      </c>
      <c r="F702" s="540"/>
      <c r="G702" s="120" t="e">
        <f>INDEX(Commerce_session1!A6:CX792,MATCH("V",Commerce_session1!A6:A792,0),100)</f>
        <v>#N/A</v>
      </c>
      <c r="H702" s="538" t="s">
        <v>91</v>
      </c>
      <c r="I702" s="539"/>
      <c r="J702" s="539"/>
      <c r="K702" s="540"/>
      <c r="L702" s="541" t="e">
        <f>INDEX(Commerce_session1!A6:CX792,MATCH("V",Commerce_session1!A6:A792,0),101)</f>
        <v>#N/A</v>
      </c>
      <c r="M702" s="542"/>
      <c r="N702" s="8"/>
      <c r="O702" s="8"/>
    </row>
    <row r="703" spans="1:15" ht="22.5">
      <c r="A703" s="546" t="s">
        <v>42</v>
      </c>
      <c r="B703" s="547"/>
      <c r="C703" s="548"/>
      <c r="D703" s="543" t="e">
        <f>INDEX(Commerce_session1!A6:CX792,MATCH("V",Commerce_session1!A6:A792,0),102)</f>
        <v>#N/A</v>
      </c>
      <c r="E703" s="544"/>
      <c r="F703" s="545"/>
      <c r="G703" s="108"/>
      <c r="H703" s="109"/>
      <c r="I703" s="110"/>
      <c r="J703" s="111"/>
      <c r="K703" s="110"/>
      <c r="L703" s="110"/>
      <c r="M703" s="110"/>
      <c r="N703" s="112" t="s">
        <v>43</v>
      </c>
      <c r="O703" s="28">
        <f ca="1">TODAY()</f>
        <v>43626</v>
      </c>
    </row>
    <row r="704" spans="1:15" ht="32.25" customHeight="1">
      <c r="A704" s="113" t="s">
        <v>44</v>
      </c>
      <c r="B704" s="29"/>
      <c r="C704" s="29"/>
      <c r="D704" s="533"/>
      <c r="E704" s="533"/>
      <c r="F704" s="30"/>
      <c r="G704" s="4"/>
      <c r="J704" s="4"/>
      <c r="L704" s="534" t="s">
        <v>46</v>
      </c>
      <c r="M704" s="534"/>
      <c r="N704" s="534"/>
    </row>
    <row r="705" spans="1:18" ht="23.25" customHeight="1" thickBot="1">
      <c r="A705" s="84" t="s">
        <v>12</v>
      </c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445" t="s">
        <v>13</v>
      </c>
      <c r="M705" s="445"/>
      <c r="N705" s="445"/>
      <c r="O705" s="445"/>
      <c r="P705" s="2"/>
      <c r="Q705" s="2"/>
      <c r="R705" s="2"/>
    </row>
    <row r="706" spans="1:18" ht="15.75">
      <c r="A706" s="446" t="s">
        <v>14</v>
      </c>
      <c r="B706" s="446"/>
      <c r="C706" s="446"/>
      <c r="D706" s="446"/>
      <c r="E706" s="446"/>
      <c r="F706" s="3"/>
      <c r="H706" s="4"/>
      <c r="K706" s="4"/>
      <c r="L706" s="4"/>
    </row>
    <row r="707" spans="1:18" ht="15.75">
      <c r="A707" s="85" t="s">
        <v>15</v>
      </c>
      <c r="B707" s="85"/>
      <c r="C707" s="85"/>
      <c r="D707" s="85"/>
      <c r="E707" s="85"/>
      <c r="F707" s="5"/>
      <c r="H707" s="4"/>
      <c r="K707" s="4"/>
      <c r="L707" s="4"/>
      <c r="P707" s="6"/>
    </row>
    <row r="708" spans="1:18" ht="15.75">
      <c r="A708" s="85" t="s">
        <v>100</v>
      </c>
      <c r="B708" s="85"/>
      <c r="C708" s="85"/>
      <c r="D708" s="85"/>
      <c r="E708" s="85"/>
      <c r="F708" s="3"/>
      <c r="H708" s="4"/>
      <c r="K708" s="4"/>
      <c r="L708" s="4"/>
    </row>
    <row r="709" spans="1:18" s="8" customFormat="1" ht="27" customHeight="1">
      <c r="A709" s="7"/>
      <c r="B709" s="7"/>
      <c r="C709" s="7"/>
      <c r="D709" s="447" t="s">
        <v>94</v>
      </c>
      <c r="E709" s="447"/>
      <c r="F709" s="447"/>
      <c r="G709" s="447"/>
      <c r="H709" s="447"/>
      <c r="I709" s="447"/>
      <c r="J709" s="447"/>
      <c r="K709" s="447"/>
      <c r="L709" s="447"/>
      <c r="M709" s="7"/>
      <c r="N709" s="7"/>
      <c r="O709" s="7"/>
    </row>
    <row r="710" spans="1:18" ht="23.25" customHeight="1">
      <c r="A710" s="126" t="s">
        <v>101</v>
      </c>
      <c r="B710" s="126"/>
      <c r="C710" s="126"/>
      <c r="D710" s="126"/>
      <c r="E710" s="126"/>
      <c r="F710" s="126"/>
      <c r="G710" s="122"/>
      <c r="H710" s="122"/>
      <c r="I710" s="122" t="e">
        <f>IF(D735="ناجح(ة) دورة1","-الدورة الأولى-","-الدورة الثانية-")</f>
        <v>#N/A</v>
      </c>
      <c r="J710" s="124" t="s">
        <v>48</v>
      </c>
      <c r="K710" s="124"/>
      <c r="L710" s="87"/>
      <c r="M710" s="88"/>
      <c r="N710" s="89"/>
      <c r="O710" s="9"/>
    </row>
    <row r="711" spans="1:18" ht="20.25" customHeight="1">
      <c r="A711" s="476" t="s">
        <v>93</v>
      </c>
      <c r="B711" s="476"/>
      <c r="C711" s="90" t="e">
        <f>INDEX(Commerce_session1!A6:CX792,MATCH("W",Commerce_session1!A6:A792,0),3)</f>
        <v>#N/A</v>
      </c>
      <c r="D711" s="91" t="s">
        <v>92</v>
      </c>
      <c r="E711" s="448" t="e">
        <f>INDEX(Commerce_session1!A6:CX792,MATCH("W",Commerce_session1!A6:A792,0),4)</f>
        <v>#N/A</v>
      </c>
      <c r="F711" s="448" t="e">
        <f>INDEX(Commerce_session1!D502:DA796,MATCH("a",Commerce_session1!D502:D796,0),3)</f>
        <v>#N/A</v>
      </c>
      <c r="G711" s="477" t="s">
        <v>16</v>
      </c>
      <c r="H711" s="477"/>
      <c r="I711" s="477"/>
      <c r="J711" s="478" t="e">
        <f>INDEX(Commerce_session1!A6:CX792,MATCH("W",Commerce_session1!A6:A792,0),6)</f>
        <v>#N/A</v>
      </c>
      <c r="K711" s="478"/>
      <c r="L711" s="88"/>
      <c r="M711" s="92" t="s">
        <v>17</v>
      </c>
      <c r="N711" s="90" t="e">
        <f>INDEX(Commerce_session1!A6:CX792,MATCH("W",Commerce_session1!A6:A792,0),7)</f>
        <v>#N/A</v>
      </c>
      <c r="O711" s="10"/>
    </row>
    <row r="712" spans="1:18" ht="20.25" customHeight="1">
      <c r="A712" s="476" t="s">
        <v>18</v>
      </c>
      <c r="B712" s="476"/>
      <c r="C712" s="448" t="e">
        <f>INDEX(Commerce_session1!A6:CX792,MATCH("W",Commerce_session1!A6:A792,0),5)</f>
        <v>#N/A</v>
      </c>
      <c r="D712" s="448"/>
      <c r="E712" s="91"/>
      <c r="F712" s="88"/>
      <c r="G712" s="93"/>
      <c r="H712" s="88"/>
      <c r="I712" s="88"/>
      <c r="J712" s="93"/>
      <c r="K712" s="88"/>
      <c r="L712" s="88"/>
      <c r="M712" s="88"/>
      <c r="N712" s="88"/>
      <c r="O712" s="10"/>
    </row>
    <row r="713" spans="1:18" ht="20.25" customHeight="1">
      <c r="A713" s="476" t="s">
        <v>102</v>
      </c>
      <c r="B713" s="476"/>
      <c r="C713" s="476"/>
      <c r="D713" s="476"/>
      <c r="E713" s="476"/>
      <c r="F713" s="476"/>
      <c r="G713" s="476"/>
      <c r="H713" s="476"/>
      <c r="I713" s="476"/>
      <c r="J713" s="476"/>
      <c r="K713" s="476"/>
      <c r="L713" s="476"/>
      <c r="M713" s="476"/>
      <c r="N713" s="476"/>
      <c r="O713" s="476"/>
    </row>
    <row r="714" spans="1:18" ht="20.25" customHeight="1" thickBot="1">
      <c r="A714" s="459" t="s">
        <v>19</v>
      </c>
      <c r="B714" s="459"/>
      <c r="C714" s="459"/>
      <c r="D714" s="459"/>
      <c r="E714" s="459"/>
      <c r="F714" s="459"/>
      <c r="G714" s="459"/>
      <c r="H714" s="94"/>
      <c r="I714" s="94"/>
      <c r="J714" s="95"/>
      <c r="K714" s="94"/>
      <c r="L714" s="94"/>
      <c r="M714" s="94"/>
      <c r="N714" s="94"/>
      <c r="O714" s="11"/>
    </row>
    <row r="715" spans="1:18" ht="18.75" thickBot="1">
      <c r="A715" s="460" t="s">
        <v>20</v>
      </c>
      <c r="B715" s="463" t="s">
        <v>21</v>
      </c>
      <c r="C715" s="464"/>
      <c r="D715" s="464"/>
      <c r="E715" s="464"/>
      <c r="F715" s="464" t="s">
        <v>22</v>
      </c>
      <c r="G715" s="464"/>
      <c r="H715" s="464"/>
      <c r="I715" s="465" t="s">
        <v>23</v>
      </c>
      <c r="J715" s="466"/>
      <c r="K715" s="466"/>
      <c r="L715" s="466"/>
      <c r="M715" s="466"/>
      <c r="N715" s="466"/>
      <c r="O715" s="467"/>
    </row>
    <row r="716" spans="1:18">
      <c r="A716" s="461"/>
      <c r="B716" s="468" t="s">
        <v>24</v>
      </c>
      <c r="C716" s="470" t="s">
        <v>25</v>
      </c>
      <c r="D716" s="472" t="s">
        <v>26</v>
      </c>
      <c r="E716" s="474" t="s">
        <v>27</v>
      </c>
      <c r="F716" s="479" t="s">
        <v>28</v>
      </c>
      <c r="G716" s="468" t="s">
        <v>11</v>
      </c>
      <c r="H716" s="481" t="s">
        <v>27</v>
      </c>
      <c r="I716" s="482" t="s">
        <v>29</v>
      </c>
      <c r="J716" s="483"/>
      <c r="K716" s="484" t="s">
        <v>30</v>
      </c>
      <c r="L716" s="485"/>
      <c r="M716" s="486"/>
      <c r="N716" s="455" t="s">
        <v>20</v>
      </c>
      <c r="O716" s="456"/>
    </row>
    <row r="717" spans="1:18" ht="15.75" thickBot="1">
      <c r="A717" s="462"/>
      <c r="B717" s="469"/>
      <c r="C717" s="471"/>
      <c r="D717" s="473"/>
      <c r="E717" s="475"/>
      <c r="F717" s="480"/>
      <c r="G717" s="469"/>
      <c r="H717" s="473"/>
      <c r="I717" s="106" t="s">
        <v>10</v>
      </c>
      <c r="J717" s="106" t="s">
        <v>31</v>
      </c>
      <c r="K717" s="106" t="s">
        <v>32</v>
      </c>
      <c r="L717" s="457" t="s">
        <v>33</v>
      </c>
      <c r="M717" s="458"/>
      <c r="N717" s="106" t="s">
        <v>34</v>
      </c>
      <c r="O717" s="107" t="s">
        <v>35</v>
      </c>
    </row>
    <row r="718" spans="1:18" ht="18.75" customHeight="1" thickBot="1">
      <c r="A718" s="549" t="s">
        <v>76</v>
      </c>
      <c r="B718" s="552" t="s">
        <v>36</v>
      </c>
      <c r="C718" s="555" t="s">
        <v>90</v>
      </c>
      <c r="D718" s="556">
        <v>17</v>
      </c>
      <c r="E718" s="449">
        <v>6</v>
      </c>
      <c r="F718" s="96" t="s">
        <v>54</v>
      </c>
      <c r="G718" s="70">
        <v>5</v>
      </c>
      <c r="H718" s="71">
        <v>2</v>
      </c>
      <c r="I718" s="12" t="e">
        <f>INDEX(Commerce_session1!A6:CX792,MATCH("W",Commerce_session1!A6:A792,0),16)</f>
        <v>#N/A</v>
      </c>
      <c r="J718" s="13" t="e">
        <f>INDEX(Commerce_session1!A6:CX792,MATCH("W",Commerce_session1!A6:A792,0),17)</f>
        <v>#N/A</v>
      </c>
      <c r="K718" s="452" t="e">
        <f>INDEX(Commerce_session1!A6:CX792,MATCH("W",Commerce_session1!A6:A792,0),26)</f>
        <v>#N/A</v>
      </c>
      <c r="L718" s="494" t="e">
        <f>INDEX(Commerce_session1!A6:CX792,MATCH("W",Commerce_session1!A6:A792,0),27)</f>
        <v>#N/A</v>
      </c>
      <c r="M718" s="495" t="e">
        <f>INDEX(Commerce_session1!D502:CZ544,MATCH("a",Commerce_session1!D502:D544,0),15)</f>
        <v>#N/A</v>
      </c>
      <c r="N718" s="498" t="e">
        <f>INDEX(Commerce_session1!A6:CX792,MATCH("W",Commerce_session1!A6:A792,0),95)</f>
        <v>#N/A</v>
      </c>
      <c r="O718" s="487" t="e">
        <f>INDEX(Commerce_session1!A6:CX792,MATCH("W",Commerce_session1!A6:A792,0),96)</f>
        <v>#N/A</v>
      </c>
    </row>
    <row r="719" spans="1:18" ht="18.75" customHeight="1" thickBot="1">
      <c r="A719" s="550"/>
      <c r="B719" s="553"/>
      <c r="C719" s="503"/>
      <c r="D719" s="557"/>
      <c r="E719" s="450"/>
      <c r="F719" s="97" t="s">
        <v>55</v>
      </c>
      <c r="G719" s="72">
        <v>6</v>
      </c>
      <c r="H719" s="73">
        <v>2</v>
      </c>
      <c r="I719" s="14" t="e">
        <f>INDEX(Commerce_session1!A6:CX792,MATCH("W",Commerce_session1!A6:A792,0),20)</f>
        <v>#N/A</v>
      </c>
      <c r="J719" s="15" t="e">
        <f>INDEX(Commerce_session1!A6:CX792,MATCH("W",Commerce_session1!A6:A792,0),21)</f>
        <v>#N/A</v>
      </c>
      <c r="K719" s="453" t="e">
        <f>INDEX(Commerce_session1!B502:CY544,MATCH("a",Commerce_session1!B502:B544,0),14)</f>
        <v>#N/A</v>
      </c>
      <c r="L719" s="496" t="e">
        <f>INDEX(Commerce_session1!D502:CZ544,MATCH("a",Commerce_session1!D502:D544,0),14)</f>
        <v>#N/A</v>
      </c>
      <c r="M719" s="497" t="e">
        <f>INDEX(Commerce_session1!E502:DA544,MATCH("a",Commerce_session1!E502:E544,0),14)</f>
        <v>#N/A</v>
      </c>
      <c r="N719" s="498" t="e">
        <f>INDEX(Commerce_session1!#REF!,MATCH("a",Commerce_session1!#REF!,0),62)</f>
        <v>#REF!</v>
      </c>
      <c r="O719" s="487" t="e">
        <f>INDEX(Commerce_session1!#REF!,MATCH("a",Commerce_session1!#REF!,0),62)</f>
        <v>#REF!</v>
      </c>
    </row>
    <row r="720" spans="1:18" ht="18.75" customHeight="1" thickBot="1">
      <c r="A720" s="550"/>
      <c r="B720" s="554"/>
      <c r="C720" s="504"/>
      <c r="D720" s="558"/>
      <c r="E720" s="451"/>
      <c r="F720" s="98" t="s">
        <v>56</v>
      </c>
      <c r="G720" s="74">
        <v>6</v>
      </c>
      <c r="H720" s="75">
        <v>2</v>
      </c>
      <c r="I720" s="16" t="e">
        <f>INDEX(Commerce_session1!A6:CX792,MATCH("W",Commerce_session1!A6:A792,0),24)</f>
        <v>#N/A</v>
      </c>
      <c r="J720" s="17" t="e">
        <f>INDEX(Commerce_session1!A6:CX792,MATCH("W",Commerce_session1!A6:A792,0),25)</f>
        <v>#N/A</v>
      </c>
      <c r="K720" s="454" t="e">
        <f>INDEX(Commerce_session1!B504:CY544,MATCH("a",Commerce_session1!B504:B544,0),14)</f>
        <v>#N/A</v>
      </c>
      <c r="L720" s="490" t="e">
        <f>INDEX(Commerce_session1!D504:CZ544,MATCH("a",Commerce_session1!D504:D544,0),14)</f>
        <v>#N/A</v>
      </c>
      <c r="M720" s="491" t="e">
        <f>INDEX(Commerce_session1!E504:DA544,MATCH("a",Commerce_session1!E504:E544,0),14)</f>
        <v>#N/A</v>
      </c>
      <c r="N720" s="498" t="e">
        <f>INDEX(Commerce_session1!#REF!,MATCH("a",Commerce_session1!#REF!,0),62)</f>
        <v>#REF!</v>
      </c>
      <c r="O720" s="487" t="e">
        <f>INDEX(Commerce_session1!#REF!,MATCH("a",Commerce_session1!#REF!,0),62)</f>
        <v>#REF!</v>
      </c>
    </row>
    <row r="721" spans="1:15" ht="19.5" customHeight="1" thickTop="1" thickBot="1">
      <c r="A721" s="550"/>
      <c r="B721" s="499" t="s">
        <v>37</v>
      </c>
      <c r="C721" s="502" t="s">
        <v>89</v>
      </c>
      <c r="D721" s="505">
        <v>7</v>
      </c>
      <c r="E721" s="508">
        <v>5</v>
      </c>
      <c r="F721" s="99" t="s">
        <v>83</v>
      </c>
      <c r="G721" s="76">
        <v>1</v>
      </c>
      <c r="H721" s="77">
        <v>1</v>
      </c>
      <c r="I721" s="18" t="e">
        <f>INDEX(Commerce_session1!A6:CX792,MATCH("W",Commerce_session1!A6:A792,0),29)</f>
        <v>#N/A</v>
      </c>
      <c r="J721" s="19" t="e">
        <f>INDEX(Commerce_session1!A6:CX792,MATCH("W",Commerce_session1!A6:A792,0),30)</f>
        <v>#N/A</v>
      </c>
      <c r="K721" s="509" t="e">
        <f>INDEX(Commerce_session1!A6:CX792,MATCH("W",Commerce_session1!A6:A792,0),39)</f>
        <v>#N/A</v>
      </c>
      <c r="L721" s="488" t="e">
        <f>INDEX(Commerce_session1!A6:CX792,MATCH("W",Commerce_session1!A6:A792,0),40)</f>
        <v>#N/A</v>
      </c>
      <c r="M721" s="489" t="e">
        <f>INDEX(Commerce_session1!D502:CZ544,MATCH("a",Commerce_session1!D502:D544,0),23)</f>
        <v>#N/A</v>
      </c>
      <c r="N721" s="498" t="e">
        <f>INDEX(Commerce_session1!#REF!,MATCH("a",Commerce_session1!#REF!,0),62)</f>
        <v>#REF!</v>
      </c>
      <c r="O721" s="487" t="e">
        <f>INDEX(Commerce_session1!#REF!,MATCH("a",Commerce_session1!#REF!,0),62)</f>
        <v>#REF!</v>
      </c>
    </row>
    <row r="722" spans="1:15" ht="18.75" customHeight="1" thickTop="1" thickBot="1">
      <c r="A722" s="550"/>
      <c r="B722" s="500"/>
      <c r="C722" s="503"/>
      <c r="D722" s="506"/>
      <c r="E722" s="450"/>
      <c r="F722" s="100" t="s">
        <v>99</v>
      </c>
      <c r="G722" s="78">
        <v>3</v>
      </c>
      <c r="H722" s="79">
        <v>2</v>
      </c>
      <c r="I722" s="18" t="e">
        <f>INDEX(Commerce_session1!A6:CX792,MATCH("W",Commerce_session1!A6:A792,0),33)</f>
        <v>#N/A</v>
      </c>
      <c r="J722" s="15" t="e">
        <f>INDEX(Commerce_session1!A6:CX792,MATCH("W",Commerce_session1!A6:A792,0),34)</f>
        <v>#N/A</v>
      </c>
      <c r="K722" s="510" t="e">
        <f>INDEX(Commerce_session1!B501:CY544,MATCH("a",Commerce_session1!B501:B544,0),22)</f>
        <v>#N/A</v>
      </c>
      <c r="L722" s="496" t="e">
        <f>INDEX(Commerce_session1!D501:CZ544,MATCH("a",Commerce_session1!D501:D544,0),22)</f>
        <v>#N/A</v>
      </c>
      <c r="M722" s="497" t="e">
        <f>INDEX(Commerce_session1!E501:DA544,MATCH("a",Commerce_session1!E501:E544,0),22)</f>
        <v>#N/A</v>
      </c>
      <c r="N722" s="498" t="e">
        <f>INDEX(Commerce_session1!#REF!,MATCH("a",Commerce_session1!#REF!,0),62)</f>
        <v>#REF!</v>
      </c>
      <c r="O722" s="487" t="e">
        <f>INDEX(Commerce_session1!#REF!,MATCH("a",Commerce_session1!#REF!,0),62)</f>
        <v>#REF!</v>
      </c>
    </row>
    <row r="723" spans="1:15" ht="18.75" customHeight="1" thickBot="1">
      <c r="A723" s="550"/>
      <c r="B723" s="501"/>
      <c r="C723" s="504"/>
      <c r="D723" s="507"/>
      <c r="E723" s="451"/>
      <c r="F723" s="101" t="s">
        <v>84</v>
      </c>
      <c r="G723" s="80">
        <v>3</v>
      </c>
      <c r="H723" s="81">
        <v>2</v>
      </c>
      <c r="I723" s="20" t="e">
        <f>INDEX(Commerce_session1!A6:CX792,MATCH("W",Commerce_session1!A6:A792,0),37)</f>
        <v>#N/A</v>
      </c>
      <c r="J723" s="17" t="e">
        <f>INDEX(Commerce_session1!A6:CX792,MATCH("W",Commerce_session1!A6:A792,0),38)</f>
        <v>#N/A</v>
      </c>
      <c r="K723" s="511" t="e">
        <f>INDEX(Commerce_session1!B502:CY544,MATCH("a",Commerce_session1!B502:B544,0),22)</f>
        <v>#N/A</v>
      </c>
      <c r="L723" s="490" t="e">
        <f>INDEX(Commerce_session1!D502:CZ544,MATCH("a",Commerce_session1!D502:D544,0),22)</f>
        <v>#N/A</v>
      </c>
      <c r="M723" s="491" t="e">
        <f>INDEX(Commerce_session1!E502:DA544,MATCH("a",Commerce_session1!E502:E544,0),22)</f>
        <v>#N/A</v>
      </c>
      <c r="N723" s="498" t="e">
        <f>INDEX(Commerce_session1!#REF!,MATCH("a",Commerce_session1!#REF!,0),62)</f>
        <v>#REF!</v>
      </c>
      <c r="O723" s="487" t="e">
        <f>INDEX(Commerce_session1!#REF!,MATCH("a",Commerce_session1!#REF!,0),62)</f>
        <v>#REF!</v>
      </c>
    </row>
    <row r="724" spans="1:15" ht="33.75" customHeight="1" thickTop="1" thickBot="1">
      <c r="A724" s="550"/>
      <c r="B724" s="531" t="s">
        <v>38</v>
      </c>
      <c r="C724" s="559" t="s">
        <v>50</v>
      </c>
      <c r="D724" s="520">
        <v>5</v>
      </c>
      <c r="E724" s="508">
        <v>2</v>
      </c>
      <c r="F724" s="102" t="s">
        <v>63</v>
      </c>
      <c r="G724" s="68">
        <v>4</v>
      </c>
      <c r="H724" s="69">
        <v>1</v>
      </c>
      <c r="I724" s="18" t="e">
        <f>INDEX(Commerce_session1!A6:CX792,MATCH("W",Commerce_session1!A6:A792,0),43)</f>
        <v>#N/A</v>
      </c>
      <c r="J724" s="19" t="e">
        <f>INDEX(Commerce_session1!A6:CX792,MATCH("W",Commerce_session1!A6:A792,0),44)</f>
        <v>#N/A</v>
      </c>
      <c r="K724" s="509" t="e">
        <f>INDEX(Commerce_session1!A6:CX792,MATCH("W",Commerce_session1!A6:A792,0),48)</f>
        <v>#N/A</v>
      </c>
      <c r="L724" s="488" t="e">
        <f>INDEX(Commerce_session1!A6:CX792,MATCH("W",Commerce_session1!A6:A792,0),49)</f>
        <v>#N/A</v>
      </c>
      <c r="M724" s="489" t="e">
        <f>INDEX(Commerce_session1!D502:CZ544,MATCH("a",Commerce_session1!D502:D544,0),29)</f>
        <v>#N/A</v>
      </c>
      <c r="N724" s="498" t="e">
        <f>INDEX(Commerce_session1!#REF!,MATCH("a",Commerce_session1!#REF!,0),62)</f>
        <v>#REF!</v>
      </c>
      <c r="O724" s="487" t="e">
        <f>INDEX(Commerce_session1!#REF!,MATCH("a",Commerce_session1!#REF!,0),62)</f>
        <v>#REF!</v>
      </c>
    </row>
    <row r="725" spans="1:15" ht="18.75" customHeight="1" thickBot="1">
      <c r="A725" s="550"/>
      <c r="B725" s="527"/>
      <c r="C725" s="524"/>
      <c r="D725" s="521"/>
      <c r="E725" s="451"/>
      <c r="F725" s="101" t="s">
        <v>62</v>
      </c>
      <c r="G725" s="80">
        <v>1</v>
      </c>
      <c r="H725" s="81">
        <v>1</v>
      </c>
      <c r="I725" s="16" t="e">
        <f>INDEX(Commerce_session1!A6:CX792,MATCH("W",Commerce_session1!A6:A792,0),46)</f>
        <v>#N/A</v>
      </c>
      <c r="J725" s="21" t="e">
        <f>INDEX(Commerce_session1!A6:CX792,MATCH("W",Commerce_session1!A6:A792,0),47)</f>
        <v>#N/A</v>
      </c>
      <c r="K725" s="511" t="e">
        <f>INDEX(Commerce_session1!B502:CY544,MATCH("a",Commerce_session1!B502:B544,0),28)</f>
        <v>#N/A</v>
      </c>
      <c r="L725" s="490" t="e">
        <f>INDEX(Commerce_session1!D502:CZ544,MATCH("a",Commerce_session1!D502:D544,0),28)</f>
        <v>#N/A</v>
      </c>
      <c r="M725" s="491" t="e">
        <f>INDEX(Commerce_session1!E502:DA544,MATCH("a",Commerce_session1!E502:E544,0),28)</f>
        <v>#N/A</v>
      </c>
      <c r="N725" s="498" t="e">
        <f>INDEX(Commerce_session1!#REF!,MATCH("a",Commerce_session1!#REF!,0),62)</f>
        <v>#REF!</v>
      </c>
      <c r="O725" s="487" t="e">
        <f>INDEX(Commerce_session1!#REF!,MATCH("a",Commerce_session1!#REF!,0),62)</f>
        <v>#REF!</v>
      </c>
    </row>
    <row r="726" spans="1:15" ht="20.25" customHeight="1" thickTop="1" thickBot="1">
      <c r="A726" s="551"/>
      <c r="B726" s="105" t="s">
        <v>39</v>
      </c>
      <c r="C726" s="104" t="s">
        <v>51</v>
      </c>
      <c r="D726" s="22">
        <v>1</v>
      </c>
      <c r="E726" s="23">
        <v>1</v>
      </c>
      <c r="F726" s="103" t="s">
        <v>64</v>
      </c>
      <c r="G726" s="82">
        <v>1</v>
      </c>
      <c r="H726" s="83">
        <v>1</v>
      </c>
      <c r="I726" s="20" t="e">
        <f>INDEX(Commerce_session1!A6:CX792,MATCH("W",Commerce_session1!A6:A792,0),52)</f>
        <v>#N/A</v>
      </c>
      <c r="J726" s="24" t="e">
        <f>INDEX(Commerce_session1!A6:CX792,MATCH("W",Commerce_session1!A6:A792,0),53)</f>
        <v>#N/A</v>
      </c>
      <c r="K726" s="36" t="e">
        <f>INDEX(Commerce_session1!A6:CX792,MATCH("W",Commerce_session1!A6:A792,0),54)</f>
        <v>#N/A</v>
      </c>
      <c r="L726" s="492" t="e">
        <f>INDEX(Commerce_session1!A6:CX792,MATCH("W",Commerce_session1!A6:A792,0),55)</f>
        <v>#N/A</v>
      </c>
      <c r="M726" s="493" t="e">
        <f>INDEX(Commerce_session1!D502:CZ544,MATCH("a",Commerce_session1!D502:D544,0),33)</f>
        <v>#N/A</v>
      </c>
      <c r="N726" s="498" t="e">
        <f>INDEX(Commerce_session1!#REF!,MATCH("a",Commerce_session1!#REF!,0),62)</f>
        <v>#REF!</v>
      </c>
      <c r="O726" s="487" t="e">
        <f>INDEX(Commerce_session1!#REF!,MATCH("a",Commerce_session1!#REF!,0),62)</f>
        <v>#REF!</v>
      </c>
    </row>
    <row r="727" spans="1:15" ht="19.5" customHeight="1" thickTop="1" thickBot="1">
      <c r="A727" s="516" t="s">
        <v>77</v>
      </c>
      <c r="B727" s="525" t="s">
        <v>36</v>
      </c>
      <c r="C727" s="522" t="s">
        <v>88</v>
      </c>
      <c r="D727" s="528">
        <v>16</v>
      </c>
      <c r="E727" s="449">
        <v>5</v>
      </c>
      <c r="F727" s="96" t="s">
        <v>67</v>
      </c>
      <c r="G727" s="114">
        <v>6</v>
      </c>
      <c r="H727" s="115">
        <v>2</v>
      </c>
      <c r="I727" s="18" t="e">
        <f>INDEX(Commerce_session1!A6:CX792,MATCH("W",Commerce_session1!A6:A792,0),60)</f>
        <v>#N/A</v>
      </c>
      <c r="J727" s="19" t="e">
        <f>INDEX(Commerce_session1!A6:CX792,MATCH("W",Commerce_session1!A6:A792,0),61)</f>
        <v>#N/A</v>
      </c>
      <c r="K727" s="519" t="e">
        <f>INDEX(Commerce_session1!A6:CX792,MATCH("W",Commerce_session1!A6:A792,0),70)</f>
        <v>#N/A</v>
      </c>
      <c r="L727" s="494" t="e">
        <f>INDEX(Commerce_session1!A6:CX792,MATCH("W",Commerce_session1!A6:A792,0),71)</f>
        <v>#N/A</v>
      </c>
      <c r="M727" s="495"/>
      <c r="N727" s="498" t="e">
        <f>INDEX(Commerce_session1!A6:CX792,MATCH("W",Commerce_session1!A6:A792,0),97)</f>
        <v>#N/A</v>
      </c>
      <c r="O727" s="487" t="e">
        <f>INDEX(Commerce_session1!A6:CX792,MATCH("W",Commerce_session1!A6:A792,0),98)</f>
        <v>#N/A</v>
      </c>
    </row>
    <row r="728" spans="1:15" ht="18.75" customHeight="1" thickBot="1">
      <c r="A728" s="517"/>
      <c r="B728" s="526"/>
      <c r="C728" s="523"/>
      <c r="D728" s="529"/>
      <c r="E728" s="450"/>
      <c r="F728" s="100" t="s">
        <v>68</v>
      </c>
      <c r="G728" s="116">
        <v>6</v>
      </c>
      <c r="H728" s="117">
        <v>2</v>
      </c>
      <c r="I728" s="14" t="e">
        <f>INDEX(Commerce_session1!A6:CX792,MATCH("W",Commerce_session1!A6:A792,0),64)</f>
        <v>#N/A</v>
      </c>
      <c r="J728" s="15" t="e">
        <f>INDEX(Commerce_session1!A6:CX792,MATCH("W",Commerce_session1!A6:A792,0),65)</f>
        <v>#N/A</v>
      </c>
      <c r="K728" s="510"/>
      <c r="L728" s="496"/>
      <c r="M728" s="497"/>
      <c r="N728" s="498" t="e">
        <f>INDEX(Commerce_session1!F502:DA544,MATCH("a",Commerce_session1!F502:F544,0),42)</f>
        <v>#N/A</v>
      </c>
      <c r="O728" s="487" t="e">
        <f>INDEX(Commerce_session1!G502:DA544,MATCH("a",Commerce_session1!G502:G544,0),42)</f>
        <v>#N/A</v>
      </c>
    </row>
    <row r="729" spans="1:15" ht="20.25" customHeight="1" thickBot="1">
      <c r="A729" s="517"/>
      <c r="B729" s="527"/>
      <c r="C729" s="524"/>
      <c r="D729" s="530"/>
      <c r="E729" s="451"/>
      <c r="F729" s="101" t="s">
        <v>103</v>
      </c>
      <c r="G729" s="118">
        <v>4</v>
      </c>
      <c r="H729" s="119">
        <v>1</v>
      </c>
      <c r="I729" s="127" t="e">
        <f>INDEX(Commerce_session1!A6:CX792,MATCH("W",Commerce_session1!A6:A792,0),68)</f>
        <v>#N/A</v>
      </c>
      <c r="J729" s="21" t="e">
        <f>INDEX(Commerce_session1!A6:CX792,MATCH("W",Commerce_session1!A6:A792,0),69)</f>
        <v>#N/A</v>
      </c>
      <c r="K729" s="511"/>
      <c r="L729" s="490"/>
      <c r="M729" s="491"/>
      <c r="N729" s="498" t="e">
        <f>INDEX(Commerce_session1!F503:DA544,MATCH("a",Commerce_session1!F503:F544,0),42)</f>
        <v>#N/A</v>
      </c>
      <c r="O729" s="487" t="e">
        <f>INDEX(Commerce_session1!G503:DA544,MATCH("a",Commerce_session1!G503:G544,0),42)</f>
        <v>#N/A</v>
      </c>
    </row>
    <row r="730" spans="1:15" ht="22.5" customHeight="1" thickTop="1" thickBot="1">
      <c r="A730" s="517"/>
      <c r="B730" s="531" t="s">
        <v>37</v>
      </c>
      <c r="C730" s="559" t="s">
        <v>87</v>
      </c>
      <c r="D730" s="532">
        <v>10</v>
      </c>
      <c r="E730" s="508">
        <v>4</v>
      </c>
      <c r="F730" s="128" t="s">
        <v>104</v>
      </c>
      <c r="G730" s="76">
        <v>5</v>
      </c>
      <c r="H730" s="77">
        <v>2</v>
      </c>
      <c r="I730" s="18" t="e">
        <f>INDEX(Commerce_session1!A6:CX792,MATCH("W",Commerce_session1!A6:A792,0),74)</f>
        <v>#N/A</v>
      </c>
      <c r="J730" s="19" t="e">
        <f>INDEX(Commerce_session1!A6:CX792,MATCH("W",Commerce_session1!A6:A792,0),75)</f>
        <v>#N/A</v>
      </c>
      <c r="K730" s="509" t="e">
        <f>INDEX(Commerce_session1!A6:CX792,MATCH("W",Commerce_session1!A6:A792,0),80)</f>
        <v>#N/A</v>
      </c>
      <c r="L730" s="488" t="e">
        <f>INDEX(Commerce_session1!A6:CX792,MATCH("W",Commerce_session1!A6:A792,0),81)</f>
        <v>#N/A</v>
      </c>
      <c r="M730" s="489"/>
      <c r="N730" s="498" t="e">
        <f>INDEX(Commerce_session1!E505:DA544,MATCH("a",Commerce_session1!E505:E544,0),43)</f>
        <v>#N/A</v>
      </c>
      <c r="O730" s="487" t="e">
        <f>INDEX(Commerce_session1!F505:DA544,MATCH("a",Commerce_session1!F505:F544,0),43)</f>
        <v>#N/A</v>
      </c>
    </row>
    <row r="731" spans="1:15" ht="18.75" customHeight="1" thickBot="1">
      <c r="A731" s="517"/>
      <c r="B731" s="527"/>
      <c r="C731" s="524"/>
      <c r="D731" s="530"/>
      <c r="E731" s="451"/>
      <c r="F731" s="98" t="s">
        <v>69</v>
      </c>
      <c r="G731" s="74">
        <v>5</v>
      </c>
      <c r="H731" s="75">
        <v>2</v>
      </c>
      <c r="I731" s="20" t="e">
        <f>INDEX(Commerce_session1!A6:CX792,MATCH("W",Commerce_session1!A6:A792,0),78)</f>
        <v>#N/A</v>
      </c>
      <c r="J731" s="17" t="e">
        <f>INDEX(Commerce_session1!A6:CX792,MATCH("W",Commerce_session1!A6:A792,0),79)</f>
        <v>#N/A</v>
      </c>
      <c r="K731" s="511"/>
      <c r="L731" s="490"/>
      <c r="M731" s="491"/>
      <c r="N731" s="498" t="e">
        <f>INDEX(Commerce_session1!F506:DA544,MATCH("a",Commerce_session1!F506:F544,0),42)</f>
        <v>#N/A</v>
      </c>
      <c r="O731" s="487" t="e">
        <f>INDEX(Commerce_session1!G506:DA544,MATCH("a",Commerce_session1!G506:G544,0),42)</f>
        <v>#N/A</v>
      </c>
    </row>
    <row r="732" spans="1:15" ht="18.75" customHeight="1" thickTop="1" thickBot="1">
      <c r="A732" s="517"/>
      <c r="B732" s="105" t="s">
        <v>38</v>
      </c>
      <c r="C732" s="104" t="s">
        <v>85</v>
      </c>
      <c r="D732" s="22">
        <v>3</v>
      </c>
      <c r="E732" s="23">
        <v>2</v>
      </c>
      <c r="F732" s="101" t="s">
        <v>74</v>
      </c>
      <c r="G732" s="74">
        <v>3</v>
      </c>
      <c r="H732" s="75">
        <v>2</v>
      </c>
      <c r="I732" s="20" t="e">
        <f>INDEX(Commerce_session1!A6:CX792,MATCH("W",Commerce_session1!A6:A792,0),84)</f>
        <v>#N/A</v>
      </c>
      <c r="J732" s="17" t="e">
        <f>INDEX(Commerce_session1!A6:CX792,MATCH("W",Commerce_session1!A6:A792,0),85)</f>
        <v>#N/A</v>
      </c>
      <c r="K732" s="123" t="e">
        <f>INDEX(Commerce_session1!A6:CX792,MATCH("W",Commerce_session1!A6:A792,0),86)</f>
        <v>#N/A</v>
      </c>
      <c r="L732" s="512" t="e">
        <f>INDEX(Commerce_session1!A6:CX792,MATCH("W",Commerce_session1!A6:A792,0),87)</f>
        <v>#N/A</v>
      </c>
      <c r="M732" s="513"/>
      <c r="N732" s="498" t="e">
        <f>INDEX(Commerce_session1!F508:DA544,MATCH("a",Commerce_session1!F508:F544,0),42)</f>
        <v>#N/A</v>
      </c>
      <c r="O732" s="487" t="e">
        <f>INDEX(Commerce_session1!G508:DA544,MATCH("a",Commerce_session1!G508:G544,0),42)</f>
        <v>#N/A</v>
      </c>
    </row>
    <row r="733" spans="1:15" ht="20.25" customHeight="1" thickTop="1" thickBot="1">
      <c r="A733" s="518"/>
      <c r="B733" s="105" t="s">
        <v>39</v>
      </c>
      <c r="C733" s="104" t="s">
        <v>86</v>
      </c>
      <c r="D733" s="22">
        <v>1</v>
      </c>
      <c r="E733" s="23">
        <v>1</v>
      </c>
      <c r="F733" s="103" t="s">
        <v>73</v>
      </c>
      <c r="G733" s="82">
        <v>1</v>
      </c>
      <c r="H733" s="83">
        <v>1</v>
      </c>
      <c r="I733" s="25" t="e">
        <f>INDEX(Commerce_session1!A6:CX792,MATCH("W",Commerce_session1!A6:A792,0),89)</f>
        <v>#N/A</v>
      </c>
      <c r="J733" s="26" t="e">
        <f>INDEX(Commerce_session1!A6:CX792,MATCH("W",Commerce_session1!A6:A792,0),90)</f>
        <v>#N/A</v>
      </c>
      <c r="K733" s="27" t="e">
        <f>INDEX(Commerce_session1!A6:CX792,MATCH("W",Commerce_session1!A6:A792,0),91)</f>
        <v>#N/A</v>
      </c>
      <c r="L733" s="514" t="e">
        <f>INDEX(Commerce_session1!A6:CX792,MATCH("W",Commerce_session1!A6:A792,0),92)</f>
        <v>#N/A</v>
      </c>
      <c r="M733" s="515" t="e">
        <f>INDEX(Commerce_session1!D502:CZ544,MATCH("a",Commerce_session1!D502:D544,0),61)</f>
        <v>#N/A</v>
      </c>
      <c r="N733" s="498" t="e">
        <f>INDEX(Commerce_session1!F509:DA544,MATCH("a",Commerce_session1!F509:F544,0),42)</f>
        <v>#N/A</v>
      </c>
      <c r="O733" s="487" t="e">
        <f>INDEX(Commerce_session1!G509:DA544,MATCH("a",Commerce_session1!G509:G544,0),42)</f>
        <v>#N/A</v>
      </c>
    </row>
    <row r="734" spans="1:15" ht="20.25">
      <c r="A734" s="535" t="s">
        <v>40</v>
      </c>
      <c r="B734" s="536"/>
      <c r="C734" s="537"/>
      <c r="D734" s="121" t="e">
        <f>INDEX(Commerce_session1!A6:CX792,MATCH("W",Commerce_session1!A6:A792,0),99)</f>
        <v>#N/A</v>
      </c>
      <c r="E734" s="538" t="s">
        <v>41</v>
      </c>
      <c r="F734" s="540"/>
      <c r="G734" s="120" t="e">
        <f>INDEX(Commerce_session1!A6:CX792,MATCH("W",Commerce_session1!A6:A792,0),100)</f>
        <v>#N/A</v>
      </c>
      <c r="H734" s="538" t="s">
        <v>91</v>
      </c>
      <c r="I734" s="539"/>
      <c r="J734" s="539"/>
      <c r="K734" s="540"/>
      <c r="L734" s="541" t="e">
        <f>INDEX(Commerce_session1!A6:CX792,MATCH("W",Commerce_session1!A6:A792,0),101)</f>
        <v>#N/A</v>
      </c>
      <c r="M734" s="542"/>
      <c r="N734" s="8"/>
      <c r="O734" s="8"/>
    </row>
    <row r="735" spans="1:15" ht="22.5">
      <c r="A735" s="546" t="s">
        <v>42</v>
      </c>
      <c r="B735" s="547"/>
      <c r="C735" s="548"/>
      <c r="D735" s="543" t="e">
        <f>INDEX(Commerce_session1!A6:CX792,MATCH("W",Commerce_session1!A6:A792,0),102)</f>
        <v>#N/A</v>
      </c>
      <c r="E735" s="544"/>
      <c r="F735" s="545"/>
      <c r="G735" s="108"/>
      <c r="H735" s="109"/>
      <c r="I735" s="110"/>
      <c r="J735" s="111"/>
      <c r="K735" s="110"/>
      <c r="L735" s="110"/>
      <c r="M735" s="110"/>
      <c r="N735" s="112" t="s">
        <v>43</v>
      </c>
      <c r="O735" s="28">
        <f ca="1">TODAY()</f>
        <v>43626</v>
      </c>
    </row>
    <row r="736" spans="1:15" ht="32.25" customHeight="1">
      <c r="A736" s="113" t="s">
        <v>44</v>
      </c>
      <c r="B736" s="29"/>
      <c r="C736" s="29"/>
      <c r="D736" s="533"/>
      <c r="E736" s="533"/>
      <c r="F736" s="30"/>
      <c r="G736" s="4"/>
      <c r="J736" s="4"/>
      <c r="L736" s="534" t="s">
        <v>46</v>
      </c>
      <c r="M736" s="534"/>
      <c r="N736" s="534"/>
    </row>
    <row r="737" spans="1:18" ht="23.25" customHeight="1" thickBot="1">
      <c r="A737" s="84" t="s">
        <v>12</v>
      </c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445" t="s">
        <v>13</v>
      </c>
      <c r="M737" s="445"/>
      <c r="N737" s="445"/>
      <c r="O737" s="445"/>
      <c r="P737" s="2"/>
      <c r="Q737" s="2"/>
      <c r="R737" s="2"/>
    </row>
    <row r="738" spans="1:18" ht="15.75">
      <c r="A738" s="446" t="s">
        <v>14</v>
      </c>
      <c r="B738" s="446"/>
      <c r="C738" s="446"/>
      <c r="D738" s="446"/>
      <c r="E738" s="446"/>
      <c r="F738" s="3"/>
      <c r="H738" s="4"/>
      <c r="K738" s="4"/>
      <c r="L738" s="4"/>
    </row>
    <row r="739" spans="1:18" ht="15.75">
      <c r="A739" s="85" t="s">
        <v>15</v>
      </c>
      <c r="B739" s="85"/>
      <c r="C739" s="85"/>
      <c r="D739" s="85"/>
      <c r="E739" s="85"/>
      <c r="F739" s="5"/>
      <c r="H739" s="4"/>
      <c r="K739" s="4"/>
      <c r="L739" s="4"/>
      <c r="P739" s="6"/>
    </row>
    <row r="740" spans="1:18" ht="15.75">
      <c r="A740" s="85" t="s">
        <v>100</v>
      </c>
      <c r="B740" s="85"/>
      <c r="C740" s="85"/>
      <c r="D740" s="85"/>
      <c r="E740" s="85"/>
      <c r="F740" s="3"/>
      <c r="H740" s="4"/>
      <c r="K740" s="4"/>
      <c r="L740" s="4"/>
    </row>
    <row r="741" spans="1:18" s="8" customFormat="1" ht="27" customHeight="1">
      <c r="A741" s="7"/>
      <c r="B741" s="7"/>
      <c r="C741" s="7"/>
      <c r="D741" s="447" t="s">
        <v>94</v>
      </c>
      <c r="E741" s="447"/>
      <c r="F741" s="447"/>
      <c r="G741" s="447"/>
      <c r="H741" s="447"/>
      <c r="I741" s="447"/>
      <c r="J741" s="447"/>
      <c r="K741" s="447"/>
      <c r="L741" s="447"/>
      <c r="M741" s="7"/>
      <c r="N741" s="7"/>
      <c r="O741" s="7"/>
    </row>
    <row r="742" spans="1:18" ht="23.25" customHeight="1">
      <c r="A742" s="126" t="s">
        <v>101</v>
      </c>
      <c r="B742" s="126"/>
      <c r="C742" s="126"/>
      <c r="D742" s="126"/>
      <c r="E742" s="126"/>
      <c r="F742" s="126"/>
      <c r="G742" s="122"/>
      <c r="H742" s="122"/>
      <c r="I742" s="122" t="e">
        <f>IF(D767="ناجح(ة) دورة1","-الدورة الأولى-","-الدورة الثانية-")</f>
        <v>#N/A</v>
      </c>
      <c r="J742" s="124" t="s">
        <v>48</v>
      </c>
      <c r="K742" s="124"/>
      <c r="L742" s="87"/>
      <c r="M742" s="88"/>
      <c r="N742" s="89"/>
      <c r="O742" s="9"/>
    </row>
    <row r="743" spans="1:18" ht="20.25" customHeight="1">
      <c r="A743" s="476" t="s">
        <v>93</v>
      </c>
      <c r="B743" s="476"/>
      <c r="C743" s="90" t="e">
        <f>INDEX(Commerce_session1!A6:CX792,MATCH("X",Commerce_session1!A6:A792,0),3)</f>
        <v>#N/A</v>
      </c>
      <c r="D743" s="91" t="s">
        <v>92</v>
      </c>
      <c r="E743" s="448" t="e">
        <f>INDEX(Commerce_session1!A6:CX792,MATCH("X",Commerce_session1!A6:A792,0),4)</f>
        <v>#N/A</v>
      </c>
      <c r="F743" s="448" t="e">
        <f>INDEX(Commerce_session1!D534:DA828,MATCH("a",Commerce_session1!D534:D828,0),3)</f>
        <v>#N/A</v>
      </c>
      <c r="G743" s="477" t="s">
        <v>16</v>
      </c>
      <c r="H743" s="477"/>
      <c r="I743" s="477"/>
      <c r="J743" s="478" t="e">
        <f>INDEX(Commerce_session1!A6:CX792,MATCH("X",Commerce_session1!A6:A792,0),6)</f>
        <v>#N/A</v>
      </c>
      <c r="K743" s="478"/>
      <c r="L743" s="88"/>
      <c r="M743" s="92" t="s">
        <v>17</v>
      </c>
      <c r="N743" s="90" t="e">
        <f>INDEX(Commerce_session1!A6:CX792,MATCH("X",Commerce_session1!A6:A792,0),7)</f>
        <v>#N/A</v>
      </c>
      <c r="O743" s="10"/>
    </row>
    <row r="744" spans="1:18" ht="20.25" customHeight="1">
      <c r="A744" s="476" t="s">
        <v>18</v>
      </c>
      <c r="B744" s="476"/>
      <c r="C744" s="448" t="e">
        <f>INDEX(Commerce_session1!A6:CX792,MATCH("X",Commerce_session1!A6:A792,0),5)</f>
        <v>#N/A</v>
      </c>
      <c r="D744" s="448"/>
      <c r="E744" s="91"/>
      <c r="F744" s="88"/>
      <c r="G744" s="93"/>
      <c r="H744" s="88"/>
      <c r="I744" s="88"/>
      <c r="J744" s="93"/>
      <c r="K744" s="88"/>
      <c r="L744" s="88"/>
      <c r="M744" s="88"/>
      <c r="N744" s="88"/>
      <c r="O744" s="10"/>
    </row>
    <row r="745" spans="1:18" ht="20.25" customHeight="1">
      <c r="A745" s="476" t="s">
        <v>102</v>
      </c>
      <c r="B745" s="476"/>
      <c r="C745" s="476"/>
      <c r="D745" s="476"/>
      <c r="E745" s="476"/>
      <c r="F745" s="476"/>
      <c r="G745" s="476"/>
      <c r="H745" s="476"/>
      <c r="I745" s="476"/>
      <c r="J745" s="476"/>
      <c r="K745" s="476"/>
      <c r="L745" s="476"/>
      <c r="M745" s="476"/>
      <c r="N745" s="476"/>
      <c r="O745" s="476"/>
    </row>
    <row r="746" spans="1:18" ht="20.25" customHeight="1" thickBot="1">
      <c r="A746" s="459" t="s">
        <v>19</v>
      </c>
      <c r="B746" s="459"/>
      <c r="C746" s="459"/>
      <c r="D746" s="459"/>
      <c r="E746" s="459"/>
      <c r="F746" s="459"/>
      <c r="G746" s="459"/>
      <c r="H746" s="94"/>
      <c r="I746" s="94"/>
      <c r="J746" s="95"/>
      <c r="K746" s="94"/>
      <c r="L746" s="94"/>
      <c r="M746" s="94"/>
      <c r="N746" s="94"/>
      <c r="O746" s="11"/>
    </row>
    <row r="747" spans="1:18" ht="18.75" thickBot="1">
      <c r="A747" s="460" t="s">
        <v>20</v>
      </c>
      <c r="B747" s="463" t="s">
        <v>21</v>
      </c>
      <c r="C747" s="464"/>
      <c r="D747" s="464"/>
      <c r="E747" s="464"/>
      <c r="F747" s="464" t="s">
        <v>22</v>
      </c>
      <c r="G747" s="464"/>
      <c r="H747" s="464"/>
      <c r="I747" s="465" t="s">
        <v>23</v>
      </c>
      <c r="J747" s="466"/>
      <c r="K747" s="466"/>
      <c r="L747" s="466"/>
      <c r="M747" s="466"/>
      <c r="N747" s="466"/>
      <c r="O747" s="467"/>
    </row>
    <row r="748" spans="1:18">
      <c r="A748" s="461"/>
      <c r="B748" s="468" t="s">
        <v>24</v>
      </c>
      <c r="C748" s="470" t="s">
        <v>25</v>
      </c>
      <c r="D748" s="472" t="s">
        <v>26</v>
      </c>
      <c r="E748" s="474" t="s">
        <v>27</v>
      </c>
      <c r="F748" s="479" t="s">
        <v>28</v>
      </c>
      <c r="G748" s="468" t="s">
        <v>11</v>
      </c>
      <c r="H748" s="481" t="s">
        <v>27</v>
      </c>
      <c r="I748" s="482" t="s">
        <v>29</v>
      </c>
      <c r="J748" s="483"/>
      <c r="K748" s="484" t="s">
        <v>30</v>
      </c>
      <c r="L748" s="485"/>
      <c r="M748" s="486"/>
      <c r="N748" s="455" t="s">
        <v>20</v>
      </c>
      <c r="O748" s="456"/>
    </row>
    <row r="749" spans="1:18" ht="15.75" thickBot="1">
      <c r="A749" s="462"/>
      <c r="B749" s="469"/>
      <c r="C749" s="471"/>
      <c r="D749" s="473"/>
      <c r="E749" s="475"/>
      <c r="F749" s="480"/>
      <c r="G749" s="469"/>
      <c r="H749" s="473"/>
      <c r="I749" s="106" t="s">
        <v>10</v>
      </c>
      <c r="J749" s="106" t="s">
        <v>31</v>
      </c>
      <c r="K749" s="106" t="s">
        <v>32</v>
      </c>
      <c r="L749" s="457" t="s">
        <v>33</v>
      </c>
      <c r="M749" s="458"/>
      <c r="N749" s="106" t="s">
        <v>34</v>
      </c>
      <c r="O749" s="107" t="s">
        <v>35</v>
      </c>
    </row>
    <row r="750" spans="1:18" ht="18.75" customHeight="1" thickBot="1">
      <c r="A750" s="549" t="s">
        <v>76</v>
      </c>
      <c r="B750" s="552" t="s">
        <v>36</v>
      </c>
      <c r="C750" s="555" t="s">
        <v>90</v>
      </c>
      <c r="D750" s="556">
        <v>17</v>
      </c>
      <c r="E750" s="449">
        <v>6</v>
      </c>
      <c r="F750" s="96" t="s">
        <v>54</v>
      </c>
      <c r="G750" s="70">
        <v>5</v>
      </c>
      <c r="H750" s="71">
        <v>2</v>
      </c>
      <c r="I750" s="12" t="e">
        <f>INDEX(Commerce_session1!A6:CX792,MATCH("X",Commerce_session1!A6:A792,0),16)</f>
        <v>#N/A</v>
      </c>
      <c r="J750" s="13" t="e">
        <f>INDEX(Commerce_session1!A6:CX792,MATCH("X",Commerce_session1!A6:A792,0),17)</f>
        <v>#N/A</v>
      </c>
      <c r="K750" s="452" t="e">
        <f>INDEX(Commerce_session1!A6:CX792,MATCH("X",Commerce_session1!A6:A792,0),26)</f>
        <v>#N/A</v>
      </c>
      <c r="L750" s="494" t="e">
        <f>INDEX(Commerce_session1!A6:CX792,MATCH("X",Commerce_session1!A6:A792,0),27)</f>
        <v>#N/A</v>
      </c>
      <c r="M750" s="495" t="e">
        <f>INDEX(Commerce_session1!D534:CZ576,MATCH("a",Commerce_session1!D534:D576,0),15)</f>
        <v>#N/A</v>
      </c>
      <c r="N750" s="498" t="e">
        <f>INDEX(Commerce_session1!A6:CX792,MATCH("X",Commerce_session1!A6:A792,0),95)</f>
        <v>#N/A</v>
      </c>
      <c r="O750" s="487" t="e">
        <f>INDEX(Commerce_session1!A6:CX792,MATCH("X",Commerce_session1!A6:A792,0),96)</f>
        <v>#N/A</v>
      </c>
    </row>
    <row r="751" spans="1:18" ht="18.75" customHeight="1" thickBot="1">
      <c r="A751" s="550"/>
      <c r="B751" s="553"/>
      <c r="C751" s="503"/>
      <c r="D751" s="557"/>
      <c r="E751" s="450"/>
      <c r="F751" s="97" t="s">
        <v>55</v>
      </c>
      <c r="G751" s="72">
        <v>6</v>
      </c>
      <c r="H751" s="73">
        <v>2</v>
      </c>
      <c r="I751" s="14" t="e">
        <f>INDEX(Commerce_session1!A6:CX792,MATCH("X",Commerce_session1!A6:A792,0),20)</f>
        <v>#N/A</v>
      </c>
      <c r="J751" s="15" t="e">
        <f>INDEX(Commerce_session1!A6:CX792,MATCH("X",Commerce_session1!A6:A792,0),21)</f>
        <v>#N/A</v>
      </c>
      <c r="K751" s="453" t="e">
        <f>INDEX(Commerce_session1!B534:CY576,MATCH("a",Commerce_session1!B534:B576,0),14)</f>
        <v>#N/A</v>
      </c>
      <c r="L751" s="496" t="e">
        <f>INDEX(Commerce_session1!D534:CZ576,MATCH("a",Commerce_session1!D534:D576,0),14)</f>
        <v>#N/A</v>
      </c>
      <c r="M751" s="497" t="e">
        <f>INDEX(Commerce_session1!E534:DA576,MATCH("a",Commerce_session1!E534:E576,0),14)</f>
        <v>#N/A</v>
      </c>
      <c r="N751" s="498" t="e">
        <f>INDEX(Commerce_session1!#REF!,MATCH("a",Commerce_session1!#REF!,0),62)</f>
        <v>#REF!</v>
      </c>
      <c r="O751" s="487" t="e">
        <f>INDEX(Commerce_session1!#REF!,MATCH("a",Commerce_session1!#REF!,0),62)</f>
        <v>#REF!</v>
      </c>
    </row>
    <row r="752" spans="1:18" ht="18.75" customHeight="1" thickBot="1">
      <c r="A752" s="550"/>
      <c r="B752" s="554"/>
      <c r="C752" s="504"/>
      <c r="D752" s="558"/>
      <c r="E752" s="451"/>
      <c r="F752" s="98" t="s">
        <v>56</v>
      </c>
      <c r="G752" s="74">
        <v>6</v>
      </c>
      <c r="H752" s="75">
        <v>2</v>
      </c>
      <c r="I752" s="16" t="e">
        <f>INDEX(Commerce_session1!A6:CX792,MATCH("X",Commerce_session1!A6:A792,0),24)</f>
        <v>#N/A</v>
      </c>
      <c r="J752" s="17" t="e">
        <f>INDEX(Commerce_session1!A6:CX792,MATCH("X",Commerce_session1!A6:A792,0),25)</f>
        <v>#N/A</v>
      </c>
      <c r="K752" s="454" t="e">
        <f>INDEX(Commerce_session1!B536:CY576,MATCH("a",Commerce_session1!B536:B576,0),14)</f>
        <v>#N/A</v>
      </c>
      <c r="L752" s="490" t="e">
        <f>INDEX(Commerce_session1!D536:CZ576,MATCH("a",Commerce_session1!D536:D576,0),14)</f>
        <v>#N/A</v>
      </c>
      <c r="M752" s="491" t="e">
        <f>INDEX(Commerce_session1!E536:DA576,MATCH("a",Commerce_session1!E536:E576,0),14)</f>
        <v>#N/A</v>
      </c>
      <c r="N752" s="498" t="e">
        <f>INDEX(Commerce_session1!#REF!,MATCH("a",Commerce_session1!#REF!,0),62)</f>
        <v>#REF!</v>
      </c>
      <c r="O752" s="487" t="e">
        <f>INDEX(Commerce_session1!#REF!,MATCH("a",Commerce_session1!#REF!,0),62)</f>
        <v>#REF!</v>
      </c>
    </row>
    <row r="753" spans="1:15" ht="19.5" customHeight="1" thickTop="1" thickBot="1">
      <c r="A753" s="550"/>
      <c r="B753" s="499" t="s">
        <v>37</v>
      </c>
      <c r="C753" s="502" t="s">
        <v>89</v>
      </c>
      <c r="D753" s="505">
        <v>7</v>
      </c>
      <c r="E753" s="508">
        <v>5</v>
      </c>
      <c r="F753" s="99" t="s">
        <v>83</v>
      </c>
      <c r="G753" s="76">
        <v>1</v>
      </c>
      <c r="H753" s="77">
        <v>1</v>
      </c>
      <c r="I753" s="18" t="e">
        <f>INDEX(Commerce_session1!A6:CX792,MATCH("X",Commerce_session1!A6:A792,0),29)</f>
        <v>#N/A</v>
      </c>
      <c r="J753" s="19" t="e">
        <f>INDEX(Commerce_session1!A6:CX792,MATCH("X",Commerce_session1!A6:A792,0),30)</f>
        <v>#N/A</v>
      </c>
      <c r="K753" s="509" t="e">
        <f>INDEX(Commerce_session1!A6:CX792,MATCH("X",Commerce_session1!A6:A792,0),39)</f>
        <v>#N/A</v>
      </c>
      <c r="L753" s="488" t="e">
        <f>INDEX(Commerce_session1!A6:CX792,MATCH("X",Commerce_session1!A6:A792,0),40)</f>
        <v>#N/A</v>
      </c>
      <c r="M753" s="489" t="e">
        <f>INDEX(Commerce_session1!D534:CZ576,MATCH("a",Commerce_session1!D534:D576,0),23)</f>
        <v>#N/A</v>
      </c>
      <c r="N753" s="498" t="e">
        <f>INDEX(Commerce_session1!#REF!,MATCH("a",Commerce_session1!#REF!,0),62)</f>
        <v>#REF!</v>
      </c>
      <c r="O753" s="487" t="e">
        <f>INDEX(Commerce_session1!#REF!,MATCH("a",Commerce_session1!#REF!,0),62)</f>
        <v>#REF!</v>
      </c>
    </row>
    <row r="754" spans="1:15" ht="18.75" customHeight="1" thickTop="1" thickBot="1">
      <c r="A754" s="550"/>
      <c r="B754" s="500"/>
      <c r="C754" s="503"/>
      <c r="D754" s="506"/>
      <c r="E754" s="450"/>
      <c r="F754" s="100" t="s">
        <v>99</v>
      </c>
      <c r="G754" s="78">
        <v>3</v>
      </c>
      <c r="H754" s="79">
        <v>2</v>
      </c>
      <c r="I754" s="18" t="e">
        <f>INDEX(Commerce_session1!A6:CX792,MATCH("X",Commerce_session1!A6:A792,0),33)</f>
        <v>#N/A</v>
      </c>
      <c r="J754" s="15" t="e">
        <f>INDEX(Commerce_session1!A6:CX792,MATCH("X",Commerce_session1!A6:A792,0),34)</f>
        <v>#N/A</v>
      </c>
      <c r="K754" s="510" t="e">
        <f>INDEX(Commerce_session1!B533:CY576,MATCH("a",Commerce_session1!B533:B576,0),22)</f>
        <v>#N/A</v>
      </c>
      <c r="L754" s="496" t="e">
        <f>INDEX(Commerce_session1!D533:CZ576,MATCH("a",Commerce_session1!D533:D576,0),22)</f>
        <v>#N/A</v>
      </c>
      <c r="M754" s="497" t="e">
        <f>INDEX(Commerce_session1!E533:DA576,MATCH("a",Commerce_session1!E533:E576,0),22)</f>
        <v>#N/A</v>
      </c>
      <c r="N754" s="498" t="e">
        <f>INDEX(Commerce_session1!#REF!,MATCH("a",Commerce_session1!#REF!,0),62)</f>
        <v>#REF!</v>
      </c>
      <c r="O754" s="487" t="e">
        <f>INDEX(Commerce_session1!#REF!,MATCH("a",Commerce_session1!#REF!,0),62)</f>
        <v>#REF!</v>
      </c>
    </row>
    <row r="755" spans="1:15" ht="18.75" customHeight="1" thickBot="1">
      <c r="A755" s="550"/>
      <c r="B755" s="501"/>
      <c r="C755" s="504"/>
      <c r="D755" s="507"/>
      <c r="E755" s="451"/>
      <c r="F755" s="101" t="s">
        <v>84</v>
      </c>
      <c r="G755" s="80">
        <v>3</v>
      </c>
      <c r="H755" s="81">
        <v>2</v>
      </c>
      <c r="I755" s="20" t="e">
        <f>INDEX(Commerce_session1!A6:CX792,MATCH("X",Commerce_session1!A6:A792,0),37)</f>
        <v>#N/A</v>
      </c>
      <c r="J755" s="17" t="e">
        <f>INDEX(Commerce_session1!A6:CX792,MATCH("X",Commerce_session1!A6:A792,0),38)</f>
        <v>#N/A</v>
      </c>
      <c r="K755" s="511" t="e">
        <f>INDEX(Commerce_session1!B534:CY576,MATCH("a",Commerce_session1!B534:B576,0),22)</f>
        <v>#N/A</v>
      </c>
      <c r="L755" s="490" t="e">
        <f>INDEX(Commerce_session1!D534:CZ576,MATCH("a",Commerce_session1!D534:D576,0),22)</f>
        <v>#N/A</v>
      </c>
      <c r="M755" s="491" t="e">
        <f>INDEX(Commerce_session1!E534:DA576,MATCH("a",Commerce_session1!E534:E576,0),22)</f>
        <v>#N/A</v>
      </c>
      <c r="N755" s="498" t="e">
        <f>INDEX(Commerce_session1!#REF!,MATCH("a",Commerce_session1!#REF!,0),62)</f>
        <v>#REF!</v>
      </c>
      <c r="O755" s="487" t="e">
        <f>INDEX(Commerce_session1!#REF!,MATCH("a",Commerce_session1!#REF!,0),62)</f>
        <v>#REF!</v>
      </c>
    </row>
    <row r="756" spans="1:15" ht="33.75" customHeight="1" thickTop="1" thickBot="1">
      <c r="A756" s="550"/>
      <c r="B756" s="531" t="s">
        <v>38</v>
      </c>
      <c r="C756" s="559" t="s">
        <v>50</v>
      </c>
      <c r="D756" s="520">
        <v>5</v>
      </c>
      <c r="E756" s="508">
        <v>2</v>
      </c>
      <c r="F756" s="102" t="s">
        <v>63</v>
      </c>
      <c r="G756" s="68">
        <v>4</v>
      </c>
      <c r="H756" s="69">
        <v>1</v>
      </c>
      <c r="I756" s="18" t="e">
        <f>INDEX(Commerce_session1!A6:CX792,MATCH("X",Commerce_session1!A6:A792,0),43)</f>
        <v>#N/A</v>
      </c>
      <c r="J756" s="19" t="e">
        <f>INDEX(Commerce_session1!A6:CX792,MATCH("X",Commerce_session1!A6:A792,0),44)</f>
        <v>#N/A</v>
      </c>
      <c r="K756" s="509" t="e">
        <f>INDEX(Commerce_session1!A6:CX792,MATCH("X",Commerce_session1!A6:A792,0),48)</f>
        <v>#N/A</v>
      </c>
      <c r="L756" s="488" t="e">
        <f>INDEX(Commerce_session1!A6:CX792,MATCH("X",Commerce_session1!A6:A792,0),49)</f>
        <v>#N/A</v>
      </c>
      <c r="M756" s="489" t="e">
        <f>INDEX(Commerce_session1!D534:CZ576,MATCH("a",Commerce_session1!D534:D576,0),29)</f>
        <v>#N/A</v>
      </c>
      <c r="N756" s="498" t="e">
        <f>INDEX(Commerce_session1!#REF!,MATCH("a",Commerce_session1!#REF!,0),62)</f>
        <v>#REF!</v>
      </c>
      <c r="O756" s="487" t="e">
        <f>INDEX(Commerce_session1!#REF!,MATCH("a",Commerce_session1!#REF!,0),62)</f>
        <v>#REF!</v>
      </c>
    </row>
    <row r="757" spans="1:15" ht="18.75" customHeight="1" thickBot="1">
      <c r="A757" s="550"/>
      <c r="B757" s="527"/>
      <c r="C757" s="524"/>
      <c r="D757" s="521"/>
      <c r="E757" s="451"/>
      <c r="F757" s="101" t="s">
        <v>62</v>
      </c>
      <c r="G757" s="80">
        <v>1</v>
      </c>
      <c r="H757" s="81">
        <v>1</v>
      </c>
      <c r="I757" s="16" t="e">
        <f>INDEX(Commerce_session1!A6:CX792,MATCH("X",Commerce_session1!A6:A792,0),46)</f>
        <v>#N/A</v>
      </c>
      <c r="J757" s="21" t="e">
        <f>INDEX(Commerce_session1!A6:CX792,MATCH("X",Commerce_session1!A6:A792,0),47)</f>
        <v>#N/A</v>
      </c>
      <c r="K757" s="511" t="e">
        <f>INDEX(Commerce_session1!B534:CY576,MATCH("a",Commerce_session1!B534:B576,0),28)</f>
        <v>#N/A</v>
      </c>
      <c r="L757" s="490" t="e">
        <f>INDEX(Commerce_session1!D534:CZ576,MATCH("a",Commerce_session1!D534:D576,0),28)</f>
        <v>#N/A</v>
      </c>
      <c r="M757" s="491" t="e">
        <f>INDEX(Commerce_session1!E534:DA576,MATCH("a",Commerce_session1!E534:E576,0),28)</f>
        <v>#N/A</v>
      </c>
      <c r="N757" s="498" t="e">
        <f>INDEX(Commerce_session1!#REF!,MATCH("a",Commerce_session1!#REF!,0),62)</f>
        <v>#REF!</v>
      </c>
      <c r="O757" s="487" t="e">
        <f>INDEX(Commerce_session1!#REF!,MATCH("a",Commerce_session1!#REF!,0),62)</f>
        <v>#REF!</v>
      </c>
    </row>
    <row r="758" spans="1:15" ht="20.25" customHeight="1" thickTop="1" thickBot="1">
      <c r="A758" s="551"/>
      <c r="B758" s="105" t="s">
        <v>39</v>
      </c>
      <c r="C758" s="104" t="s">
        <v>51</v>
      </c>
      <c r="D758" s="22">
        <v>1</v>
      </c>
      <c r="E758" s="23">
        <v>1</v>
      </c>
      <c r="F758" s="103" t="s">
        <v>64</v>
      </c>
      <c r="G758" s="82">
        <v>1</v>
      </c>
      <c r="H758" s="83">
        <v>1</v>
      </c>
      <c r="I758" s="20" t="e">
        <f>INDEX(Commerce_session1!A6:CX792,MATCH("X",Commerce_session1!A6:A792,0),52)</f>
        <v>#N/A</v>
      </c>
      <c r="J758" s="24" t="e">
        <f>INDEX(Commerce_session1!A6:CX792,MATCH("X",Commerce_session1!A6:A792,0),53)</f>
        <v>#N/A</v>
      </c>
      <c r="K758" s="36" t="e">
        <f>INDEX(Commerce_session1!A6:CX792,MATCH("X",Commerce_session1!A6:A792,0),54)</f>
        <v>#N/A</v>
      </c>
      <c r="L758" s="492" t="e">
        <f>INDEX(Commerce_session1!A6:CX792,MATCH("X",Commerce_session1!A6:A792,0),55)</f>
        <v>#N/A</v>
      </c>
      <c r="M758" s="493" t="e">
        <f>INDEX(Commerce_session1!D534:CZ576,MATCH("a",Commerce_session1!D534:D576,0),33)</f>
        <v>#N/A</v>
      </c>
      <c r="N758" s="498" t="e">
        <f>INDEX(Commerce_session1!#REF!,MATCH("a",Commerce_session1!#REF!,0),62)</f>
        <v>#REF!</v>
      </c>
      <c r="O758" s="487" t="e">
        <f>INDEX(Commerce_session1!#REF!,MATCH("a",Commerce_session1!#REF!,0),62)</f>
        <v>#REF!</v>
      </c>
    </row>
    <row r="759" spans="1:15" ht="19.5" customHeight="1" thickTop="1" thickBot="1">
      <c r="A759" s="516" t="s">
        <v>77</v>
      </c>
      <c r="B759" s="525" t="s">
        <v>36</v>
      </c>
      <c r="C759" s="522" t="s">
        <v>88</v>
      </c>
      <c r="D759" s="528">
        <v>16</v>
      </c>
      <c r="E759" s="449">
        <v>5</v>
      </c>
      <c r="F759" s="96" t="s">
        <v>67</v>
      </c>
      <c r="G759" s="114">
        <v>6</v>
      </c>
      <c r="H759" s="115">
        <v>2</v>
      </c>
      <c r="I759" s="18" t="e">
        <f>INDEX(Commerce_session1!A6:CX792,MATCH("X",Commerce_session1!A6:A792,0),60)</f>
        <v>#N/A</v>
      </c>
      <c r="J759" s="19" t="e">
        <f>INDEX(Commerce_session1!A6:CX792,MATCH("X",Commerce_session1!A6:A792,0),61)</f>
        <v>#N/A</v>
      </c>
      <c r="K759" s="519" t="e">
        <f>INDEX(Commerce_session1!A6:CX792,MATCH("X",Commerce_session1!A6:A792,0),70)</f>
        <v>#N/A</v>
      </c>
      <c r="L759" s="494" t="e">
        <f>INDEX(Commerce_session1!A6:CX792,MATCH("X",Commerce_session1!A6:A792,0),71)</f>
        <v>#N/A</v>
      </c>
      <c r="M759" s="495"/>
      <c r="N759" s="498" t="e">
        <f>INDEX(Commerce_session1!A6:CX792,MATCH("X",Commerce_session1!A6:A792,0),97)</f>
        <v>#N/A</v>
      </c>
      <c r="O759" s="487" t="e">
        <f>INDEX(Commerce_session1!A6:CX792,MATCH("X",Commerce_session1!A6:A792,0),98)</f>
        <v>#N/A</v>
      </c>
    </row>
    <row r="760" spans="1:15" ht="18.75" customHeight="1" thickBot="1">
      <c r="A760" s="517"/>
      <c r="B760" s="526"/>
      <c r="C760" s="523"/>
      <c r="D760" s="529"/>
      <c r="E760" s="450"/>
      <c r="F760" s="100" t="s">
        <v>68</v>
      </c>
      <c r="G760" s="116">
        <v>6</v>
      </c>
      <c r="H760" s="117">
        <v>2</v>
      </c>
      <c r="I760" s="14" t="e">
        <f>INDEX(Commerce_session1!A6:CX792,MATCH("X",Commerce_session1!A6:A792,0),64)</f>
        <v>#N/A</v>
      </c>
      <c r="J760" s="15" t="e">
        <f>INDEX(Commerce_session1!A6:CX792,MATCH("X",Commerce_session1!A6:A792,0),65)</f>
        <v>#N/A</v>
      </c>
      <c r="K760" s="510"/>
      <c r="L760" s="496"/>
      <c r="M760" s="497"/>
      <c r="N760" s="498" t="e">
        <f>INDEX(Commerce_session1!F534:DA576,MATCH("a",Commerce_session1!F534:F576,0),42)</f>
        <v>#N/A</v>
      </c>
      <c r="O760" s="487" t="e">
        <f>INDEX(Commerce_session1!G534:DA576,MATCH("a",Commerce_session1!G534:G576,0),42)</f>
        <v>#N/A</v>
      </c>
    </row>
    <row r="761" spans="1:15" ht="20.25" customHeight="1" thickBot="1">
      <c r="A761" s="517"/>
      <c r="B761" s="527"/>
      <c r="C761" s="524"/>
      <c r="D761" s="530"/>
      <c r="E761" s="451"/>
      <c r="F761" s="101" t="s">
        <v>103</v>
      </c>
      <c r="G761" s="118">
        <v>4</v>
      </c>
      <c r="H761" s="119">
        <v>1</v>
      </c>
      <c r="I761" s="127" t="e">
        <f>INDEX(Commerce_session1!A6:CX792,MATCH("X",Commerce_session1!A6:A792,0),68)</f>
        <v>#N/A</v>
      </c>
      <c r="J761" s="21" t="e">
        <f>INDEX(Commerce_session1!A6:CX792,MATCH("X",Commerce_session1!A6:A792,0),69)</f>
        <v>#N/A</v>
      </c>
      <c r="K761" s="511"/>
      <c r="L761" s="490"/>
      <c r="M761" s="491"/>
      <c r="N761" s="498" t="e">
        <f>INDEX(Commerce_session1!F535:DA576,MATCH("a",Commerce_session1!F535:F576,0),42)</f>
        <v>#N/A</v>
      </c>
      <c r="O761" s="487" t="e">
        <f>INDEX(Commerce_session1!G535:DA576,MATCH("a",Commerce_session1!G535:G576,0),42)</f>
        <v>#N/A</v>
      </c>
    </row>
    <row r="762" spans="1:15" ht="22.5" customHeight="1" thickTop="1" thickBot="1">
      <c r="A762" s="517"/>
      <c r="B762" s="531" t="s">
        <v>37</v>
      </c>
      <c r="C762" s="559" t="s">
        <v>87</v>
      </c>
      <c r="D762" s="532">
        <v>10</v>
      </c>
      <c r="E762" s="508">
        <v>4</v>
      </c>
      <c r="F762" s="128" t="s">
        <v>104</v>
      </c>
      <c r="G762" s="76">
        <v>5</v>
      </c>
      <c r="H762" s="77">
        <v>2</v>
      </c>
      <c r="I762" s="18" t="e">
        <f>INDEX(Commerce_session1!A6:CX792,MATCH("X",Commerce_session1!A6:A792,0),74)</f>
        <v>#N/A</v>
      </c>
      <c r="J762" s="19" t="e">
        <f>INDEX(Commerce_session1!A6:CX792,MATCH("X",Commerce_session1!A6:A792,0),75)</f>
        <v>#N/A</v>
      </c>
      <c r="K762" s="509" t="e">
        <f>INDEX(Commerce_session1!A6:CX792,MATCH("X",Commerce_session1!A6:A792,0),80)</f>
        <v>#N/A</v>
      </c>
      <c r="L762" s="488" t="e">
        <f>INDEX(Commerce_session1!A6:CX792,MATCH("X",Commerce_session1!A6:A792,0),81)</f>
        <v>#N/A</v>
      </c>
      <c r="M762" s="489"/>
      <c r="N762" s="498" t="e">
        <f>INDEX(Commerce_session1!E537:DA576,MATCH("a",Commerce_session1!E537:E576,0),43)</f>
        <v>#N/A</v>
      </c>
      <c r="O762" s="487" t="e">
        <f>INDEX(Commerce_session1!F537:DA576,MATCH("a",Commerce_session1!F537:F576,0),43)</f>
        <v>#N/A</v>
      </c>
    </row>
    <row r="763" spans="1:15" ht="18.75" customHeight="1" thickBot="1">
      <c r="A763" s="517"/>
      <c r="B763" s="527"/>
      <c r="C763" s="524"/>
      <c r="D763" s="530"/>
      <c r="E763" s="451"/>
      <c r="F763" s="98" t="s">
        <v>69</v>
      </c>
      <c r="G763" s="74">
        <v>5</v>
      </c>
      <c r="H763" s="75">
        <v>2</v>
      </c>
      <c r="I763" s="20" t="e">
        <f>INDEX(Commerce_session1!A6:CX792,MATCH("X",Commerce_session1!A6:A792,0),78)</f>
        <v>#N/A</v>
      </c>
      <c r="J763" s="17" t="e">
        <f>INDEX(Commerce_session1!A6:CX792,MATCH("X",Commerce_session1!A6:A792,0),79)</f>
        <v>#N/A</v>
      </c>
      <c r="K763" s="511"/>
      <c r="L763" s="490"/>
      <c r="M763" s="491"/>
      <c r="N763" s="498" t="e">
        <f>INDEX(Commerce_session1!F538:DA576,MATCH("a",Commerce_session1!F538:F576,0),42)</f>
        <v>#N/A</v>
      </c>
      <c r="O763" s="487" t="e">
        <f>INDEX(Commerce_session1!G538:DA576,MATCH("a",Commerce_session1!G538:G576,0),42)</f>
        <v>#N/A</v>
      </c>
    </row>
    <row r="764" spans="1:15" ht="18.75" customHeight="1" thickTop="1" thickBot="1">
      <c r="A764" s="517"/>
      <c r="B764" s="105" t="s">
        <v>38</v>
      </c>
      <c r="C764" s="104" t="s">
        <v>85</v>
      </c>
      <c r="D764" s="22">
        <v>3</v>
      </c>
      <c r="E764" s="23">
        <v>2</v>
      </c>
      <c r="F764" s="101" t="s">
        <v>74</v>
      </c>
      <c r="G764" s="74">
        <v>3</v>
      </c>
      <c r="H764" s="75">
        <v>2</v>
      </c>
      <c r="I764" s="20" t="e">
        <f>INDEX(Commerce_session1!A6:CX792,MATCH("X",Commerce_session1!A6:A792,0),84)</f>
        <v>#N/A</v>
      </c>
      <c r="J764" s="17" t="e">
        <f>INDEX(Commerce_session1!A6:CX792,MATCH("X",Commerce_session1!A6:A792,0),85)</f>
        <v>#N/A</v>
      </c>
      <c r="K764" s="123" t="e">
        <f>INDEX(Commerce_session1!A6:CX792,MATCH("X",Commerce_session1!A6:A792,0),86)</f>
        <v>#N/A</v>
      </c>
      <c r="L764" s="512" t="e">
        <f>INDEX(Commerce_session1!A6:CX792,MATCH("X",Commerce_session1!A6:A792,0),87)</f>
        <v>#N/A</v>
      </c>
      <c r="M764" s="513"/>
      <c r="N764" s="498" t="e">
        <f>INDEX(Commerce_session1!F540:DA576,MATCH("a",Commerce_session1!F540:F576,0),42)</f>
        <v>#N/A</v>
      </c>
      <c r="O764" s="487" t="e">
        <f>INDEX(Commerce_session1!G540:DA576,MATCH("a",Commerce_session1!G540:G576,0),42)</f>
        <v>#N/A</v>
      </c>
    </row>
    <row r="765" spans="1:15" ht="20.25" customHeight="1" thickTop="1" thickBot="1">
      <c r="A765" s="518"/>
      <c r="B765" s="105" t="s">
        <v>39</v>
      </c>
      <c r="C765" s="104" t="s">
        <v>86</v>
      </c>
      <c r="D765" s="22">
        <v>1</v>
      </c>
      <c r="E765" s="23">
        <v>1</v>
      </c>
      <c r="F765" s="103" t="s">
        <v>73</v>
      </c>
      <c r="G765" s="82">
        <v>1</v>
      </c>
      <c r="H765" s="83">
        <v>1</v>
      </c>
      <c r="I765" s="25" t="e">
        <f>INDEX(Commerce_session1!A6:CX792,MATCH("X",Commerce_session1!A6:A792,0),89)</f>
        <v>#N/A</v>
      </c>
      <c r="J765" s="26" t="e">
        <f>INDEX(Commerce_session1!A6:CX792,MATCH("X",Commerce_session1!A6:A792,0),90)</f>
        <v>#N/A</v>
      </c>
      <c r="K765" s="27" t="e">
        <f>INDEX(Commerce_session1!A6:CX792,MATCH("X",Commerce_session1!A6:A792,0),91)</f>
        <v>#N/A</v>
      </c>
      <c r="L765" s="514" t="e">
        <f>INDEX(Commerce_session1!A6:CX792,MATCH("X",Commerce_session1!A6:A792,0),92)</f>
        <v>#N/A</v>
      </c>
      <c r="M765" s="515" t="e">
        <f>INDEX(Commerce_session1!D534:CZ576,MATCH("a",Commerce_session1!D534:D576,0),61)</f>
        <v>#N/A</v>
      </c>
      <c r="N765" s="498" t="e">
        <f>INDEX(Commerce_session1!F541:DA576,MATCH("a",Commerce_session1!F541:F576,0),42)</f>
        <v>#N/A</v>
      </c>
      <c r="O765" s="487" t="e">
        <f>INDEX(Commerce_session1!G541:DA576,MATCH("a",Commerce_session1!G541:G576,0),42)</f>
        <v>#N/A</v>
      </c>
    </row>
    <row r="766" spans="1:15" ht="20.25">
      <c r="A766" s="535" t="s">
        <v>40</v>
      </c>
      <c r="B766" s="536"/>
      <c r="C766" s="537"/>
      <c r="D766" s="121" t="e">
        <f>INDEX(Commerce_session1!A6:CX792,MATCH("X",Commerce_session1!A6:A792,0),99)</f>
        <v>#N/A</v>
      </c>
      <c r="E766" s="538" t="s">
        <v>41</v>
      </c>
      <c r="F766" s="540"/>
      <c r="G766" s="120" t="e">
        <f>INDEX(Commerce_session1!A6:CX792,MATCH("X",Commerce_session1!A6:A792,0),100)</f>
        <v>#N/A</v>
      </c>
      <c r="H766" s="538" t="s">
        <v>91</v>
      </c>
      <c r="I766" s="539"/>
      <c r="J766" s="539"/>
      <c r="K766" s="540"/>
      <c r="L766" s="541" t="e">
        <f>INDEX(Commerce_session1!A6:CX792,MATCH("X",Commerce_session1!A6:A792,0),101)</f>
        <v>#N/A</v>
      </c>
      <c r="M766" s="542"/>
      <c r="N766" s="8"/>
      <c r="O766" s="8"/>
    </row>
    <row r="767" spans="1:15" ht="22.5">
      <c r="A767" s="546" t="s">
        <v>42</v>
      </c>
      <c r="B767" s="547"/>
      <c r="C767" s="548"/>
      <c r="D767" s="543" t="e">
        <f>INDEX(Commerce_session1!A6:CX792,MATCH("X",Commerce_session1!A6:A792,0),102)</f>
        <v>#N/A</v>
      </c>
      <c r="E767" s="544"/>
      <c r="F767" s="545"/>
      <c r="G767" s="108"/>
      <c r="H767" s="109"/>
      <c r="I767" s="110"/>
      <c r="J767" s="111"/>
      <c r="K767" s="110"/>
      <c r="L767" s="110"/>
      <c r="M767" s="110"/>
      <c r="N767" s="112" t="s">
        <v>43</v>
      </c>
      <c r="O767" s="28">
        <f ca="1">TODAY()</f>
        <v>43626</v>
      </c>
    </row>
    <row r="768" spans="1:15" ht="32.25" customHeight="1">
      <c r="A768" s="113" t="s">
        <v>44</v>
      </c>
      <c r="B768" s="29"/>
      <c r="C768" s="29"/>
      <c r="D768" s="533"/>
      <c r="E768" s="533"/>
      <c r="F768" s="30"/>
      <c r="G768" s="4"/>
      <c r="J768" s="4"/>
      <c r="L768" s="534" t="s">
        <v>46</v>
      </c>
      <c r="M768" s="534"/>
      <c r="N768" s="534"/>
    </row>
    <row r="769" spans="1:18" ht="23.25" customHeight="1" thickBot="1">
      <c r="A769" s="84" t="s">
        <v>12</v>
      </c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445" t="s">
        <v>13</v>
      </c>
      <c r="M769" s="445"/>
      <c r="N769" s="445"/>
      <c r="O769" s="445"/>
      <c r="P769" s="2"/>
      <c r="Q769" s="2"/>
      <c r="R769" s="2"/>
    </row>
    <row r="770" spans="1:18" ht="15.75">
      <c r="A770" s="446" t="s">
        <v>14</v>
      </c>
      <c r="B770" s="446"/>
      <c r="C770" s="446"/>
      <c r="D770" s="446"/>
      <c r="E770" s="446"/>
      <c r="F770" s="3"/>
      <c r="H770" s="4"/>
      <c r="K770" s="4"/>
      <c r="L770" s="4"/>
    </row>
    <row r="771" spans="1:18" ht="15.75">
      <c r="A771" s="85" t="s">
        <v>15</v>
      </c>
      <c r="B771" s="85"/>
      <c r="C771" s="85"/>
      <c r="D771" s="85"/>
      <c r="E771" s="85"/>
      <c r="F771" s="5"/>
      <c r="H771" s="4"/>
      <c r="K771" s="4"/>
      <c r="L771" s="4"/>
      <c r="P771" s="6"/>
    </row>
    <row r="772" spans="1:18" ht="15.75">
      <c r="A772" s="85" t="s">
        <v>100</v>
      </c>
      <c r="B772" s="85"/>
      <c r="C772" s="85"/>
      <c r="D772" s="85"/>
      <c r="E772" s="85"/>
      <c r="F772" s="3"/>
      <c r="H772" s="4"/>
      <c r="K772" s="4"/>
      <c r="L772" s="4"/>
    </row>
    <row r="773" spans="1:18" s="8" customFormat="1" ht="27" customHeight="1">
      <c r="A773" s="7"/>
      <c r="B773" s="7"/>
      <c r="C773" s="7"/>
      <c r="D773" s="447" t="s">
        <v>94</v>
      </c>
      <c r="E773" s="447"/>
      <c r="F773" s="447"/>
      <c r="G773" s="447"/>
      <c r="H773" s="447"/>
      <c r="I773" s="447"/>
      <c r="J773" s="447"/>
      <c r="K773" s="447"/>
      <c r="L773" s="447"/>
      <c r="M773" s="7"/>
      <c r="N773" s="7"/>
      <c r="O773" s="7"/>
    </row>
    <row r="774" spans="1:18" ht="23.25" customHeight="1">
      <c r="A774" s="126" t="s">
        <v>101</v>
      </c>
      <c r="B774" s="126"/>
      <c r="C774" s="126"/>
      <c r="D774" s="126"/>
      <c r="E774" s="126"/>
      <c r="F774" s="126"/>
      <c r="G774" s="122"/>
      <c r="H774" s="122"/>
      <c r="I774" s="122" t="e">
        <f>IF(D799="ناجح(ة) دورة1","-الدورة الأولى-","-الدورة الثانية-")</f>
        <v>#N/A</v>
      </c>
      <c r="J774" s="124" t="s">
        <v>48</v>
      </c>
      <c r="K774" s="124"/>
      <c r="L774" s="87"/>
      <c r="M774" s="88"/>
      <c r="N774" s="89"/>
      <c r="O774" s="9"/>
    </row>
    <row r="775" spans="1:18" ht="20.25" customHeight="1">
      <c r="A775" s="476" t="s">
        <v>93</v>
      </c>
      <c r="B775" s="476"/>
      <c r="C775" s="90" t="e">
        <f>INDEX(Commerce_session1!A6:CX792,MATCH("Y",Commerce_session1!A6:A792,0),3)</f>
        <v>#N/A</v>
      </c>
      <c r="D775" s="91" t="s">
        <v>92</v>
      </c>
      <c r="E775" s="448" t="e">
        <f>INDEX(Commerce_session1!A6:CX792,MATCH("Y",Commerce_session1!A6:A792,0),4)</f>
        <v>#N/A</v>
      </c>
      <c r="F775" s="448" t="e">
        <f>INDEX(Commerce_session1!D566:DA860,MATCH("a",Commerce_session1!D566:D860,0),3)</f>
        <v>#N/A</v>
      </c>
      <c r="G775" s="477" t="s">
        <v>16</v>
      </c>
      <c r="H775" s="477"/>
      <c r="I775" s="477"/>
      <c r="J775" s="478" t="e">
        <f>INDEX(Commerce_session1!A6:CX792,MATCH("Y",Commerce_session1!A6:A792,0),6)</f>
        <v>#N/A</v>
      </c>
      <c r="K775" s="478"/>
      <c r="L775" s="88"/>
      <c r="M775" s="92" t="s">
        <v>17</v>
      </c>
      <c r="N775" s="90" t="e">
        <f>INDEX(Commerce_session1!A6:CX792,MATCH("Y",Commerce_session1!A6:A792,0),7)</f>
        <v>#N/A</v>
      </c>
      <c r="O775" s="10"/>
    </row>
    <row r="776" spans="1:18" ht="20.25" customHeight="1">
      <c r="A776" s="476" t="s">
        <v>18</v>
      </c>
      <c r="B776" s="476"/>
      <c r="C776" s="448" t="e">
        <f>INDEX(Commerce_session1!A6:CX792,MATCH("Y",Commerce_session1!A6:A792,0),5)</f>
        <v>#N/A</v>
      </c>
      <c r="D776" s="448"/>
      <c r="E776" s="91"/>
      <c r="F776" s="88"/>
      <c r="G776" s="93"/>
      <c r="H776" s="88"/>
      <c r="I776" s="88"/>
      <c r="J776" s="93"/>
      <c r="K776" s="88"/>
      <c r="L776" s="88"/>
      <c r="M776" s="88"/>
      <c r="N776" s="88"/>
      <c r="O776" s="10"/>
    </row>
    <row r="777" spans="1:18" ht="20.25" customHeight="1">
      <c r="A777" s="476" t="s">
        <v>102</v>
      </c>
      <c r="B777" s="476"/>
      <c r="C777" s="476"/>
      <c r="D777" s="476"/>
      <c r="E777" s="476"/>
      <c r="F777" s="476"/>
      <c r="G777" s="476"/>
      <c r="H777" s="476"/>
      <c r="I777" s="476"/>
      <c r="J777" s="476"/>
      <c r="K777" s="476"/>
      <c r="L777" s="476"/>
      <c r="M777" s="476"/>
      <c r="N777" s="476"/>
      <c r="O777" s="476"/>
    </row>
    <row r="778" spans="1:18" ht="20.25" customHeight="1" thickBot="1">
      <c r="A778" s="459" t="s">
        <v>19</v>
      </c>
      <c r="B778" s="459"/>
      <c r="C778" s="459"/>
      <c r="D778" s="459"/>
      <c r="E778" s="459"/>
      <c r="F778" s="459"/>
      <c r="G778" s="459"/>
      <c r="H778" s="94"/>
      <c r="I778" s="94"/>
      <c r="J778" s="95"/>
      <c r="K778" s="94"/>
      <c r="L778" s="94"/>
      <c r="M778" s="94"/>
      <c r="N778" s="94"/>
      <c r="O778" s="11"/>
    </row>
    <row r="779" spans="1:18" ht="18.75" thickBot="1">
      <c r="A779" s="460" t="s">
        <v>20</v>
      </c>
      <c r="B779" s="463" t="s">
        <v>21</v>
      </c>
      <c r="C779" s="464"/>
      <c r="D779" s="464"/>
      <c r="E779" s="464"/>
      <c r="F779" s="464" t="s">
        <v>22</v>
      </c>
      <c r="G779" s="464"/>
      <c r="H779" s="464"/>
      <c r="I779" s="465" t="s">
        <v>23</v>
      </c>
      <c r="J779" s="466"/>
      <c r="K779" s="466"/>
      <c r="L779" s="466"/>
      <c r="M779" s="466"/>
      <c r="N779" s="466"/>
      <c r="O779" s="467"/>
    </row>
    <row r="780" spans="1:18">
      <c r="A780" s="461"/>
      <c r="B780" s="468" t="s">
        <v>24</v>
      </c>
      <c r="C780" s="470" t="s">
        <v>25</v>
      </c>
      <c r="D780" s="472" t="s">
        <v>26</v>
      </c>
      <c r="E780" s="474" t="s">
        <v>27</v>
      </c>
      <c r="F780" s="479" t="s">
        <v>28</v>
      </c>
      <c r="G780" s="468" t="s">
        <v>11</v>
      </c>
      <c r="H780" s="481" t="s">
        <v>27</v>
      </c>
      <c r="I780" s="482" t="s">
        <v>29</v>
      </c>
      <c r="J780" s="483"/>
      <c r="K780" s="484" t="s">
        <v>30</v>
      </c>
      <c r="L780" s="485"/>
      <c r="M780" s="486"/>
      <c r="N780" s="455" t="s">
        <v>20</v>
      </c>
      <c r="O780" s="456"/>
    </row>
    <row r="781" spans="1:18" ht="15.75" thickBot="1">
      <c r="A781" s="462"/>
      <c r="B781" s="469"/>
      <c r="C781" s="471"/>
      <c r="D781" s="473"/>
      <c r="E781" s="475"/>
      <c r="F781" s="480"/>
      <c r="G781" s="469"/>
      <c r="H781" s="473"/>
      <c r="I781" s="106" t="s">
        <v>10</v>
      </c>
      <c r="J781" s="106" t="s">
        <v>31</v>
      </c>
      <c r="K781" s="106" t="s">
        <v>32</v>
      </c>
      <c r="L781" s="457" t="s">
        <v>33</v>
      </c>
      <c r="M781" s="458"/>
      <c r="N781" s="106" t="s">
        <v>34</v>
      </c>
      <c r="O781" s="107" t="s">
        <v>35</v>
      </c>
    </row>
    <row r="782" spans="1:18" ht="18.75" customHeight="1" thickBot="1">
      <c r="A782" s="549" t="s">
        <v>76</v>
      </c>
      <c r="B782" s="552" t="s">
        <v>36</v>
      </c>
      <c r="C782" s="555" t="s">
        <v>90</v>
      </c>
      <c r="D782" s="556">
        <v>17</v>
      </c>
      <c r="E782" s="449">
        <v>6</v>
      </c>
      <c r="F782" s="96" t="s">
        <v>54</v>
      </c>
      <c r="G782" s="70">
        <v>5</v>
      </c>
      <c r="H782" s="71">
        <v>2</v>
      </c>
      <c r="I782" s="12" t="e">
        <f>INDEX(Commerce_session1!A6:CX792,MATCH("Y",Commerce_session1!A6:A792,0),16)</f>
        <v>#N/A</v>
      </c>
      <c r="J782" s="13" t="e">
        <f>INDEX(Commerce_session1!A6:CX792,MATCH("Y",Commerce_session1!A6:A792,0),17)</f>
        <v>#N/A</v>
      </c>
      <c r="K782" s="452" t="e">
        <f>INDEX(Commerce_session1!A6:CX792,MATCH("Y",Commerce_session1!A6:A792,0),26)</f>
        <v>#N/A</v>
      </c>
      <c r="L782" s="494" t="e">
        <f>INDEX(Commerce_session1!A6:CX792,MATCH("Y",Commerce_session1!A6:A792,0),27)</f>
        <v>#N/A</v>
      </c>
      <c r="M782" s="495" t="e">
        <f>INDEX(Commerce_session1!D566:CZ608,MATCH("a",Commerce_session1!D566:D608,0),15)</f>
        <v>#N/A</v>
      </c>
      <c r="N782" s="498" t="e">
        <f>INDEX(Commerce_session1!A6:CX792,MATCH("Y",Commerce_session1!A6:A792,0),95)</f>
        <v>#N/A</v>
      </c>
      <c r="O782" s="487" t="e">
        <f>INDEX(Commerce_session1!A6:CX792,MATCH("Y",Commerce_session1!A6:A792,0),96)</f>
        <v>#N/A</v>
      </c>
    </row>
    <row r="783" spans="1:18" ht="18.75" customHeight="1" thickBot="1">
      <c r="A783" s="550"/>
      <c r="B783" s="553"/>
      <c r="C783" s="503"/>
      <c r="D783" s="557"/>
      <c r="E783" s="450"/>
      <c r="F783" s="97" t="s">
        <v>55</v>
      </c>
      <c r="G783" s="72">
        <v>6</v>
      </c>
      <c r="H783" s="73">
        <v>2</v>
      </c>
      <c r="I783" s="14" t="e">
        <f>INDEX(Commerce_session1!A6:CX792,MATCH("Y",Commerce_session1!A6:A792,0),20)</f>
        <v>#N/A</v>
      </c>
      <c r="J783" s="15" t="e">
        <f>INDEX(Commerce_session1!A6:CX792,MATCH("Y",Commerce_session1!A6:A792,0),21)</f>
        <v>#N/A</v>
      </c>
      <c r="K783" s="453" t="e">
        <f>INDEX(Commerce_session1!B566:CY608,MATCH("a",Commerce_session1!B566:B608,0),14)</f>
        <v>#N/A</v>
      </c>
      <c r="L783" s="496" t="e">
        <f>INDEX(Commerce_session1!D566:CZ608,MATCH("a",Commerce_session1!D566:D608,0),14)</f>
        <v>#N/A</v>
      </c>
      <c r="M783" s="497" t="e">
        <f>INDEX(Commerce_session1!E566:DA608,MATCH("a",Commerce_session1!E566:E608,0),14)</f>
        <v>#N/A</v>
      </c>
      <c r="N783" s="498" t="e">
        <f>INDEX(Commerce_session1!#REF!,MATCH("a",Commerce_session1!#REF!,0),62)</f>
        <v>#REF!</v>
      </c>
      <c r="O783" s="487" t="e">
        <f>INDEX(Commerce_session1!#REF!,MATCH("a",Commerce_session1!#REF!,0),62)</f>
        <v>#REF!</v>
      </c>
    </row>
    <row r="784" spans="1:18" ht="18.75" customHeight="1" thickBot="1">
      <c r="A784" s="550"/>
      <c r="B784" s="554"/>
      <c r="C784" s="504"/>
      <c r="D784" s="558"/>
      <c r="E784" s="451"/>
      <c r="F784" s="98" t="s">
        <v>56</v>
      </c>
      <c r="G784" s="74">
        <v>6</v>
      </c>
      <c r="H784" s="75">
        <v>2</v>
      </c>
      <c r="I784" s="16" t="e">
        <f>INDEX(Commerce_session1!A6:CX792,MATCH("Y",Commerce_session1!A6:A792,0),24)</f>
        <v>#N/A</v>
      </c>
      <c r="J784" s="17" t="e">
        <f>INDEX(Commerce_session1!A6:CX792,MATCH("Y",Commerce_session1!A6:A792,0),25)</f>
        <v>#N/A</v>
      </c>
      <c r="K784" s="454" t="e">
        <f>INDEX(Commerce_session1!B568:CY608,MATCH("a",Commerce_session1!B568:B608,0),14)</f>
        <v>#N/A</v>
      </c>
      <c r="L784" s="490" t="e">
        <f>INDEX(Commerce_session1!D568:CZ608,MATCH("a",Commerce_session1!D568:D608,0),14)</f>
        <v>#N/A</v>
      </c>
      <c r="M784" s="491" t="e">
        <f>INDEX(Commerce_session1!E568:DA608,MATCH("a",Commerce_session1!E568:E608,0),14)</f>
        <v>#N/A</v>
      </c>
      <c r="N784" s="498" t="e">
        <f>INDEX(Commerce_session1!#REF!,MATCH("a",Commerce_session1!#REF!,0),62)</f>
        <v>#REF!</v>
      </c>
      <c r="O784" s="487" t="e">
        <f>INDEX(Commerce_session1!#REF!,MATCH("a",Commerce_session1!#REF!,0),62)</f>
        <v>#REF!</v>
      </c>
    </row>
    <row r="785" spans="1:15" ht="19.5" customHeight="1" thickTop="1" thickBot="1">
      <c r="A785" s="550"/>
      <c r="B785" s="499" t="s">
        <v>37</v>
      </c>
      <c r="C785" s="502" t="s">
        <v>89</v>
      </c>
      <c r="D785" s="505">
        <v>7</v>
      </c>
      <c r="E785" s="508">
        <v>5</v>
      </c>
      <c r="F785" s="99" t="s">
        <v>83</v>
      </c>
      <c r="G785" s="76">
        <v>1</v>
      </c>
      <c r="H785" s="77">
        <v>1</v>
      </c>
      <c r="I785" s="18" t="e">
        <f>INDEX(Commerce_session1!A6:CX792,MATCH("Y",Commerce_session1!A6:A792,0),29)</f>
        <v>#N/A</v>
      </c>
      <c r="J785" s="19" t="e">
        <f>INDEX(Commerce_session1!A6:CX792,MATCH("Y",Commerce_session1!A6:A792,0),30)</f>
        <v>#N/A</v>
      </c>
      <c r="K785" s="509" t="e">
        <f>INDEX(Commerce_session1!A6:CX792,MATCH("Y",Commerce_session1!A6:A792,0),39)</f>
        <v>#N/A</v>
      </c>
      <c r="L785" s="488" t="e">
        <f>INDEX(Commerce_session1!A6:CX792,MATCH("Y",Commerce_session1!A6:A792,0),40)</f>
        <v>#N/A</v>
      </c>
      <c r="M785" s="489" t="e">
        <f>INDEX(Commerce_session1!D566:CZ608,MATCH("a",Commerce_session1!D566:D608,0),23)</f>
        <v>#N/A</v>
      </c>
      <c r="N785" s="498" t="e">
        <f>INDEX(Commerce_session1!#REF!,MATCH("a",Commerce_session1!#REF!,0),62)</f>
        <v>#REF!</v>
      </c>
      <c r="O785" s="487" t="e">
        <f>INDEX(Commerce_session1!#REF!,MATCH("a",Commerce_session1!#REF!,0),62)</f>
        <v>#REF!</v>
      </c>
    </row>
    <row r="786" spans="1:15" ht="18.75" customHeight="1" thickTop="1" thickBot="1">
      <c r="A786" s="550"/>
      <c r="B786" s="500"/>
      <c r="C786" s="503"/>
      <c r="D786" s="506"/>
      <c r="E786" s="450"/>
      <c r="F786" s="100" t="s">
        <v>99</v>
      </c>
      <c r="G786" s="78">
        <v>3</v>
      </c>
      <c r="H786" s="79">
        <v>2</v>
      </c>
      <c r="I786" s="18" t="e">
        <f>INDEX(Commerce_session1!A6:CX792,MATCH("Y",Commerce_session1!A6:A792,0),33)</f>
        <v>#N/A</v>
      </c>
      <c r="J786" s="15" t="e">
        <f>INDEX(Commerce_session1!A6:CX792,MATCH("Y",Commerce_session1!A6:A792,0),34)</f>
        <v>#N/A</v>
      </c>
      <c r="K786" s="510" t="e">
        <f>INDEX(Commerce_session1!B565:CY608,MATCH("a",Commerce_session1!B565:B608,0),22)</f>
        <v>#N/A</v>
      </c>
      <c r="L786" s="496" t="e">
        <f>INDEX(Commerce_session1!D565:CZ608,MATCH("a",Commerce_session1!D565:D608,0),22)</f>
        <v>#N/A</v>
      </c>
      <c r="M786" s="497" t="e">
        <f>INDEX(Commerce_session1!E565:DA608,MATCH("a",Commerce_session1!E565:E608,0),22)</f>
        <v>#N/A</v>
      </c>
      <c r="N786" s="498" t="e">
        <f>INDEX(Commerce_session1!#REF!,MATCH("a",Commerce_session1!#REF!,0),62)</f>
        <v>#REF!</v>
      </c>
      <c r="O786" s="487" t="e">
        <f>INDEX(Commerce_session1!#REF!,MATCH("a",Commerce_session1!#REF!,0),62)</f>
        <v>#REF!</v>
      </c>
    </row>
    <row r="787" spans="1:15" ht="18.75" customHeight="1" thickBot="1">
      <c r="A787" s="550"/>
      <c r="B787" s="501"/>
      <c r="C787" s="504"/>
      <c r="D787" s="507"/>
      <c r="E787" s="451"/>
      <c r="F787" s="101" t="s">
        <v>84</v>
      </c>
      <c r="G787" s="80">
        <v>3</v>
      </c>
      <c r="H787" s="81">
        <v>2</v>
      </c>
      <c r="I787" s="20" t="e">
        <f>INDEX(Commerce_session1!A6:CX792,MATCH("Y",Commerce_session1!A6:A792,0),37)</f>
        <v>#N/A</v>
      </c>
      <c r="J787" s="17" t="e">
        <f>INDEX(Commerce_session1!A6:CX792,MATCH("Y",Commerce_session1!A6:A792,0),38)</f>
        <v>#N/A</v>
      </c>
      <c r="K787" s="511" t="e">
        <f>INDEX(Commerce_session1!B566:CY608,MATCH("a",Commerce_session1!B566:B608,0),22)</f>
        <v>#N/A</v>
      </c>
      <c r="L787" s="490" t="e">
        <f>INDEX(Commerce_session1!D566:CZ608,MATCH("a",Commerce_session1!D566:D608,0),22)</f>
        <v>#N/A</v>
      </c>
      <c r="M787" s="491" t="e">
        <f>INDEX(Commerce_session1!E566:DA608,MATCH("a",Commerce_session1!E566:E608,0),22)</f>
        <v>#N/A</v>
      </c>
      <c r="N787" s="498" t="e">
        <f>INDEX(Commerce_session1!#REF!,MATCH("a",Commerce_session1!#REF!,0),62)</f>
        <v>#REF!</v>
      </c>
      <c r="O787" s="487" t="e">
        <f>INDEX(Commerce_session1!#REF!,MATCH("a",Commerce_session1!#REF!,0),62)</f>
        <v>#REF!</v>
      </c>
    </row>
    <row r="788" spans="1:15" ht="33.75" customHeight="1" thickTop="1" thickBot="1">
      <c r="A788" s="550"/>
      <c r="B788" s="531" t="s">
        <v>38</v>
      </c>
      <c r="C788" s="559" t="s">
        <v>50</v>
      </c>
      <c r="D788" s="520">
        <v>5</v>
      </c>
      <c r="E788" s="508">
        <v>2</v>
      </c>
      <c r="F788" s="102" t="s">
        <v>63</v>
      </c>
      <c r="G788" s="68">
        <v>4</v>
      </c>
      <c r="H788" s="69">
        <v>1</v>
      </c>
      <c r="I788" s="18" t="e">
        <f>INDEX(Commerce_session1!A6:CX792,MATCH("Y",Commerce_session1!A6:A792,0),43)</f>
        <v>#N/A</v>
      </c>
      <c r="J788" s="19" t="e">
        <f>INDEX(Commerce_session1!A6:CX792,MATCH("Y",Commerce_session1!A6:A792,0),44)</f>
        <v>#N/A</v>
      </c>
      <c r="K788" s="509" t="e">
        <f>INDEX(Commerce_session1!A6:CX792,MATCH("Y",Commerce_session1!A6:A792,0),48)</f>
        <v>#N/A</v>
      </c>
      <c r="L788" s="488" t="e">
        <f>INDEX(Commerce_session1!A6:CX792,MATCH("Y",Commerce_session1!A6:A792,0),49)</f>
        <v>#N/A</v>
      </c>
      <c r="M788" s="489" t="e">
        <f>INDEX(Commerce_session1!D566:CZ608,MATCH("a",Commerce_session1!D566:D608,0),29)</f>
        <v>#N/A</v>
      </c>
      <c r="N788" s="498" t="e">
        <f>INDEX(Commerce_session1!#REF!,MATCH("a",Commerce_session1!#REF!,0),62)</f>
        <v>#REF!</v>
      </c>
      <c r="O788" s="487" t="e">
        <f>INDEX(Commerce_session1!#REF!,MATCH("a",Commerce_session1!#REF!,0),62)</f>
        <v>#REF!</v>
      </c>
    </row>
    <row r="789" spans="1:15" ht="18.75" customHeight="1" thickBot="1">
      <c r="A789" s="550"/>
      <c r="B789" s="527"/>
      <c r="C789" s="524"/>
      <c r="D789" s="521"/>
      <c r="E789" s="451"/>
      <c r="F789" s="101" t="s">
        <v>62</v>
      </c>
      <c r="G789" s="80">
        <v>1</v>
      </c>
      <c r="H789" s="81">
        <v>1</v>
      </c>
      <c r="I789" s="16" t="e">
        <f>INDEX(Commerce_session1!A6:CX792,MATCH("Y",Commerce_session1!A6:A792,0),46)</f>
        <v>#N/A</v>
      </c>
      <c r="J789" s="21" t="e">
        <f>INDEX(Commerce_session1!A6:CX792,MATCH("Y",Commerce_session1!A6:A792,0),47)</f>
        <v>#N/A</v>
      </c>
      <c r="K789" s="511" t="e">
        <f>INDEX(Commerce_session1!B566:CY608,MATCH("a",Commerce_session1!B566:B608,0),28)</f>
        <v>#N/A</v>
      </c>
      <c r="L789" s="490" t="e">
        <f>INDEX(Commerce_session1!D566:CZ608,MATCH("a",Commerce_session1!D566:D608,0),28)</f>
        <v>#N/A</v>
      </c>
      <c r="M789" s="491" t="e">
        <f>INDEX(Commerce_session1!E566:DA608,MATCH("a",Commerce_session1!E566:E608,0),28)</f>
        <v>#N/A</v>
      </c>
      <c r="N789" s="498" t="e">
        <f>INDEX(Commerce_session1!#REF!,MATCH("a",Commerce_session1!#REF!,0),62)</f>
        <v>#REF!</v>
      </c>
      <c r="O789" s="487" t="e">
        <f>INDEX(Commerce_session1!#REF!,MATCH("a",Commerce_session1!#REF!,0),62)</f>
        <v>#REF!</v>
      </c>
    </row>
    <row r="790" spans="1:15" ht="20.25" customHeight="1" thickTop="1" thickBot="1">
      <c r="A790" s="551"/>
      <c r="B790" s="105" t="s">
        <v>39</v>
      </c>
      <c r="C790" s="104" t="s">
        <v>51</v>
      </c>
      <c r="D790" s="22">
        <v>1</v>
      </c>
      <c r="E790" s="23">
        <v>1</v>
      </c>
      <c r="F790" s="103" t="s">
        <v>64</v>
      </c>
      <c r="G790" s="82">
        <v>1</v>
      </c>
      <c r="H790" s="83">
        <v>1</v>
      </c>
      <c r="I790" s="20" t="e">
        <f>INDEX(Commerce_session1!A6:CX792,MATCH("Y",Commerce_session1!A6:A792,0),52)</f>
        <v>#N/A</v>
      </c>
      <c r="J790" s="24" t="e">
        <f>INDEX(Commerce_session1!A6:CX792,MATCH("Y",Commerce_session1!A6:A792,0),53)</f>
        <v>#N/A</v>
      </c>
      <c r="K790" s="36" t="e">
        <f>INDEX(Commerce_session1!A6:CX792,MATCH("Y",Commerce_session1!A6:A792,0),54)</f>
        <v>#N/A</v>
      </c>
      <c r="L790" s="492" t="e">
        <f>INDEX(Commerce_session1!A6:CX792,MATCH("Y",Commerce_session1!A6:A792,0),55)</f>
        <v>#N/A</v>
      </c>
      <c r="M790" s="493" t="e">
        <f>INDEX(Commerce_session1!D566:CZ608,MATCH("a",Commerce_session1!D566:D608,0),33)</f>
        <v>#N/A</v>
      </c>
      <c r="N790" s="498" t="e">
        <f>INDEX(Commerce_session1!#REF!,MATCH("a",Commerce_session1!#REF!,0),62)</f>
        <v>#REF!</v>
      </c>
      <c r="O790" s="487" t="e">
        <f>INDEX(Commerce_session1!#REF!,MATCH("a",Commerce_session1!#REF!,0),62)</f>
        <v>#REF!</v>
      </c>
    </row>
    <row r="791" spans="1:15" ht="19.5" customHeight="1" thickTop="1" thickBot="1">
      <c r="A791" s="516" t="s">
        <v>77</v>
      </c>
      <c r="B791" s="525" t="s">
        <v>36</v>
      </c>
      <c r="C791" s="522" t="s">
        <v>88</v>
      </c>
      <c r="D791" s="528">
        <v>16</v>
      </c>
      <c r="E791" s="449">
        <v>5</v>
      </c>
      <c r="F791" s="96" t="s">
        <v>67</v>
      </c>
      <c r="G791" s="114">
        <v>6</v>
      </c>
      <c r="H791" s="115">
        <v>2</v>
      </c>
      <c r="I791" s="18" t="e">
        <f>INDEX(Commerce_session1!A6:CX792,MATCH("Y",Commerce_session1!A6:A792,0),60)</f>
        <v>#N/A</v>
      </c>
      <c r="J791" s="19" t="e">
        <f>INDEX(Commerce_session1!A6:CX792,MATCH("Y",Commerce_session1!A6:A792,0),61)</f>
        <v>#N/A</v>
      </c>
      <c r="K791" s="519" t="e">
        <f>INDEX(Commerce_session1!A6:CX792,MATCH("Y",Commerce_session1!A6:A792,0),70)</f>
        <v>#N/A</v>
      </c>
      <c r="L791" s="494" t="e">
        <f>INDEX(Commerce_session1!A6:CX792,MATCH("Y",Commerce_session1!A6:A792,0),71)</f>
        <v>#N/A</v>
      </c>
      <c r="M791" s="495"/>
      <c r="N791" s="498" t="e">
        <f>INDEX(Commerce_session1!A6:CX792,MATCH("Y",Commerce_session1!A6:A792,0),97)</f>
        <v>#N/A</v>
      </c>
      <c r="O791" s="487" t="e">
        <f>INDEX(Commerce_session1!A6:CX792,MATCH("Y",Commerce_session1!A6:A792,0),98)</f>
        <v>#N/A</v>
      </c>
    </row>
    <row r="792" spans="1:15" ht="18.75" customHeight="1" thickBot="1">
      <c r="A792" s="517"/>
      <c r="B792" s="526"/>
      <c r="C792" s="523"/>
      <c r="D792" s="529"/>
      <c r="E792" s="450"/>
      <c r="F792" s="100" t="s">
        <v>68</v>
      </c>
      <c r="G792" s="116">
        <v>6</v>
      </c>
      <c r="H792" s="117">
        <v>2</v>
      </c>
      <c r="I792" s="14" t="e">
        <f>INDEX(Commerce_session1!A6:CX792,MATCH("Y",Commerce_session1!A6:A792,0),64)</f>
        <v>#N/A</v>
      </c>
      <c r="J792" s="15" t="e">
        <f>INDEX(Commerce_session1!A6:CX792,MATCH("Y",Commerce_session1!A6:A792,0),65)</f>
        <v>#N/A</v>
      </c>
      <c r="K792" s="510"/>
      <c r="L792" s="496"/>
      <c r="M792" s="497"/>
      <c r="N792" s="498" t="e">
        <f>INDEX(Commerce_session1!F566:DA608,MATCH("a",Commerce_session1!F566:F608,0),42)</f>
        <v>#N/A</v>
      </c>
      <c r="O792" s="487" t="e">
        <f>INDEX(Commerce_session1!G566:DA608,MATCH("a",Commerce_session1!G566:G608,0),42)</f>
        <v>#N/A</v>
      </c>
    </row>
    <row r="793" spans="1:15" ht="20.25" customHeight="1" thickBot="1">
      <c r="A793" s="517"/>
      <c r="B793" s="527"/>
      <c r="C793" s="524"/>
      <c r="D793" s="530"/>
      <c r="E793" s="451"/>
      <c r="F793" s="101" t="s">
        <v>103</v>
      </c>
      <c r="G793" s="118">
        <v>4</v>
      </c>
      <c r="H793" s="119">
        <v>1</v>
      </c>
      <c r="I793" s="127" t="e">
        <f>INDEX(Commerce_session1!A6:CX792,MATCH("Y",Commerce_session1!A6:A792,0),68)</f>
        <v>#N/A</v>
      </c>
      <c r="J793" s="21" t="e">
        <f>INDEX(Commerce_session1!A6:CX792,MATCH("Y",Commerce_session1!A6:A792,0),69)</f>
        <v>#N/A</v>
      </c>
      <c r="K793" s="511"/>
      <c r="L793" s="490"/>
      <c r="M793" s="491"/>
      <c r="N793" s="498" t="e">
        <f>INDEX(Commerce_session1!F567:DA608,MATCH("a",Commerce_session1!F567:F608,0),42)</f>
        <v>#N/A</v>
      </c>
      <c r="O793" s="487" t="e">
        <f>INDEX(Commerce_session1!G567:DA608,MATCH("a",Commerce_session1!G567:G608,0),42)</f>
        <v>#N/A</v>
      </c>
    </row>
    <row r="794" spans="1:15" ht="22.5" customHeight="1" thickTop="1" thickBot="1">
      <c r="A794" s="517"/>
      <c r="B794" s="531" t="s">
        <v>37</v>
      </c>
      <c r="C794" s="559" t="s">
        <v>87</v>
      </c>
      <c r="D794" s="532">
        <v>10</v>
      </c>
      <c r="E794" s="508">
        <v>4</v>
      </c>
      <c r="F794" s="128" t="s">
        <v>104</v>
      </c>
      <c r="G794" s="76">
        <v>5</v>
      </c>
      <c r="H794" s="77">
        <v>2</v>
      </c>
      <c r="I794" s="18" t="e">
        <f>INDEX(Commerce_session1!A6:CX792,MATCH("Y",Commerce_session1!A6:A792,0),74)</f>
        <v>#N/A</v>
      </c>
      <c r="J794" s="19" t="e">
        <f>INDEX(Commerce_session1!A6:CX792,MATCH("Y",Commerce_session1!A6:A792,0),75)</f>
        <v>#N/A</v>
      </c>
      <c r="K794" s="509" t="e">
        <f>INDEX(Commerce_session1!A6:CX792,MATCH("Y",Commerce_session1!A6:A792,0),80)</f>
        <v>#N/A</v>
      </c>
      <c r="L794" s="488" t="e">
        <f>INDEX(Commerce_session1!A6:CX792,MATCH("Y",Commerce_session1!A6:A792,0),81)</f>
        <v>#N/A</v>
      </c>
      <c r="M794" s="489"/>
      <c r="N794" s="498" t="e">
        <f>INDEX(Commerce_session1!E569:DA608,MATCH("a",Commerce_session1!E569:E608,0),43)</f>
        <v>#N/A</v>
      </c>
      <c r="O794" s="487" t="e">
        <f>INDEX(Commerce_session1!F569:DA608,MATCH("a",Commerce_session1!F569:F608,0),43)</f>
        <v>#N/A</v>
      </c>
    </row>
    <row r="795" spans="1:15" ht="18.75" customHeight="1" thickBot="1">
      <c r="A795" s="517"/>
      <c r="B795" s="527"/>
      <c r="C795" s="524"/>
      <c r="D795" s="530"/>
      <c r="E795" s="451"/>
      <c r="F795" s="98" t="s">
        <v>69</v>
      </c>
      <c r="G795" s="74">
        <v>5</v>
      </c>
      <c r="H795" s="75">
        <v>2</v>
      </c>
      <c r="I795" s="20" t="e">
        <f>INDEX(Commerce_session1!A6:CX792,MATCH("Y",Commerce_session1!A6:A792,0),78)</f>
        <v>#N/A</v>
      </c>
      <c r="J795" s="17" t="e">
        <f>INDEX(Commerce_session1!A6:CX792,MATCH("Y",Commerce_session1!A6:A792,0),79)</f>
        <v>#N/A</v>
      </c>
      <c r="K795" s="511"/>
      <c r="L795" s="490"/>
      <c r="M795" s="491"/>
      <c r="N795" s="498" t="e">
        <f>INDEX(Commerce_session1!F570:DA608,MATCH("a",Commerce_session1!F570:F608,0),42)</f>
        <v>#N/A</v>
      </c>
      <c r="O795" s="487" t="e">
        <f>INDEX(Commerce_session1!G570:DA608,MATCH("a",Commerce_session1!G570:G608,0),42)</f>
        <v>#N/A</v>
      </c>
    </row>
    <row r="796" spans="1:15" ht="18.75" customHeight="1" thickTop="1" thickBot="1">
      <c r="A796" s="517"/>
      <c r="B796" s="105" t="s">
        <v>38</v>
      </c>
      <c r="C796" s="104" t="s">
        <v>85</v>
      </c>
      <c r="D796" s="22">
        <v>3</v>
      </c>
      <c r="E796" s="23">
        <v>2</v>
      </c>
      <c r="F796" s="101" t="s">
        <v>74</v>
      </c>
      <c r="G796" s="74">
        <v>3</v>
      </c>
      <c r="H796" s="75">
        <v>2</v>
      </c>
      <c r="I796" s="20" t="e">
        <f>INDEX(Commerce_session1!A6:CX792,MATCH("Y",Commerce_session1!A6:A792,0),84)</f>
        <v>#N/A</v>
      </c>
      <c r="J796" s="17" t="e">
        <f>INDEX(Commerce_session1!A6:CX792,MATCH("Y",Commerce_session1!A6:A792,0),85)</f>
        <v>#N/A</v>
      </c>
      <c r="K796" s="123" t="e">
        <f>INDEX(Commerce_session1!A6:CX792,MATCH("Y",Commerce_session1!A6:A792,0),86)</f>
        <v>#N/A</v>
      </c>
      <c r="L796" s="512" t="e">
        <f>INDEX(Commerce_session1!A6:CX792,MATCH("Y",Commerce_session1!A6:A792,0),87)</f>
        <v>#N/A</v>
      </c>
      <c r="M796" s="513"/>
      <c r="N796" s="498" t="e">
        <f>INDEX(Commerce_session1!F572:DA608,MATCH("a",Commerce_session1!F572:F608,0),42)</f>
        <v>#N/A</v>
      </c>
      <c r="O796" s="487" t="e">
        <f>INDEX(Commerce_session1!G572:DA608,MATCH("a",Commerce_session1!G572:G608,0),42)</f>
        <v>#N/A</v>
      </c>
    </row>
    <row r="797" spans="1:15" ht="20.25" customHeight="1" thickTop="1" thickBot="1">
      <c r="A797" s="518"/>
      <c r="B797" s="105" t="s">
        <v>39</v>
      </c>
      <c r="C797" s="104" t="s">
        <v>86</v>
      </c>
      <c r="D797" s="22">
        <v>1</v>
      </c>
      <c r="E797" s="23">
        <v>1</v>
      </c>
      <c r="F797" s="103" t="s">
        <v>73</v>
      </c>
      <c r="G797" s="82">
        <v>1</v>
      </c>
      <c r="H797" s="83">
        <v>1</v>
      </c>
      <c r="I797" s="25" t="e">
        <f>INDEX(Commerce_session1!A6:CX792,MATCH("Y",Commerce_session1!A6:A792,0),89)</f>
        <v>#N/A</v>
      </c>
      <c r="J797" s="26" t="e">
        <f>INDEX(Commerce_session1!A6:CX792,MATCH("Y",Commerce_session1!A6:A792,0),90)</f>
        <v>#N/A</v>
      </c>
      <c r="K797" s="27" t="e">
        <f>INDEX(Commerce_session1!A6:CX792,MATCH("Y",Commerce_session1!A6:A792,0),91)</f>
        <v>#N/A</v>
      </c>
      <c r="L797" s="514" t="e">
        <f>INDEX(Commerce_session1!A6:CX792,MATCH("Y",Commerce_session1!A6:A792,0),92)</f>
        <v>#N/A</v>
      </c>
      <c r="M797" s="515" t="e">
        <f>INDEX(Commerce_session1!D566:CZ608,MATCH("a",Commerce_session1!D566:D608,0),61)</f>
        <v>#N/A</v>
      </c>
      <c r="N797" s="498" t="e">
        <f>INDEX(Commerce_session1!F573:DA608,MATCH("a",Commerce_session1!F573:F608,0),42)</f>
        <v>#N/A</v>
      </c>
      <c r="O797" s="487" t="e">
        <f>INDEX(Commerce_session1!G573:DA608,MATCH("a",Commerce_session1!G573:G608,0),42)</f>
        <v>#N/A</v>
      </c>
    </row>
    <row r="798" spans="1:15" ht="20.25">
      <c r="A798" s="535" t="s">
        <v>40</v>
      </c>
      <c r="B798" s="536"/>
      <c r="C798" s="537"/>
      <c r="D798" s="121" t="e">
        <f>INDEX(Commerce_session1!A6:CX792,MATCH("Y",Commerce_session1!A6:A792,0),99)</f>
        <v>#N/A</v>
      </c>
      <c r="E798" s="538" t="s">
        <v>41</v>
      </c>
      <c r="F798" s="540"/>
      <c r="G798" s="120" t="e">
        <f>INDEX(Commerce_session1!A6:CX792,MATCH("Y",Commerce_session1!A6:A792,0),100)</f>
        <v>#N/A</v>
      </c>
      <c r="H798" s="538" t="s">
        <v>91</v>
      </c>
      <c r="I798" s="539"/>
      <c r="J798" s="539"/>
      <c r="K798" s="540"/>
      <c r="L798" s="541" t="e">
        <f>INDEX(Commerce_session1!A6:CX792,MATCH("Y",Commerce_session1!A6:A792,0),101)</f>
        <v>#N/A</v>
      </c>
      <c r="M798" s="542"/>
      <c r="N798" s="8"/>
      <c r="O798" s="8"/>
    </row>
    <row r="799" spans="1:15" ht="22.5">
      <c r="A799" s="546" t="s">
        <v>42</v>
      </c>
      <c r="B799" s="547"/>
      <c r="C799" s="548"/>
      <c r="D799" s="543" t="e">
        <f>INDEX(Commerce_session1!A6:CX792,MATCH("Y",Commerce_session1!A6:A792,0),102)</f>
        <v>#N/A</v>
      </c>
      <c r="E799" s="544"/>
      <c r="F799" s="545"/>
      <c r="G799" s="108"/>
      <c r="H799" s="109"/>
      <c r="I799" s="110"/>
      <c r="J799" s="111"/>
      <c r="K799" s="110"/>
      <c r="L799" s="110"/>
      <c r="M799" s="110"/>
      <c r="N799" s="112" t="s">
        <v>43</v>
      </c>
      <c r="O799" s="28">
        <f ca="1">TODAY()</f>
        <v>43626</v>
      </c>
    </row>
    <row r="800" spans="1:15" ht="32.25" customHeight="1">
      <c r="A800" s="113" t="s">
        <v>44</v>
      </c>
      <c r="B800" s="29"/>
      <c r="C800" s="29"/>
      <c r="D800" s="533"/>
      <c r="E800" s="533"/>
      <c r="F800" s="30"/>
      <c r="G800" s="4"/>
      <c r="J800" s="4"/>
      <c r="L800" s="534" t="s">
        <v>46</v>
      </c>
      <c r="M800" s="534"/>
      <c r="N800" s="534"/>
    </row>
    <row r="801" spans="1:18" ht="23.25" customHeight="1" thickBot="1">
      <c r="A801" s="84" t="s">
        <v>12</v>
      </c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445" t="s">
        <v>13</v>
      </c>
      <c r="M801" s="445"/>
      <c r="N801" s="445"/>
      <c r="O801" s="445"/>
      <c r="P801" s="2"/>
      <c r="Q801" s="2"/>
      <c r="R801" s="2"/>
    </row>
    <row r="802" spans="1:18" ht="15.75">
      <c r="A802" s="446" t="s">
        <v>14</v>
      </c>
      <c r="B802" s="446"/>
      <c r="C802" s="446"/>
      <c r="D802" s="446"/>
      <c r="E802" s="446"/>
      <c r="F802" s="3"/>
      <c r="H802" s="4"/>
      <c r="K802" s="4"/>
      <c r="L802" s="4"/>
    </row>
    <row r="803" spans="1:18" ht="15.75">
      <c r="A803" s="85" t="s">
        <v>15</v>
      </c>
      <c r="B803" s="85"/>
      <c r="C803" s="85"/>
      <c r="D803" s="85"/>
      <c r="E803" s="85"/>
      <c r="F803" s="5"/>
      <c r="H803" s="4"/>
      <c r="K803" s="4"/>
      <c r="L803" s="4"/>
      <c r="P803" s="6"/>
    </row>
    <row r="804" spans="1:18" ht="15.75">
      <c r="A804" s="85" t="s">
        <v>100</v>
      </c>
      <c r="B804" s="85"/>
      <c r="C804" s="85"/>
      <c r="D804" s="85"/>
      <c r="E804" s="85"/>
      <c r="F804" s="3"/>
      <c r="H804" s="4"/>
      <c r="K804" s="4"/>
      <c r="L804" s="4"/>
    </row>
    <row r="805" spans="1:18" s="8" customFormat="1" ht="27" customHeight="1">
      <c r="A805" s="7"/>
      <c r="B805" s="7"/>
      <c r="C805" s="7"/>
      <c r="D805" s="447" t="s">
        <v>94</v>
      </c>
      <c r="E805" s="447"/>
      <c r="F805" s="447"/>
      <c r="G805" s="447"/>
      <c r="H805" s="447"/>
      <c r="I805" s="447"/>
      <c r="J805" s="447"/>
      <c r="K805" s="447"/>
      <c r="L805" s="447"/>
      <c r="M805" s="7"/>
      <c r="N805" s="7"/>
      <c r="O805" s="7"/>
    </row>
    <row r="806" spans="1:18" ht="23.25" customHeight="1">
      <c r="A806" s="126" t="s">
        <v>101</v>
      </c>
      <c r="B806" s="126"/>
      <c r="C806" s="126"/>
      <c r="D806" s="126"/>
      <c r="E806" s="126"/>
      <c r="F806" s="126"/>
      <c r="G806" s="122"/>
      <c r="H806" s="122"/>
      <c r="I806" s="122" t="e">
        <f>IF(D831="ناجح(ة) دورة1","-الدورة الأولى-","-الدورة الثانية-")</f>
        <v>#N/A</v>
      </c>
      <c r="J806" s="124" t="s">
        <v>48</v>
      </c>
      <c r="K806" s="124"/>
      <c r="L806" s="87"/>
      <c r="M806" s="88"/>
      <c r="N806" s="89"/>
      <c r="O806" s="9"/>
    </row>
    <row r="807" spans="1:18" ht="20.25" customHeight="1">
      <c r="A807" s="476" t="s">
        <v>93</v>
      </c>
      <c r="B807" s="476"/>
      <c r="C807" s="90" t="e">
        <f>INDEX(Commerce_session1!A6:CX792,MATCH("Z",Commerce_session1!A6:A792,0),3)</f>
        <v>#N/A</v>
      </c>
      <c r="D807" s="91" t="s">
        <v>92</v>
      </c>
      <c r="E807" s="448" t="e">
        <f>INDEX(Commerce_session1!A6:CX792,MATCH("Z",Commerce_session1!A6:A792,0),4)</f>
        <v>#N/A</v>
      </c>
      <c r="F807" s="448" t="e">
        <f>INDEX(Commerce_session1!D598:DA892,MATCH("a",Commerce_session1!D598:D892,0),3)</f>
        <v>#N/A</v>
      </c>
      <c r="G807" s="477" t="s">
        <v>16</v>
      </c>
      <c r="H807" s="477"/>
      <c r="I807" s="477"/>
      <c r="J807" s="478" t="e">
        <f>INDEX(Commerce_session1!A6:CX792,MATCH("Z",Commerce_session1!A6:A792,0),6)</f>
        <v>#N/A</v>
      </c>
      <c r="K807" s="478"/>
      <c r="L807" s="88"/>
      <c r="M807" s="92" t="s">
        <v>17</v>
      </c>
      <c r="N807" s="90" t="e">
        <f>INDEX(Commerce_session1!A6:CX792,MATCH("Z",Commerce_session1!A6:A792,0),7)</f>
        <v>#N/A</v>
      </c>
      <c r="O807" s="10"/>
    </row>
    <row r="808" spans="1:18" ht="20.25" customHeight="1">
      <c r="A808" s="476" t="s">
        <v>18</v>
      </c>
      <c r="B808" s="476"/>
      <c r="C808" s="448" t="e">
        <f>INDEX(Commerce_session1!A6:CX792,MATCH("Z",Commerce_session1!A6:A792,0),5)</f>
        <v>#N/A</v>
      </c>
      <c r="D808" s="448"/>
      <c r="E808" s="91"/>
      <c r="F808" s="88"/>
      <c r="G808" s="93"/>
      <c r="H808" s="88"/>
      <c r="I808" s="88"/>
      <c r="J808" s="93"/>
      <c r="K808" s="88"/>
      <c r="L808" s="88"/>
      <c r="M808" s="88"/>
      <c r="N808" s="88"/>
      <c r="O808" s="10"/>
    </row>
    <row r="809" spans="1:18" ht="20.25" customHeight="1">
      <c r="A809" s="476" t="s">
        <v>102</v>
      </c>
      <c r="B809" s="476"/>
      <c r="C809" s="476"/>
      <c r="D809" s="476"/>
      <c r="E809" s="476"/>
      <c r="F809" s="476"/>
      <c r="G809" s="476"/>
      <c r="H809" s="476"/>
      <c r="I809" s="476"/>
      <c r="J809" s="476"/>
      <c r="K809" s="476"/>
      <c r="L809" s="476"/>
      <c r="M809" s="476"/>
      <c r="N809" s="476"/>
      <c r="O809" s="476"/>
    </row>
    <row r="810" spans="1:18" ht="20.25" customHeight="1" thickBot="1">
      <c r="A810" s="459" t="s">
        <v>19</v>
      </c>
      <c r="B810" s="459"/>
      <c r="C810" s="459"/>
      <c r="D810" s="459"/>
      <c r="E810" s="459"/>
      <c r="F810" s="459"/>
      <c r="G810" s="459"/>
      <c r="H810" s="94"/>
      <c r="I810" s="94"/>
      <c r="J810" s="95"/>
      <c r="K810" s="94"/>
      <c r="L810" s="94"/>
      <c r="M810" s="94"/>
      <c r="N810" s="94"/>
      <c r="O810" s="11"/>
    </row>
    <row r="811" spans="1:18" ht="18.75" thickBot="1">
      <c r="A811" s="460" t="s">
        <v>20</v>
      </c>
      <c r="B811" s="463" t="s">
        <v>21</v>
      </c>
      <c r="C811" s="464"/>
      <c r="D811" s="464"/>
      <c r="E811" s="464"/>
      <c r="F811" s="464" t="s">
        <v>22</v>
      </c>
      <c r="G811" s="464"/>
      <c r="H811" s="464"/>
      <c r="I811" s="465" t="s">
        <v>23</v>
      </c>
      <c r="J811" s="466"/>
      <c r="K811" s="466"/>
      <c r="L811" s="466"/>
      <c r="M811" s="466"/>
      <c r="N811" s="466"/>
      <c r="O811" s="467"/>
    </row>
    <row r="812" spans="1:18">
      <c r="A812" s="461"/>
      <c r="B812" s="468" t="s">
        <v>24</v>
      </c>
      <c r="C812" s="470" t="s">
        <v>25</v>
      </c>
      <c r="D812" s="472" t="s">
        <v>26</v>
      </c>
      <c r="E812" s="474" t="s">
        <v>27</v>
      </c>
      <c r="F812" s="479" t="s">
        <v>28</v>
      </c>
      <c r="G812" s="468" t="s">
        <v>11</v>
      </c>
      <c r="H812" s="481" t="s">
        <v>27</v>
      </c>
      <c r="I812" s="482" t="s">
        <v>29</v>
      </c>
      <c r="J812" s="483"/>
      <c r="K812" s="484" t="s">
        <v>30</v>
      </c>
      <c r="L812" s="485"/>
      <c r="M812" s="486"/>
      <c r="N812" s="455" t="s">
        <v>20</v>
      </c>
      <c r="O812" s="456"/>
    </row>
    <row r="813" spans="1:18" ht="15.75" thickBot="1">
      <c r="A813" s="462"/>
      <c r="B813" s="469"/>
      <c r="C813" s="471"/>
      <c r="D813" s="473"/>
      <c r="E813" s="475"/>
      <c r="F813" s="480"/>
      <c r="G813" s="469"/>
      <c r="H813" s="473"/>
      <c r="I813" s="106" t="s">
        <v>10</v>
      </c>
      <c r="J813" s="106" t="s">
        <v>31</v>
      </c>
      <c r="K813" s="106" t="s">
        <v>32</v>
      </c>
      <c r="L813" s="457" t="s">
        <v>33</v>
      </c>
      <c r="M813" s="458"/>
      <c r="N813" s="106" t="s">
        <v>34</v>
      </c>
      <c r="O813" s="107" t="s">
        <v>35</v>
      </c>
    </row>
    <row r="814" spans="1:18" ht="18.75" customHeight="1" thickBot="1">
      <c r="A814" s="549" t="s">
        <v>76</v>
      </c>
      <c r="B814" s="552" t="s">
        <v>36</v>
      </c>
      <c r="C814" s="555" t="s">
        <v>90</v>
      </c>
      <c r="D814" s="556">
        <v>17</v>
      </c>
      <c r="E814" s="449">
        <v>6</v>
      </c>
      <c r="F814" s="96" t="s">
        <v>54</v>
      </c>
      <c r="G814" s="70">
        <v>5</v>
      </c>
      <c r="H814" s="71">
        <v>2</v>
      </c>
      <c r="I814" s="12" t="e">
        <f>INDEX(Commerce_session1!A6:CX792,MATCH("Z",Commerce_session1!A6:A792,0),16)</f>
        <v>#N/A</v>
      </c>
      <c r="J814" s="13" t="e">
        <f>INDEX(Commerce_session1!A6:CX792,MATCH("Z",Commerce_session1!A6:A792,0),17)</f>
        <v>#N/A</v>
      </c>
      <c r="K814" s="452" t="e">
        <f>INDEX(Commerce_session1!A6:CX792,MATCH("Z",Commerce_session1!A6:A792,0),26)</f>
        <v>#N/A</v>
      </c>
      <c r="L814" s="494" t="e">
        <f>INDEX(Commerce_session1!A6:CX792,MATCH("Z",Commerce_session1!A6:A792,0),27)</f>
        <v>#N/A</v>
      </c>
      <c r="M814" s="495" t="e">
        <f>INDEX(Commerce_session1!D598:CZ640,MATCH("a",Commerce_session1!D598:D640,0),15)</f>
        <v>#N/A</v>
      </c>
      <c r="N814" s="498" t="e">
        <f>INDEX(Commerce_session1!A6:CX792,MATCH("Z",Commerce_session1!A6:A792,0),95)</f>
        <v>#N/A</v>
      </c>
      <c r="O814" s="487" t="e">
        <f>INDEX(Commerce_session1!A6:CX792,MATCH("Z",Commerce_session1!A6:A792,0),96)</f>
        <v>#N/A</v>
      </c>
    </row>
    <row r="815" spans="1:18" ht="18.75" customHeight="1" thickBot="1">
      <c r="A815" s="550"/>
      <c r="B815" s="553"/>
      <c r="C815" s="503"/>
      <c r="D815" s="557"/>
      <c r="E815" s="450"/>
      <c r="F815" s="97" t="s">
        <v>55</v>
      </c>
      <c r="G815" s="72">
        <v>6</v>
      </c>
      <c r="H815" s="73">
        <v>2</v>
      </c>
      <c r="I815" s="14" t="e">
        <f>INDEX(Commerce_session1!A6:CX792,MATCH("Z",Commerce_session1!A6:A792,0),20)</f>
        <v>#N/A</v>
      </c>
      <c r="J815" s="15" t="e">
        <f>INDEX(Commerce_session1!A6:CX792,MATCH("Z",Commerce_session1!A6:A792,0),21)</f>
        <v>#N/A</v>
      </c>
      <c r="K815" s="453" t="e">
        <f>INDEX(Commerce_session1!B598:CY640,MATCH("a",Commerce_session1!B598:B640,0),14)</f>
        <v>#N/A</v>
      </c>
      <c r="L815" s="496" t="e">
        <f>INDEX(Commerce_session1!D598:CZ640,MATCH("a",Commerce_session1!D598:D640,0),14)</f>
        <v>#N/A</v>
      </c>
      <c r="M815" s="497" t="e">
        <f>INDEX(Commerce_session1!E598:DA640,MATCH("a",Commerce_session1!E598:E640,0),14)</f>
        <v>#N/A</v>
      </c>
      <c r="N815" s="498" t="e">
        <f>INDEX(Commerce_session1!#REF!,MATCH("a",Commerce_session1!#REF!,0),62)</f>
        <v>#REF!</v>
      </c>
      <c r="O815" s="487" t="e">
        <f>INDEX(Commerce_session1!#REF!,MATCH("a",Commerce_session1!#REF!,0),62)</f>
        <v>#REF!</v>
      </c>
    </row>
    <row r="816" spans="1:18" ht="18.75" customHeight="1" thickBot="1">
      <c r="A816" s="550"/>
      <c r="B816" s="554"/>
      <c r="C816" s="504"/>
      <c r="D816" s="558"/>
      <c r="E816" s="451"/>
      <c r="F816" s="98" t="s">
        <v>56</v>
      </c>
      <c r="G816" s="74">
        <v>6</v>
      </c>
      <c r="H816" s="75">
        <v>2</v>
      </c>
      <c r="I816" s="16" t="e">
        <f>INDEX(Commerce_session1!A6:CX792,MATCH("Z",Commerce_session1!A6:A792,0),24)</f>
        <v>#N/A</v>
      </c>
      <c r="J816" s="17" t="e">
        <f>INDEX(Commerce_session1!A6:CX792,MATCH("Z",Commerce_session1!A6:A792,0),25)</f>
        <v>#N/A</v>
      </c>
      <c r="K816" s="454" t="e">
        <f>INDEX(Commerce_session1!B600:CY640,MATCH("a",Commerce_session1!B600:B640,0),14)</f>
        <v>#N/A</v>
      </c>
      <c r="L816" s="490" t="e">
        <f>INDEX(Commerce_session1!D600:CZ640,MATCH("a",Commerce_session1!D600:D640,0),14)</f>
        <v>#N/A</v>
      </c>
      <c r="M816" s="491" t="e">
        <f>INDEX(Commerce_session1!E600:DA640,MATCH("a",Commerce_session1!E600:E640,0),14)</f>
        <v>#N/A</v>
      </c>
      <c r="N816" s="498" t="e">
        <f>INDEX(Commerce_session1!#REF!,MATCH("a",Commerce_session1!#REF!,0),62)</f>
        <v>#REF!</v>
      </c>
      <c r="O816" s="487" t="e">
        <f>INDEX(Commerce_session1!#REF!,MATCH("a",Commerce_session1!#REF!,0),62)</f>
        <v>#REF!</v>
      </c>
    </row>
    <row r="817" spans="1:15" ht="19.5" customHeight="1" thickTop="1" thickBot="1">
      <c r="A817" s="550"/>
      <c r="B817" s="499" t="s">
        <v>37</v>
      </c>
      <c r="C817" s="502" t="s">
        <v>89</v>
      </c>
      <c r="D817" s="505">
        <v>7</v>
      </c>
      <c r="E817" s="508">
        <v>5</v>
      </c>
      <c r="F817" s="99" t="s">
        <v>83</v>
      </c>
      <c r="G817" s="76">
        <v>1</v>
      </c>
      <c r="H817" s="77">
        <v>1</v>
      </c>
      <c r="I817" s="18" t="e">
        <f>INDEX(Commerce_session1!A6:CX792,MATCH("Z",Commerce_session1!A6:A792,0),29)</f>
        <v>#N/A</v>
      </c>
      <c r="J817" s="19" t="e">
        <f>INDEX(Commerce_session1!A6:CX792,MATCH("Z",Commerce_session1!A6:A792,0),30)</f>
        <v>#N/A</v>
      </c>
      <c r="K817" s="509" t="e">
        <f>INDEX(Commerce_session1!A6:CX792,MATCH("Z",Commerce_session1!A6:A792,0),39)</f>
        <v>#N/A</v>
      </c>
      <c r="L817" s="488" t="e">
        <f>INDEX(Commerce_session1!A6:CX792,MATCH("Z",Commerce_session1!A6:A792,0),40)</f>
        <v>#N/A</v>
      </c>
      <c r="M817" s="489" t="e">
        <f>INDEX(Commerce_session1!D598:CZ640,MATCH("a",Commerce_session1!D598:D640,0),23)</f>
        <v>#N/A</v>
      </c>
      <c r="N817" s="498" t="e">
        <f>INDEX(Commerce_session1!#REF!,MATCH("a",Commerce_session1!#REF!,0),62)</f>
        <v>#REF!</v>
      </c>
      <c r="O817" s="487" t="e">
        <f>INDEX(Commerce_session1!#REF!,MATCH("a",Commerce_session1!#REF!,0),62)</f>
        <v>#REF!</v>
      </c>
    </row>
    <row r="818" spans="1:15" ht="18.75" customHeight="1" thickTop="1" thickBot="1">
      <c r="A818" s="550"/>
      <c r="B818" s="500"/>
      <c r="C818" s="503"/>
      <c r="D818" s="506"/>
      <c r="E818" s="450"/>
      <c r="F818" s="100" t="s">
        <v>99</v>
      </c>
      <c r="G818" s="78">
        <v>3</v>
      </c>
      <c r="H818" s="79">
        <v>2</v>
      </c>
      <c r="I818" s="18" t="e">
        <f>INDEX(Commerce_session1!A6:CX792,MATCH("Z",Commerce_session1!A6:A792,0),33)</f>
        <v>#N/A</v>
      </c>
      <c r="J818" s="15" t="e">
        <f>INDEX(Commerce_session1!A6:CX792,MATCH("Z",Commerce_session1!A6:A792,0),34)</f>
        <v>#N/A</v>
      </c>
      <c r="K818" s="510" t="e">
        <f>INDEX(Commerce_session1!B597:CY640,MATCH("a",Commerce_session1!B597:B640,0),22)</f>
        <v>#N/A</v>
      </c>
      <c r="L818" s="496" t="e">
        <f>INDEX(Commerce_session1!D597:CZ640,MATCH("a",Commerce_session1!D597:D640,0),22)</f>
        <v>#N/A</v>
      </c>
      <c r="M818" s="497" t="e">
        <f>INDEX(Commerce_session1!E597:DA640,MATCH("a",Commerce_session1!E597:E640,0),22)</f>
        <v>#N/A</v>
      </c>
      <c r="N818" s="498" t="e">
        <f>INDEX(Commerce_session1!#REF!,MATCH("a",Commerce_session1!#REF!,0),62)</f>
        <v>#REF!</v>
      </c>
      <c r="O818" s="487" t="e">
        <f>INDEX(Commerce_session1!#REF!,MATCH("a",Commerce_session1!#REF!,0),62)</f>
        <v>#REF!</v>
      </c>
    </row>
    <row r="819" spans="1:15" ht="18.75" customHeight="1" thickBot="1">
      <c r="A819" s="550"/>
      <c r="B819" s="501"/>
      <c r="C819" s="504"/>
      <c r="D819" s="507"/>
      <c r="E819" s="451"/>
      <c r="F819" s="101" t="s">
        <v>84</v>
      </c>
      <c r="G819" s="80">
        <v>3</v>
      </c>
      <c r="H819" s="81">
        <v>2</v>
      </c>
      <c r="I819" s="20" t="e">
        <f>INDEX(Commerce_session1!A6:CX792,MATCH("Z",Commerce_session1!A6:A792,0),37)</f>
        <v>#N/A</v>
      </c>
      <c r="J819" s="17" t="e">
        <f>INDEX(Commerce_session1!A6:CX792,MATCH("Z",Commerce_session1!A6:A792,0),38)</f>
        <v>#N/A</v>
      </c>
      <c r="K819" s="511" t="e">
        <f>INDEX(Commerce_session1!B598:CY640,MATCH("a",Commerce_session1!B598:B640,0),22)</f>
        <v>#N/A</v>
      </c>
      <c r="L819" s="490" t="e">
        <f>INDEX(Commerce_session1!D598:CZ640,MATCH("a",Commerce_session1!D598:D640,0),22)</f>
        <v>#N/A</v>
      </c>
      <c r="M819" s="491" t="e">
        <f>INDEX(Commerce_session1!E598:DA640,MATCH("a",Commerce_session1!E598:E640,0),22)</f>
        <v>#N/A</v>
      </c>
      <c r="N819" s="498" t="e">
        <f>INDEX(Commerce_session1!#REF!,MATCH("a",Commerce_session1!#REF!,0),62)</f>
        <v>#REF!</v>
      </c>
      <c r="O819" s="487" t="e">
        <f>INDEX(Commerce_session1!#REF!,MATCH("a",Commerce_session1!#REF!,0),62)</f>
        <v>#REF!</v>
      </c>
    </row>
    <row r="820" spans="1:15" ht="33.75" customHeight="1" thickTop="1" thickBot="1">
      <c r="A820" s="550"/>
      <c r="B820" s="531" t="s">
        <v>38</v>
      </c>
      <c r="C820" s="559" t="s">
        <v>50</v>
      </c>
      <c r="D820" s="520">
        <v>5</v>
      </c>
      <c r="E820" s="508">
        <v>2</v>
      </c>
      <c r="F820" s="102" t="s">
        <v>63</v>
      </c>
      <c r="G820" s="68">
        <v>4</v>
      </c>
      <c r="H820" s="69">
        <v>1</v>
      </c>
      <c r="I820" s="18" t="e">
        <f>INDEX(Commerce_session1!A6:CX792,MATCH("Z",Commerce_session1!A6:A792,0),43)</f>
        <v>#N/A</v>
      </c>
      <c r="J820" s="19" t="e">
        <f>INDEX(Commerce_session1!A6:CX792,MATCH("Z",Commerce_session1!A6:A792,0),44)</f>
        <v>#N/A</v>
      </c>
      <c r="K820" s="509" t="e">
        <f>INDEX(Commerce_session1!A6:CX792,MATCH("Z",Commerce_session1!A6:A792,0),48)</f>
        <v>#N/A</v>
      </c>
      <c r="L820" s="488" t="e">
        <f>INDEX(Commerce_session1!A6:CX792,MATCH("Z",Commerce_session1!A6:A792,0),49)</f>
        <v>#N/A</v>
      </c>
      <c r="M820" s="489" t="e">
        <f>INDEX(Commerce_session1!D598:CZ640,MATCH("a",Commerce_session1!D598:D640,0),29)</f>
        <v>#N/A</v>
      </c>
      <c r="N820" s="498" t="e">
        <f>INDEX(Commerce_session1!#REF!,MATCH("a",Commerce_session1!#REF!,0),62)</f>
        <v>#REF!</v>
      </c>
      <c r="O820" s="487" t="e">
        <f>INDEX(Commerce_session1!#REF!,MATCH("a",Commerce_session1!#REF!,0),62)</f>
        <v>#REF!</v>
      </c>
    </row>
    <row r="821" spans="1:15" ht="18.75" customHeight="1" thickBot="1">
      <c r="A821" s="550"/>
      <c r="B821" s="527"/>
      <c r="C821" s="524"/>
      <c r="D821" s="521"/>
      <c r="E821" s="451"/>
      <c r="F821" s="101" t="s">
        <v>62</v>
      </c>
      <c r="G821" s="80">
        <v>1</v>
      </c>
      <c r="H821" s="81">
        <v>1</v>
      </c>
      <c r="I821" s="16" t="e">
        <f>INDEX(Commerce_session1!A6:CX792,MATCH("Z",Commerce_session1!A6:A792,0),46)</f>
        <v>#N/A</v>
      </c>
      <c r="J821" s="21" t="e">
        <f>INDEX(Commerce_session1!A6:CX792,MATCH("Z",Commerce_session1!A6:A792,0),47)</f>
        <v>#N/A</v>
      </c>
      <c r="K821" s="511" t="e">
        <f>INDEX(Commerce_session1!B598:CY640,MATCH("a",Commerce_session1!B598:B640,0),28)</f>
        <v>#N/A</v>
      </c>
      <c r="L821" s="490" t="e">
        <f>INDEX(Commerce_session1!D598:CZ640,MATCH("a",Commerce_session1!D598:D640,0),28)</f>
        <v>#N/A</v>
      </c>
      <c r="M821" s="491" t="e">
        <f>INDEX(Commerce_session1!E598:DA640,MATCH("a",Commerce_session1!E598:E640,0),28)</f>
        <v>#N/A</v>
      </c>
      <c r="N821" s="498" t="e">
        <f>INDEX(Commerce_session1!#REF!,MATCH("a",Commerce_session1!#REF!,0),62)</f>
        <v>#REF!</v>
      </c>
      <c r="O821" s="487" t="e">
        <f>INDEX(Commerce_session1!#REF!,MATCH("a",Commerce_session1!#REF!,0),62)</f>
        <v>#REF!</v>
      </c>
    </row>
    <row r="822" spans="1:15" ht="20.25" customHeight="1" thickTop="1" thickBot="1">
      <c r="A822" s="551"/>
      <c r="B822" s="105" t="s">
        <v>39</v>
      </c>
      <c r="C822" s="104" t="s">
        <v>51</v>
      </c>
      <c r="D822" s="22">
        <v>1</v>
      </c>
      <c r="E822" s="23">
        <v>1</v>
      </c>
      <c r="F822" s="103" t="s">
        <v>64</v>
      </c>
      <c r="G822" s="82">
        <v>1</v>
      </c>
      <c r="H822" s="83">
        <v>1</v>
      </c>
      <c r="I822" s="20" t="e">
        <f>INDEX(Commerce_session1!A6:CX792,MATCH("Z",Commerce_session1!A6:A792,0),52)</f>
        <v>#N/A</v>
      </c>
      <c r="J822" s="24" t="e">
        <f>INDEX(Commerce_session1!A6:CX792,MATCH("Z",Commerce_session1!A6:A792,0),53)</f>
        <v>#N/A</v>
      </c>
      <c r="K822" s="36" t="e">
        <f>INDEX(Commerce_session1!A6:CX792,MATCH("Z",Commerce_session1!A6:A792,0),54)</f>
        <v>#N/A</v>
      </c>
      <c r="L822" s="492" t="e">
        <f>INDEX(Commerce_session1!A6:CX792,MATCH("Z",Commerce_session1!A6:A792,0),55)</f>
        <v>#N/A</v>
      </c>
      <c r="M822" s="493" t="e">
        <f>INDEX(Commerce_session1!D598:CZ640,MATCH("a",Commerce_session1!D598:D640,0),33)</f>
        <v>#N/A</v>
      </c>
      <c r="N822" s="498" t="e">
        <f>INDEX(Commerce_session1!#REF!,MATCH("a",Commerce_session1!#REF!,0),62)</f>
        <v>#REF!</v>
      </c>
      <c r="O822" s="487" t="e">
        <f>INDEX(Commerce_session1!#REF!,MATCH("a",Commerce_session1!#REF!,0),62)</f>
        <v>#REF!</v>
      </c>
    </row>
    <row r="823" spans="1:15" ht="19.5" customHeight="1" thickTop="1" thickBot="1">
      <c r="A823" s="516" t="s">
        <v>77</v>
      </c>
      <c r="B823" s="525" t="s">
        <v>36</v>
      </c>
      <c r="C823" s="522" t="s">
        <v>88</v>
      </c>
      <c r="D823" s="528">
        <v>16</v>
      </c>
      <c r="E823" s="449">
        <v>5</v>
      </c>
      <c r="F823" s="96" t="s">
        <v>67</v>
      </c>
      <c r="G823" s="114">
        <v>6</v>
      </c>
      <c r="H823" s="115">
        <v>2</v>
      </c>
      <c r="I823" s="18" t="e">
        <f>INDEX(Commerce_session1!A6:CX792,MATCH("Z",Commerce_session1!A6:A792,0),60)</f>
        <v>#N/A</v>
      </c>
      <c r="J823" s="19" t="e">
        <f>INDEX(Commerce_session1!A6:CX792,MATCH("Z",Commerce_session1!A6:A792,0),61)</f>
        <v>#N/A</v>
      </c>
      <c r="K823" s="519" t="e">
        <f>INDEX(Commerce_session1!A6:CX792,MATCH("Z",Commerce_session1!A6:A792,0),70)</f>
        <v>#N/A</v>
      </c>
      <c r="L823" s="494" t="e">
        <f>INDEX(Commerce_session1!A6:CX792,MATCH("Z",Commerce_session1!A6:A792,0),71)</f>
        <v>#N/A</v>
      </c>
      <c r="M823" s="495"/>
      <c r="N823" s="498" t="e">
        <f>INDEX(Commerce_session1!A6:CX792,MATCH("Z",Commerce_session1!A6:A792,0),97)</f>
        <v>#N/A</v>
      </c>
      <c r="O823" s="487" t="e">
        <f>INDEX(Commerce_session1!A6:CX792,MATCH("Z",Commerce_session1!A6:A792,0),98)</f>
        <v>#N/A</v>
      </c>
    </row>
    <row r="824" spans="1:15" ht="18.75" customHeight="1" thickBot="1">
      <c r="A824" s="517"/>
      <c r="B824" s="526"/>
      <c r="C824" s="523"/>
      <c r="D824" s="529"/>
      <c r="E824" s="450"/>
      <c r="F824" s="100" t="s">
        <v>68</v>
      </c>
      <c r="G824" s="116">
        <v>6</v>
      </c>
      <c r="H824" s="117">
        <v>2</v>
      </c>
      <c r="I824" s="14" t="e">
        <f>INDEX(Commerce_session1!A6:CX792,MATCH("Z",Commerce_session1!A6:A792,0),64)</f>
        <v>#N/A</v>
      </c>
      <c r="J824" s="15" t="e">
        <f>INDEX(Commerce_session1!A6:CX792,MATCH("Z",Commerce_session1!A6:A792,0),65)</f>
        <v>#N/A</v>
      </c>
      <c r="K824" s="510"/>
      <c r="L824" s="496"/>
      <c r="M824" s="497"/>
      <c r="N824" s="498" t="e">
        <f>INDEX(Commerce_session1!F598:DA640,MATCH("a",Commerce_session1!F598:F640,0),42)</f>
        <v>#N/A</v>
      </c>
      <c r="O824" s="487" t="e">
        <f>INDEX(Commerce_session1!G598:DA640,MATCH("a",Commerce_session1!G598:G640,0),42)</f>
        <v>#N/A</v>
      </c>
    </row>
    <row r="825" spans="1:15" ht="20.25" customHeight="1" thickBot="1">
      <c r="A825" s="517"/>
      <c r="B825" s="527"/>
      <c r="C825" s="524"/>
      <c r="D825" s="530"/>
      <c r="E825" s="451"/>
      <c r="F825" s="101" t="s">
        <v>103</v>
      </c>
      <c r="G825" s="118">
        <v>4</v>
      </c>
      <c r="H825" s="119">
        <v>1</v>
      </c>
      <c r="I825" s="127" t="e">
        <f>INDEX(Commerce_session1!A6:CX792,MATCH("Z",Commerce_session1!A6:A792,0),68)</f>
        <v>#N/A</v>
      </c>
      <c r="J825" s="21" t="e">
        <f>INDEX(Commerce_session1!A6:CX792,MATCH("Z",Commerce_session1!A6:A792,0),69)</f>
        <v>#N/A</v>
      </c>
      <c r="K825" s="511"/>
      <c r="L825" s="490"/>
      <c r="M825" s="491"/>
      <c r="N825" s="498" t="e">
        <f>INDEX(Commerce_session1!F599:DA640,MATCH("a",Commerce_session1!F599:F640,0),42)</f>
        <v>#N/A</v>
      </c>
      <c r="O825" s="487" t="e">
        <f>INDEX(Commerce_session1!G599:DA640,MATCH("a",Commerce_session1!G599:G640,0),42)</f>
        <v>#N/A</v>
      </c>
    </row>
    <row r="826" spans="1:15" ht="22.5" customHeight="1" thickTop="1" thickBot="1">
      <c r="A826" s="517"/>
      <c r="B826" s="531" t="s">
        <v>37</v>
      </c>
      <c r="C826" s="559" t="s">
        <v>87</v>
      </c>
      <c r="D826" s="532">
        <v>10</v>
      </c>
      <c r="E826" s="508">
        <v>4</v>
      </c>
      <c r="F826" s="128" t="s">
        <v>104</v>
      </c>
      <c r="G826" s="76">
        <v>5</v>
      </c>
      <c r="H826" s="77">
        <v>2</v>
      </c>
      <c r="I826" s="18" t="e">
        <f>INDEX(Commerce_session1!A6:CX792,MATCH("Z",Commerce_session1!A6:A792,0),74)</f>
        <v>#N/A</v>
      </c>
      <c r="J826" s="19" t="e">
        <f>INDEX(Commerce_session1!A6:CX792,MATCH("Z",Commerce_session1!A6:A792,0),75)</f>
        <v>#N/A</v>
      </c>
      <c r="K826" s="509" t="e">
        <f>INDEX(Commerce_session1!A6:CX792,MATCH("Z",Commerce_session1!A6:A792,0),80)</f>
        <v>#N/A</v>
      </c>
      <c r="L826" s="488" t="e">
        <f>INDEX(Commerce_session1!A6:CX792,MATCH("Z",Commerce_session1!A6:A792,0),81)</f>
        <v>#N/A</v>
      </c>
      <c r="M826" s="489"/>
      <c r="N826" s="498" t="e">
        <f>INDEX(Commerce_session1!E601:DA640,MATCH("a",Commerce_session1!E601:E640,0),43)</f>
        <v>#N/A</v>
      </c>
      <c r="O826" s="487" t="e">
        <f>INDEX(Commerce_session1!F601:DA640,MATCH("a",Commerce_session1!F601:F640,0),43)</f>
        <v>#N/A</v>
      </c>
    </row>
    <row r="827" spans="1:15" ht="18.75" customHeight="1" thickBot="1">
      <c r="A827" s="517"/>
      <c r="B827" s="527"/>
      <c r="C827" s="524"/>
      <c r="D827" s="530"/>
      <c r="E827" s="451"/>
      <c r="F827" s="98" t="s">
        <v>69</v>
      </c>
      <c r="G827" s="74">
        <v>5</v>
      </c>
      <c r="H827" s="75">
        <v>2</v>
      </c>
      <c r="I827" s="20" t="e">
        <f>INDEX(Commerce_session1!A6:CX792,MATCH("Z",Commerce_session1!A6:A792,0),78)</f>
        <v>#N/A</v>
      </c>
      <c r="J827" s="17" t="e">
        <f>INDEX(Commerce_session1!A6:CX792,MATCH("Z",Commerce_session1!A6:A792,0),79)</f>
        <v>#N/A</v>
      </c>
      <c r="K827" s="511"/>
      <c r="L827" s="490"/>
      <c r="M827" s="491"/>
      <c r="N827" s="498" t="e">
        <f>INDEX(Commerce_session1!F602:DA640,MATCH("a",Commerce_session1!F602:F640,0),42)</f>
        <v>#N/A</v>
      </c>
      <c r="O827" s="487" t="e">
        <f>INDEX(Commerce_session1!G602:DA640,MATCH("a",Commerce_session1!G602:G640,0),42)</f>
        <v>#N/A</v>
      </c>
    </row>
    <row r="828" spans="1:15" ht="18.75" customHeight="1" thickTop="1" thickBot="1">
      <c r="A828" s="517"/>
      <c r="B828" s="105" t="s">
        <v>38</v>
      </c>
      <c r="C828" s="104" t="s">
        <v>85</v>
      </c>
      <c r="D828" s="22">
        <v>3</v>
      </c>
      <c r="E828" s="23">
        <v>2</v>
      </c>
      <c r="F828" s="101" t="s">
        <v>74</v>
      </c>
      <c r="G828" s="74">
        <v>3</v>
      </c>
      <c r="H828" s="75">
        <v>2</v>
      </c>
      <c r="I828" s="20" t="e">
        <f>INDEX(Commerce_session1!A6:CX792,MATCH("Z",Commerce_session1!A6:A792,0),84)</f>
        <v>#N/A</v>
      </c>
      <c r="J828" s="17" t="e">
        <f>INDEX(Commerce_session1!A6:CX792,MATCH("Z",Commerce_session1!A6:A792,0),85)</f>
        <v>#N/A</v>
      </c>
      <c r="K828" s="123" t="e">
        <f>INDEX(Commerce_session1!A6:CX792,MATCH("Z",Commerce_session1!A6:A792,0),86)</f>
        <v>#N/A</v>
      </c>
      <c r="L828" s="512" t="e">
        <f>INDEX(Commerce_session1!A6:CX792,MATCH("Z",Commerce_session1!A6:A792,0),87)</f>
        <v>#N/A</v>
      </c>
      <c r="M828" s="513"/>
      <c r="N828" s="498" t="e">
        <f>INDEX(Commerce_session1!F604:DA640,MATCH("a",Commerce_session1!F604:F640,0),42)</f>
        <v>#N/A</v>
      </c>
      <c r="O828" s="487" t="e">
        <f>INDEX(Commerce_session1!G604:DA640,MATCH("a",Commerce_session1!G604:G640,0),42)</f>
        <v>#N/A</v>
      </c>
    </row>
    <row r="829" spans="1:15" ht="20.25" customHeight="1" thickTop="1" thickBot="1">
      <c r="A829" s="518"/>
      <c r="B829" s="105" t="s">
        <v>39</v>
      </c>
      <c r="C829" s="104" t="s">
        <v>86</v>
      </c>
      <c r="D829" s="22">
        <v>1</v>
      </c>
      <c r="E829" s="23">
        <v>1</v>
      </c>
      <c r="F829" s="103" t="s">
        <v>73</v>
      </c>
      <c r="G829" s="82">
        <v>1</v>
      </c>
      <c r="H829" s="83">
        <v>1</v>
      </c>
      <c r="I829" s="25" t="e">
        <f>INDEX(Commerce_session1!A6:CX792,MATCH("Z",Commerce_session1!A6:A792,0),89)</f>
        <v>#N/A</v>
      </c>
      <c r="J829" s="26" t="e">
        <f>INDEX(Commerce_session1!A6:CX792,MATCH("Z",Commerce_session1!A6:A792,0),90)</f>
        <v>#N/A</v>
      </c>
      <c r="K829" s="27" t="e">
        <f>INDEX(Commerce_session1!A6:CX792,MATCH("Z",Commerce_session1!A6:A792,0),91)</f>
        <v>#N/A</v>
      </c>
      <c r="L829" s="514" t="e">
        <f>INDEX(Commerce_session1!A6:CX792,MATCH("Z",Commerce_session1!A6:A792,0),92)</f>
        <v>#N/A</v>
      </c>
      <c r="M829" s="515" t="e">
        <f>INDEX(Commerce_session1!D598:CZ640,MATCH("a",Commerce_session1!D598:D640,0),61)</f>
        <v>#N/A</v>
      </c>
      <c r="N829" s="498" t="e">
        <f>INDEX(Commerce_session1!F605:DA640,MATCH("a",Commerce_session1!F605:F640,0),42)</f>
        <v>#N/A</v>
      </c>
      <c r="O829" s="487" t="e">
        <f>INDEX(Commerce_session1!G605:DA640,MATCH("a",Commerce_session1!G605:G640,0),42)</f>
        <v>#N/A</v>
      </c>
    </row>
    <row r="830" spans="1:15" ht="20.25">
      <c r="A830" s="535" t="s">
        <v>40</v>
      </c>
      <c r="B830" s="536"/>
      <c r="C830" s="537"/>
      <c r="D830" s="121" t="e">
        <f>INDEX(Commerce_session1!A6:CX792,MATCH("Z",Commerce_session1!A6:A792,0),99)</f>
        <v>#N/A</v>
      </c>
      <c r="E830" s="538" t="s">
        <v>41</v>
      </c>
      <c r="F830" s="540"/>
      <c r="G830" s="120" t="e">
        <f>INDEX(Commerce_session1!A6:CX792,MATCH("Z",Commerce_session1!A6:A792,0),100)</f>
        <v>#N/A</v>
      </c>
      <c r="H830" s="538" t="s">
        <v>91</v>
      </c>
      <c r="I830" s="539"/>
      <c r="J830" s="539"/>
      <c r="K830" s="540"/>
      <c r="L830" s="541" t="e">
        <f>INDEX(Commerce_session1!A6:CX792,MATCH("Z",Commerce_session1!A6:A792,0),101)</f>
        <v>#N/A</v>
      </c>
      <c r="M830" s="542"/>
      <c r="N830" s="8"/>
      <c r="O830" s="8"/>
    </row>
    <row r="831" spans="1:15" ht="22.5">
      <c r="A831" s="546" t="s">
        <v>42</v>
      </c>
      <c r="B831" s="547"/>
      <c r="C831" s="548"/>
      <c r="D831" s="543" t="e">
        <f>INDEX(Commerce_session1!A6:CX792,MATCH("Z",Commerce_session1!A6:A792,0),102)</f>
        <v>#N/A</v>
      </c>
      <c r="E831" s="544"/>
      <c r="F831" s="545"/>
      <c r="G831" s="108"/>
      <c r="H831" s="109"/>
      <c r="I831" s="110"/>
      <c r="J831" s="111"/>
      <c r="K831" s="110"/>
      <c r="L831" s="110"/>
      <c r="M831" s="110"/>
      <c r="N831" s="112" t="s">
        <v>43</v>
      </c>
      <c r="O831" s="28">
        <f ca="1">TODAY()</f>
        <v>43626</v>
      </c>
    </row>
    <row r="832" spans="1:15" ht="32.25" customHeight="1">
      <c r="A832" s="113" t="s">
        <v>44</v>
      </c>
      <c r="B832" s="29"/>
      <c r="C832" s="29"/>
      <c r="D832" s="533"/>
      <c r="E832" s="533"/>
      <c r="F832" s="30"/>
      <c r="G832" s="4"/>
      <c r="J832" s="4"/>
      <c r="L832" s="534" t="s">
        <v>46</v>
      </c>
      <c r="M832" s="534"/>
      <c r="N832" s="534"/>
    </row>
  </sheetData>
  <sheetProtection password="CA90" sheet="1" objects="1" scenarios="1" selectLockedCells="1" selectUnlockedCells="1"/>
  <mergeCells count="1898">
    <mergeCell ref="D832:E832"/>
    <mergeCell ref="L832:N832"/>
    <mergeCell ref="A830:C830"/>
    <mergeCell ref="E830:F830"/>
    <mergeCell ref="H830:K830"/>
    <mergeCell ref="L830:M830"/>
    <mergeCell ref="A831:C831"/>
    <mergeCell ref="D831:F831"/>
    <mergeCell ref="K823:K825"/>
    <mergeCell ref="L823:M825"/>
    <mergeCell ref="N823:N829"/>
    <mergeCell ref="O823:O829"/>
    <mergeCell ref="B826:B827"/>
    <mergeCell ref="C826:C827"/>
    <mergeCell ref="D826:D827"/>
    <mergeCell ref="E826:E827"/>
    <mergeCell ref="K826:K827"/>
    <mergeCell ref="L826:M827"/>
    <mergeCell ref="L828:M828"/>
    <mergeCell ref="L829:M829"/>
    <mergeCell ref="A823:A829"/>
    <mergeCell ref="B823:B825"/>
    <mergeCell ref="C823:C825"/>
    <mergeCell ref="D823:D825"/>
    <mergeCell ref="E823:E825"/>
    <mergeCell ref="N814:N822"/>
    <mergeCell ref="O814:O822"/>
    <mergeCell ref="B817:B819"/>
    <mergeCell ref="C817:C819"/>
    <mergeCell ref="D817:D819"/>
    <mergeCell ref="E817:E819"/>
    <mergeCell ref="K817:K819"/>
    <mergeCell ref="L817:M819"/>
    <mergeCell ref="B820:B821"/>
    <mergeCell ref="C820:C821"/>
    <mergeCell ref="D820:D821"/>
    <mergeCell ref="E820:E821"/>
    <mergeCell ref="K820:K821"/>
    <mergeCell ref="L820:M821"/>
    <mergeCell ref="L822:M822"/>
    <mergeCell ref="L813:M813"/>
    <mergeCell ref="A814:A822"/>
    <mergeCell ref="B814:B816"/>
    <mergeCell ref="C814:C816"/>
    <mergeCell ref="D814:D816"/>
    <mergeCell ref="E814:E816"/>
    <mergeCell ref="K814:K816"/>
    <mergeCell ref="L814:M816"/>
    <mergeCell ref="A809:O809"/>
    <mergeCell ref="A810:G810"/>
    <mergeCell ref="A811:A813"/>
    <mergeCell ref="B811:E811"/>
    <mergeCell ref="F811:H811"/>
    <mergeCell ref="I811:O811"/>
    <mergeCell ref="B812:B813"/>
    <mergeCell ref="C812:C813"/>
    <mergeCell ref="D812:D813"/>
    <mergeCell ref="E812:E813"/>
    <mergeCell ref="F812:F813"/>
    <mergeCell ref="G812:G813"/>
    <mergeCell ref="H812:H813"/>
    <mergeCell ref="I812:J812"/>
    <mergeCell ref="K812:M812"/>
    <mergeCell ref="N812:O812"/>
    <mergeCell ref="A807:B807"/>
    <mergeCell ref="E807:F807"/>
    <mergeCell ref="G807:I807"/>
    <mergeCell ref="J807:K807"/>
    <mergeCell ref="A808:B808"/>
    <mergeCell ref="C808:D808"/>
    <mergeCell ref="D800:E800"/>
    <mergeCell ref="L800:N800"/>
    <mergeCell ref="L801:O801"/>
    <mergeCell ref="A802:E802"/>
    <mergeCell ref="D805:L805"/>
    <mergeCell ref="A798:C798"/>
    <mergeCell ref="E798:F798"/>
    <mergeCell ref="H798:K798"/>
    <mergeCell ref="L798:M798"/>
    <mergeCell ref="A799:C799"/>
    <mergeCell ref="D799:F799"/>
    <mergeCell ref="K791:K793"/>
    <mergeCell ref="L791:M793"/>
    <mergeCell ref="N791:N797"/>
    <mergeCell ref="O791:O797"/>
    <mergeCell ref="B794:B795"/>
    <mergeCell ref="C794:C795"/>
    <mergeCell ref="D794:D795"/>
    <mergeCell ref="E794:E795"/>
    <mergeCell ref="K794:K795"/>
    <mergeCell ref="L794:M795"/>
    <mergeCell ref="L796:M796"/>
    <mergeCell ref="L797:M797"/>
    <mergeCell ref="A791:A797"/>
    <mergeCell ref="B791:B793"/>
    <mergeCell ref="C791:C793"/>
    <mergeCell ref="D791:D793"/>
    <mergeCell ref="E791:E793"/>
    <mergeCell ref="N782:N790"/>
    <mergeCell ref="O782:O790"/>
    <mergeCell ref="B785:B787"/>
    <mergeCell ref="C785:C787"/>
    <mergeCell ref="D785:D787"/>
    <mergeCell ref="E785:E787"/>
    <mergeCell ref="K785:K787"/>
    <mergeCell ref="L785:M787"/>
    <mergeCell ref="B788:B789"/>
    <mergeCell ref="C788:C789"/>
    <mergeCell ref="D788:D789"/>
    <mergeCell ref="E788:E789"/>
    <mergeCell ref="K788:K789"/>
    <mergeCell ref="L788:M789"/>
    <mergeCell ref="L790:M790"/>
    <mergeCell ref="L781:M781"/>
    <mergeCell ref="A782:A790"/>
    <mergeCell ref="B782:B784"/>
    <mergeCell ref="C782:C784"/>
    <mergeCell ref="D782:D784"/>
    <mergeCell ref="E782:E784"/>
    <mergeCell ref="K782:K784"/>
    <mergeCell ref="L782:M784"/>
    <mergeCell ref="A777:O777"/>
    <mergeCell ref="A778:G778"/>
    <mergeCell ref="A779:A781"/>
    <mergeCell ref="B779:E779"/>
    <mergeCell ref="F779:H779"/>
    <mergeCell ref="I779:O779"/>
    <mergeCell ref="B780:B781"/>
    <mergeCell ref="C780:C781"/>
    <mergeCell ref="D780:D781"/>
    <mergeCell ref="E780:E781"/>
    <mergeCell ref="F780:F781"/>
    <mergeCell ref="G780:G781"/>
    <mergeCell ref="H780:H781"/>
    <mergeCell ref="I780:J780"/>
    <mergeCell ref="K780:M780"/>
    <mergeCell ref="N780:O780"/>
    <mergeCell ref="A775:B775"/>
    <mergeCell ref="E775:F775"/>
    <mergeCell ref="G775:I775"/>
    <mergeCell ref="J775:K775"/>
    <mergeCell ref="A776:B776"/>
    <mergeCell ref="C776:D776"/>
    <mergeCell ref="D768:E768"/>
    <mergeCell ref="L768:N768"/>
    <mergeCell ref="L769:O769"/>
    <mergeCell ref="A770:E770"/>
    <mergeCell ref="D773:L773"/>
    <mergeCell ref="A766:C766"/>
    <mergeCell ref="E766:F766"/>
    <mergeCell ref="H766:K766"/>
    <mergeCell ref="L766:M766"/>
    <mergeCell ref="A767:C767"/>
    <mergeCell ref="D767:F767"/>
    <mergeCell ref="K759:K761"/>
    <mergeCell ref="L759:M761"/>
    <mergeCell ref="N759:N765"/>
    <mergeCell ref="O759:O765"/>
    <mergeCell ref="B762:B763"/>
    <mergeCell ref="C762:C763"/>
    <mergeCell ref="D762:D763"/>
    <mergeCell ref="E762:E763"/>
    <mergeCell ref="K762:K763"/>
    <mergeCell ref="L762:M763"/>
    <mergeCell ref="L764:M764"/>
    <mergeCell ref="L765:M765"/>
    <mergeCell ref="A759:A765"/>
    <mergeCell ref="B759:B761"/>
    <mergeCell ref="C759:C761"/>
    <mergeCell ref="D759:D761"/>
    <mergeCell ref="E759:E761"/>
    <mergeCell ref="N750:N758"/>
    <mergeCell ref="O750:O758"/>
    <mergeCell ref="B753:B755"/>
    <mergeCell ref="C753:C755"/>
    <mergeCell ref="D753:D755"/>
    <mergeCell ref="E753:E755"/>
    <mergeCell ref="K753:K755"/>
    <mergeCell ref="L753:M755"/>
    <mergeCell ref="B756:B757"/>
    <mergeCell ref="C756:C757"/>
    <mergeCell ref="D756:D757"/>
    <mergeCell ref="E756:E757"/>
    <mergeCell ref="K756:K757"/>
    <mergeCell ref="L756:M757"/>
    <mergeCell ref="L758:M758"/>
    <mergeCell ref="L749:M749"/>
    <mergeCell ref="A750:A758"/>
    <mergeCell ref="B750:B752"/>
    <mergeCell ref="C750:C752"/>
    <mergeCell ref="D750:D752"/>
    <mergeCell ref="E750:E752"/>
    <mergeCell ref="K750:K752"/>
    <mergeCell ref="L750:M752"/>
    <mergeCell ref="A745:O745"/>
    <mergeCell ref="A746:G746"/>
    <mergeCell ref="A747:A749"/>
    <mergeCell ref="B747:E747"/>
    <mergeCell ref="F747:H747"/>
    <mergeCell ref="I747:O747"/>
    <mergeCell ref="B748:B749"/>
    <mergeCell ref="C748:C749"/>
    <mergeCell ref="D748:D749"/>
    <mergeCell ref="E748:E749"/>
    <mergeCell ref="F748:F749"/>
    <mergeCell ref="G748:G749"/>
    <mergeCell ref="H748:H749"/>
    <mergeCell ref="I748:J748"/>
    <mergeCell ref="K748:M748"/>
    <mergeCell ref="N748:O748"/>
    <mergeCell ref="A743:B743"/>
    <mergeCell ref="E743:F743"/>
    <mergeCell ref="G743:I743"/>
    <mergeCell ref="J743:K743"/>
    <mergeCell ref="A744:B744"/>
    <mergeCell ref="C744:D744"/>
    <mergeCell ref="D736:E736"/>
    <mergeCell ref="L736:N736"/>
    <mergeCell ref="L737:O737"/>
    <mergeCell ref="A738:E738"/>
    <mergeCell ref="D741:L741"/>
    <mergeCell ref="A734:C734"/>
    <mergeCell ref="E734:F734"/>
    <mergeCell ref="H734:K734"/>
    <mergeCell ref="L734:M734"/>
    <mergeCell ref="A735:C735"/>
    <mergeCell ref="D735:F735"/>
    <mergeCell ref="K727:K729"/>
    <mergeCell ref="L727:M729"/>
    <mergeCell ref="N727:N733"/>
    <mergeCell ref="O727:O733"/>
    <mergeCell ref="B730:B731"/>
    <mergeCell ref="C730:C731"/>
    <mergeCell ref="D730:D731"/>
    <mergeCell ref="E730:E731"/>
    <mergeCell ref="K730:K731"/>
    <mergeCell ref="L730:M731"/>
    <mergeCell ref="L732:M732"/>
    <mergeCell ref="L733:M733"/>
    <mergeCell ref="A727:A733"/>
    <mergeCell ref="B727:B729"/>
    <mergeCell ref="C727:C729"/>
    <mergeCell ref="D727:D729"/>
    <mergeCell ref="E727:E729"/>
    <mergeCell ref="N718:N726"/>
    <mergeCell ref="O718:O726"/>
    <mergeCell ref="B721:B723"/>
    <mergeCell ref="C721:C723"/>
    <mergeCell ref="D721:D723"/>
    <mergeCell ref="E721:E723"/>
    <mergeCell ref="K721:K723"/>
    <mergeCell ref="L721:M723"/>
    <mergeCell ref="B724:B725"/>
    <mergeCell ref="C724:C725"/>
    <mergeCell ref="D724:D725"/>
    <mergeCell ref="E724:E725"/>
    <mergeCell ref="K724:K725"/>
    <mergeCell ref="L724:M725"/>
    <mergeCell ref="L726:M726"/>
    <mergeCell ref="L717:M717"/>
    <mergeCell ref="A718:A726"/>
    <mergeCell ref="B718:B720"/>
    <mergeCell ref="C718:C720"/>
    <mergeCell ref="D718:D720"/>
    <mergeCell ref="E718:E720"/>
    <mergeCell ref="K718:K720"/>
    <mergeCell ref="L718:M720"/>
    <mergeCell ref="A713:O713"/>
    <mergeCell ref="A714:G714"/>
    <mergeCell ref="A715:A717"/>
    <mergeCell ref="B715:E715"/>
    <mergeCell ref="F715:H715"/>
    <mergeCell ref="I715:O715"/>
    <mergeCell ref="B716:B717"/>
    <mergeCell ref="C716:C717"/>
    <mergeCell ref="D716:D717"/>
    <mergeCell ref="E716:E717"/>
    <mergeCell ref="F716:F717"/>
    <mergeCell ref="G716:G717"/>
    <mergeCell ref="H716:H717"/>
    <mergeCell ref="I716:J716"/>
    <mergeCell ref="K716:M716"/>
    <mergeCell ref="N716:O716"/>
    <mergeCell ref="A711:B711"/>
    <mergeCell ref="E711:F711"/>
    <mergeCell ref="G711:I711"/>
    <mergeCell ref="J711:K711"/>
    <mergeCell ref="A712:B712"/>
    <mergeCell ref="C712:D712"/>
    <mergeCell ref="D704:E704"/>
    <mergeCell ref="L704:N704"/>
    <mergeCell ref="L705:O705"/>
    <mergeCell ref="A706:E706"/>
    <mergeCell ref="D709:L709"/>
    <mergeCell ref="A702:C702"/>
    <mergeCell ref="E702:F702"/>
    <mergeCell ref="H702:K702"/>
    <mergeCell ref="L702:M702"/>
    <mergeCell ref="A703:C703"/>
    <mergeCell ref="D703:F703"/>
    <mergeCell ref="K695:K697"/>
    <mergeCell ref="L695:M697"/>
    <mergeCell ref="N695:N701"/>
    <mergeCell ref="O695:O701"/>
    <mergeCell ref="B698:B699"/>
    <mergeCell ref="C698:C699"/>
    <mergeCell ref="D698:D699"/>
    <mergeCell ref="E698:E699"/>
    <mergeCell ref="K698:K699"/>
    <mergeCell ref="L698:M699"/>
    <mergeCell ref="L700:M700"/>
    <mergeCell ref="L701:M701"/>
    <mergeCell ref="A695:A701"/>
    <mergeCell ref="B695:B697"/>
    <mergeCell ref="C695:C697"/>
    <mergeCell ref="D695:D697"/>
    <mergeCell ref="E695:E697"/>
    <mergeCell ref="N686:N694"/>
    <mergeCell ref="O686:O694"/>
    <mergeCell ref="B689:B691"/>
    <mergeCell ref="C689:C691"/>
    <mergeCell ref="D689:D691"/>
    <mergeCell ref="E689:E691"/>
    <mergeCell ref="K689:K691"/>
    <mergeCell ref="L689:M691"/>
    <mergeCell ref="B692:B693"/>
    <mergeCell ref="C692:C693"/>
    <mergeCell ref="D692:D693"/>
    <mergeCell ref="E692:E693"/>
    <mergeCell ref="K692:K693"/>
    <mergeCell ref="L692:M693"/>
    <mergeCell ref="L694:M694"/>
    <mergeCell ref="L685:M685"/>
    <mergeCell ref="A686:A694"/>
    <mergeCell ref="B686:B688"/>
    <mergeCell ref="C686:C688"/>
    <mergeCell ref="D686:D688"/>
    <mergeCell ref="E686:E688"/>
    <mergeCell ref="K686:K688"/>
    <mergeCell ref="L686:M688"/>
    <mergeCell ref="A681:O681"/>
    <mergeCell ref="A682:G682"/>
    <mergeCell ref="A683:A685"/>
    <mergeCell ref="B683:E683"/>
    <mergeCell ref="F683:H683"/>
    <mergeCell ref="I683:O683"/>
    <mergeCell ref="B684:B685"/>
    <mergeCell ref="C684:C685"/>
    <mergeCell ref="D684:D685"/>
    <mergeCell ref="E684:E685"/>
    <mergeCell ref="F684:F685"/>
    <mergeCell ref="G684:G685"/>
    <mergeCell ref="H684:H685"/>
    <mergeCell ref="I684:J684"/>
    <mergeCell ref="K684:M684"/>
    <mergeCell ref="N684:O684"/>
    <mergeCell ref="A679:B679"/>
    <mergeCell ref="E679:F679"/>
    <mergeCell ref="G679:I679"/>
    <mergeCell ref="J679:K679"/>
    <mergeCell ref="A680:B680"/>
    <mergeCell ref="C680:D680"/>
    <mergeCell ref="D672:E672"/>
    <mergeCell ref="L672:N672"/>
    <mergeCell ref="L673:O673"/>
    <mergeCell ref="A674:E674"/>
    <mergeCell ref="D677:L677"/>
    <mergeCell ref="A670:C670"/>
    <mergeCell ref="E670:F670"/>
    <mergeCell ref="H670:K670"/>
    <mergeCell ref="L670:M670"/>
    <mergeCell ref="A671:C671"/>
    <mergeCell ref="D671:F671"/>
    <mergeCell ref="K663:K665"/>
    <mergeCell ref="L663:M665"/>
    <mergeCell ref="N663:N669"/>
    <mergeCell ref="O663:O669"/>
    <mergeCell ref="B666:B667"/>
    <mergeCell ref="C666:C667"/>
    <mergeCell ref="D666:D667"/>
    <mergeCell ref="E666:E667"/>
    <mergeCell ref="K666:K667"/>
    <mergeCell ref="L666:M667"/>
    <mergeCell ref="L668:M668"/>
    <mergeCell ref="L669:M669"/>
    <mergeCell ref="A663:A669"/>
    <mergeCell ref="B663:B665"/>
    <mergeCell ref="C663:C665"/>
    <mergeCell ref="D663:D665"/>
    <mergeCell ref="E663:E665"/>
    <mergeCell ref="N654:N662"/>
    <mergeCell ref="O654:O662"/>
    <mergeCell ref="B657:B659"/>
    <mergeCell ref="C657:C659"/>
    <mergeCell ref="D657:D659"/>
    <mergeCell ref="E657:E659"/>
    <mergeCell ref="K657:K659"/>
    <mergeCell ref="L657:M659"/>
    <mergeCell ref="B660:B661"/>
    <mergeCell ref="C660:C661"/>
    <mergeCell ref="D660:D661"/>
    <mergeCell ref="E660:E661"/>
    <mergeCell ref="K660:K661"/>
    <mergeCell ref="L660:M661"/>
    <mergeCell ref="L662:M662"/>
    <mergeCell ref="L653:M653"/>
    <mergeCell ref="A654:A662"/>
    <mergeCell ref="B654:B656"/>
    <mergeCell ref="C654:C656"/>
    <mergeCell ref="D654:D656"/>
    <mergeCell ref="E654:E656"/>
    <mergeCell ref="K654:K656"/>
    <mergeCell ref="L654:M656"/>
    <mergeCell ref="A649:O649"/>
    <mergeCell ref="A650:G650"/>
    <mergeCell ref="A651:A653"/>
    <mergeCell ref="B651:E651"/>
    <mergeCell ref="F651:H651"/>
    <mergeCell ref="I651:O651"/>
    <mergeCell ref="B652:B653"/>
    <mergeCell ref="C652:C653"/>
    <mergeCell ref="D652:D653"/>
    <mergeCell ref="E652:E653"/>
    <mergeCell ref="F652:F653"/>
    <mergeCell ref="G652:G653"/>
    <mergeCell ref="H652:H653"/>
    <mergeCell ref="I652:J652"/>
    <mergeCell ref="K652:M652"/>
    <mergeCell ref="N652:O652"/>
    <mergeCell ref="A647:B647"/>
    <mergeCell ref="E647:F647"/>
    <mergeCell ref="G647:I647"/>
    <mergeCell ref="J647:K647"/>
    <mergeCell ref="A648:B648"/>
    <mergeCell ref="C648:D648"/>
    <mergeCell ref="D640:E640"/>
    <mergeCell ref="L640:N640"/>
    <mergeCell ref="L641:O641"/>
    <mergeCell ref="A642:E642"/>
    <mergeCell ref="D645:L645"/>
    <mergeCell ref="A638:C638"/>
    <mergeCell ref="E638:F638"/>
    <mergeCell ref="H638:K638"/>
    <mergeCell ref="L638:M638"/>
    <mergeCell ref="A639:C639"/>
    <mergeCell ref="D639:F639"/>
    <mergeCell ref="K631:K633"/>
    <mergeCell ref="L631:M633"/>
    <mergeCell ref="N631:N637"/>
    <mergeCell ref="O631:O637"/>
    <mergeCell ref="B634:B635"/>
    <mergeCell ref="C634:C635"/>
    <mergeCell ref="D634:D635"/>
    <mergeCell ref="E634:E635"/>
    <mergeCell ref="K634:K635"/>
    <mergeCell ref="L634:M635"/>
    <mergeCell ref="L636:M636"/>
    <mergeCell ref="L637:M637"/>
    <mergeCell ref="A631:A637"/>
    <mergeCell ref="B631:B633"/>
    <mergeCell ref="C631:C633"/>
    <mergeCell ref="D631:D633"/>
    <mergeCell ref="E631:E633"/>
    <mergeCell ref="N622:N630"/>
    <mergeCell ref="O622:O630"/>
    <mergeCell ref="B625:B627"/>
    <mergeCell ref="C625:C627"/>
    <mergeCell ref="D625:D627"/>
    <mergeCell ref="E625:E627"/>
    <mergeCell ref="K625:K627"/>
    <mergeCell ref="L625:M627"/>
    <mergeCell ref="B628:B629"/>
    <mergeCell ref="C628:C629"/>
    <mergeCell ref="D628:D629"/>
    <mergeCell ref="E628:E629"/>
    <mergeCell ref="K628:K629"/>
    <mergeCell ref="L628:M629"/>
    <mergeCell ref="L630:M630"/>
    <mergeCell ref="L621:M621"/>
    <mergeCell ref="A622:A630"/>
    <mergeCell ref="B622:B624"/>
    <mergeCell ref="C622:C624"/>
    <mergeCell ref="D622:D624"/>
    <mergeCell ref="E622:E624"/>
    <mergeCell ref="K622:K624"/>
    <mergeCell ref="L622:M624"/>
    <mergeCell ref="A617:O617"/>
    <mergeCell ref="A618:G618"/>
    <mergeCell ref="A619:A621"/>
    <mergeCell ref="B619:E619"/>
    <mergeCell ref="F619:H619"/>
    <mergeCell ref="I619:O619"/>
    <mergeCell ref="B620:B621"/>
    <mergeCell ref="C620:C621"/>
    <mergeCell ref="D620:D621"/>
    <mergeCell ref="E620:E621"/>
    <mergeCell ref="F620:F621"/>
    <mergeCell ref="G620:G621"/>
    <mergeCell ref="H620:H621"/>
    <mergeCell ref="I620:J620"/>
    <mergeCell ref="K620:M620"/>
    <mergeCell ref="N620:O620"/>
    <mergeCell ref="A615:B615"/>
    <mergeCell ref="E615:F615"/>
    <mergeCell ref="G615:I615"/>
    <mergeCell ref="J615:K615"/>
    <mergeCell ref="A616:B616"/>
    <mergeCell ref="C616:D616"/>
    <mergeCell ref="D608:E608"/>
    <mergeCell ref="L608:N608"/>
    <mergeCell ref="L609:O609"/>
    <mergeCell ref="A610:E610"/>
    <mergeCell ref="D613:L613"/>
    <mergeCell ref="A606:C606"/>
    <mergeCell ref="E606:F606"/>
    <mergeCell ref="H606:K606"/>
    <mergeCell ref="L606:M606"/>
    <mergeCell ref="A607:C607"/>
    <mergeCell ref="D607:F607"/>
    <mergeCell ref="K599:K601"/>
    <mergeCell ref="L599:M601"/>
    <mergeCell ref="N599:N605"/>
    <mergeCell ref="O599:O605"/>
    <mergeCell ref="B602:B603"/>
    <mergeCell ref="C602:C603"/>
    <mergeCell ref="D602:D603"/>
    <mergeCell ref="E602:E603"/>
    <mergeCell ref="K602:K603"/>
    <mergeCell ref="L602:M603"/>
    <mergeCell ref="L604:M604"/>
    <mergeCell ref="L605:M605"/>
    <mergeCell ref="A599:A605"/>
    <mergeCell ref="B599:B601"/>
    <mergeCell ref="C599:C601"/>
    <mergeCell ref="D599:D601"/>
    <mergeCell ref="E599:E601"/>
    <mergeCell ref="N590:N598"/>
    <mergeCell ref="O590:O598"/>
    <mergeCell ref="B593:B595"/>
    <mergeCell ref="C593:C595"/>
    <mergeCell ref="D593:D595"/>
    <mergeCell ref="E593:E595"/>
    <mergeCell ref="K593:K595"/>
    <mergeCell ref="L593:M595"/>
    <mergeCell ref="B596:B597"/>
    <mergeCell ref="C596:C597"/>
    <mergeCell ref="D596:D597"/>
    <mergeCell ref="E596:E597"/>
    <mergeCell ref="K596:K597"/>
    <mergeCell ref="L596:M597"/>
    <mergeCell ref="L598:M598"/>
    <mergeCell ref="L589:M589"/>
    <mergeCell ref="A590:A598"/>
    <mergeCell ref="B590:B592"/>
    <mergeCell ref="C590:C592"/>
    <mergeCell ref="D590:D592"/>
    <mergeCell ref="E590:E592"/>
    <mergeCell ref="K590:K592"/>
    <mergeCell ref="L590:M592"/>
    <mergeCell ref="A585:O585"/>
    <mergeCell ref="A586:G586"/>
    <mergeCell ref="A587:A589"/>
    <mergeCell ref="B587:E587"/>
    <mergeCell ref="F587:H587"/>
    <mergeCell ref="I587:O587"/>
    <mergeCell ref="B588:B589"/>
    <mergeCell ref="C588:C589"/>
    <mergeCell ref="D588:D589"/>
    <mergeCell ref="E588:E589"/>
    <mergeCell ref="F588:F589"/>
    <mergeCell ref="G588:G589"/>
    <mergeCell ref="H588:H589"/>
    <mergeCell ref="I588:J588"/>
    <mergeCell ref="K588:M588"/>
    <mergeCell ref="N588:O588"/>
    <mergeCell ref="A583:B583"/>
    <mergeCell ref="E583:F583"/>
    <mergeCell ref="G583:I583"/>
    <mergeCell ref="J583:K583"/>
    <mergeCell ref="A584:B584"/>
    <mergeCell ref="C584:D584"/>
    <mergeCell ref="D576:E576"/>
    <mergeCell ref="L576:N576"/>
    <mergeCell ref="L577:O577"/>
    <mergeCell ref="A578:E578"/>
    <mergeCell ref="D581:L581"/>
    <mergeCell ref="A574:C574"/>
    <mergeCell ref="E574:F574"/>
    <mergeCell ref="H574:K574"/>
    <mergeCell ref="L574:M574"/>
    <mergeCell ref="A575:C575"/>
    <mergeCell ref="D575:F575"/>
    <mergeCell ref="K567:K569"/>
    <mergeCell ref="L567:M569"/>
    <mergeCell ref="N567:N573"/>
    <mergeCell ref="O567:O573"/>
    <mergeCell ref="B570:B571"/>
    <mergeCell ref="C570:C571"/>
    <mergeCell ref="D570:D571"/>
    <mergeCell ref="E570:E571"/>
    <mergeCell ref="K570:K571"/>
    <mergeCell ref="L570:M571"/>
    <mergeCell ref="L572:M572"/>
    <mergeCell ref="L573:M573"/>
    <mergeCell ref="A567:A573"/>
    <mergeCell ref="B567:B569"/>
    <mergeCell ref="C567:C569"/>
    <mergeCell ref="D567:D569"/>
    <mergeCell ref="E567:E569"/>
    <mergeCell ref="N558:N566"/>
    <mergeCell ref="O558:O566"/>
    <mergeCell ref="B561:B563"/>
    <mergeCell ref="C561:C563"/>
    <mergeCell ref="D561:D563"/>
    <mergeCell ref="E561:E563"/>
    <mergeCell ref="K561:K563"/>
    <mergeCell ref="L561:M563"/>
    <mergeCell ref="B564:B565"/>
    <mergeCell ref="C564:C565"/>
    <mergeCell ref="D564:D565"/>
    <mergeCell ref="E564:E565"/>
    <mergeCell ref="K564:K565"/>
    <mergeCell ref="L564:M565"/>
    <mergeCell ref="L566:M566"/>
    <mergeCell ref="L557:M557"/>
    <mergeCell ref="A558:A566"/>
    <mergeCell ref="B558:B560"/>
    <mergeCell ref="C558:C560"/>
    <mergeCell ref="D558:D560"/>
    <mergeCell ref="E558:E560"/>
    <mergeCell ref="K558:K560"/>
    <mergeCell ref="L558:M560"/>
    <mergeCell ref="A553:O553"/>
    <mergeCell ref="A554:G554"/>
    <mergeCell ref="A555:A557"/>
    <mergeCell ref="B555:E555"/>
    <mergeCell ref="F555:H555"/>
    <mergeCell ref="I555:O555"/>
    <mergeCell ref="B556:B557"/>
    <mergeCell ref="C556:C557"/>
    <mergeCell ref="D556:D557"/>
    <mergeCell ref="E556:E557"/>
    <mergeCell ref="F556:F557"/>
    <mergeCell ref="G556:G557"/>
    <mergeCell ref="H556:H557"/>
    <mergeCell ref="I556:J556"/>
    <mergeCell ref="K556:M556"/>
    <mergeCell ref="N556:O556"/>
    <mergeCell ref="A551:B551"/>
    <mergeCell ref="E551:F551"/>
    <mergeCell ref="G551:I551"/>
    <mergeCell ref="J551:K551"/>
    <mergeCell ref="A552:B552"/>
    <mergeCell ref="C552:D552"/>
    <mergeCell ref="D544:E544"/>
    <mergeCell ref="L544:N544"/>
    <mergeCell ref="L545:O545"/>
    <mergeCell ref="A546:E546"/>
    <mergeCell ref="D549:L549"/>
    <mergeCell ref="A542:C542"/>
    <mergeCell ref="E542:F542"/>
    <mergeCell ref="H542:K542"/>
    <mergeCell ref="L542:M542"/>
    <mergeCell ref="A543:C543"/>
    <mergeCell ref="D543:F543"/>
    <mergeCell ref="K535:K537"/>
    <mergeCell ref="L535:M537"/>
    <mergeCell ref="N535:N541"/>
    <mergeCell ref="O535:O541"/>
    <mergeCell ref="B538:B539"/>
    <mergeCell ref="C538:C539"/>
    <mergeCell ref="D538:D539"/>
    <mergeCell ref="E538:E539"/>
    <mergeCell ref="K538:K539"/>
    <mergeCell ref="L538:M539"/>
    <mergeCell ref="L540:M540"/>
    <mergeCell ref="L541:M541"/>
    <mergeCell ref="A535:A541"/>
    <mergeCell ref="B535:B537"/>
    <mergeCell ref="C535:C537"/>
    <mergeCell ref="D535:D537"/>
    <mergeCell ref="E535:E537"/>
    <mergeCell ref="N526:N534"/>
    <mergeCell ref="O526:O534"/>
    <mergeCell ref="B529:B531"/>
    <mergeCell ref="C529:C531"/>
    <mergeCell ref="D529:D531"/>
    <mergeCell ref="E529:E531"/>
    <mergeCell ref="K529:K531"/>
    <mergeCell ref="L529:M531"/>
    <mergeCell ref="B532:B533"/>
    <mergeCell ref="C532:C533"/>
    <mergeCell ref="D532:D533"/>
    <mergeCell ref="E532:E533"/>
    <mergeCell ref="K532:K533"/>
    <mergeCell ref="L532:M533"/>
    <mergeCell ref="L534:M534"/>
    <mergeCell ref="L525:M525"/>
    <mergeCell ref="A526:A534"/>
    <mergeCell ref="B526:B528"/>
    <mergeCell ref="C526:C528"/>
    <mergeCell ref="D526:D528"/>
    <mergeCell ref="E526:E528"/>
    <mergeCell ref="K526:K528"/>
    <mergeCell ref="L526:M528"/>
    <mergeCell ref="A521:O521"/>
    <mergeCell ref="A522:G522"/>
    <mergeCell ref="A523:A525"/>
    <mergeCell ref="B523:E523"/>
    <mergeCell ref="F523:H523"/>
    <mergeCell ref="I523:O523"/>
    <mergeCell ref="B524:B525"/>
    <mergeCell ref="C524:C525"/>
    <mergeCell ref="D524:D525"/>
    <mergeCell ref="E524:E525"/>
    <mergeCell ref="F524:F525"/>
    <mergeCell ref="G524:G525"/>
    <mergeCell ref="H524:H525"/>
    <mergeCell ref="I524:J524"/>
    <mergeCell ref="K524:M524"/>
    <mergeCell ref="N524:O524"/>
    <mergeCell ref="A519:B519"/>
    <mergeCell ref="E519:F519"/>
    <mergeCell ref="G519:I519"/>
    <mergeCell ref="J519:K519"/>
    <mergeCell ref="A520:B520"/>
    <mergeCell ref="C520:D520"/>
    <mergeCell ref="D512:E512"/>
    <mergeCell ref="L512:N512"/>
    <mergeCell ref="L513:O513"/>
    <mergeCell ref="A514:E514"/>
    <mergeCell ref="D517:L517"/>
    <mergeCell ref="A510:C510"/>
    <mergeCell ref="E510:F510"/>
    <mergeCell ref="H510:K510"/>
    <mergeCell ref="L510:M510"/>
    <mergeCell ref="A511:C511"/>
    <mergeCell ref="D511:F511"/>
    <mergeCell ref="K503:K505"/>
    <mergeCell ref="L503:M505"/>
    <mergeCell ref="N503:N509"/>
    <mergeCell ref="O503:O509"/>
    <mergeCell ref="B506:B507"/>
    <mergeCell ref="C506:C507"/>
    <mergeCell ref="D506:D507"/>
    <mergeCell ref="E506:E507"/>
    <mergeCell ref="K506:K507"/>
    <mergeCell ref="L506:M507"/>
    <mergeCell ref="L508:M508"/>
    <mergeCell ref="L509:M509"/>
    <mergeCell ref="A503:A509"/>
    <mergeCell ref="B503:B505"/>
    <mergeCell ref="C503:C505"/>
    <mergeCell ref="D503:D505"/>
    <mergeCell ref="E503:E505"/>
    <mergeCell ref="N494:N502"/>
    <mergeCell ref="O494:O502"/>
    <mergeCell ref="B497:B499"/>
    <mergeCell ref="C497:C499"/>
    <mergeCell ref="D497:D499"/>
    <mergeCell ref="E497:E499"/>
    <mergeCell ref="K497:K499"/>
    <mergeCell ref="L497:M499"/>
    <mergeCell ref="B500:B501"/>
    <mergeCell ref="C500:C501"/>
    <mergeCell ref="D500:D501"/>
    <mergeCell ref="E500:E501"/>
    <mergeCell ref="K500:K501"/>
    <mergeCell ref="L500:M501"/>
    <mergeCell ref="L502:M502"/>
    <mergeCell ref="L493:M493"/>
    <mergeCell ref="A494:A502"/>
    <mergeCell ref="B494:B496"/>
    <mergeCell ref="C494:C496"/>
    <mergeCell ref="D494:D496"/>
    <mergeCell ref="E494:E496"/>
    <mergeCell ref="K494:K496"/>
    <mergeCell ref="L494:M496"/>
    <mergeCell ref="A489:O489"/>
    <mergeCell ref="A490:G490"/>
    <mergeCell ref="A491:A493"/>
    <mergeCell ref="B491:E491"/>
    <mergeCell ref="F491:H491"/>
    <mergeCell ref="I491:O491"/>
    <mergeCell ref="B492:B493"/>
    <mergeCell ref="C492:C493"/>
    <mergeCell ref="D492:D493"/>
    <mergeCell ref="E492:E493"/>
    <mergeCell ref="F492:F493"/>
    <mergeCell ref="G492:G493"/>
    <mergeCell ref="H492:H493"/>
    <mergeCell ref="I492:J492"/>
    <mergeCell ref="K492:M492"/>
    <mergeCell ref="N492:O492"/>
    <mergeCell ref="A487:B487"/>
    <mergeCell ref="E487:F487"/>
    <mergeCell ref="G487:I487"/>
    <mergeCell ref="J487:K487"/>
    <mergeCell ref="A488:B488"/>
    <mergeCell ref="C488:D488"/>
    <mergeCell ref="D480:E480"/>
    <mergeCell ref="L480:N480"/>
    <mergeCell ref="L481:O481"/>
    <mergeCell ref="A482:E482"/>
    <mergeCell ref="D485:L485"/>
    <mergeCell ref="A478:C478"/>
    <mergeCell ref="E478:F478"/>
    <mergeCell ref="H478:K478"/>
    <mergeCell ref="L478:M478"/>
    <mergeCell ref="A479:C479"/>
    <mergeCell ref="D479:F479"/>
    <mergeCell ref="K471:K473"/>
    <mergeCell ref="L471:M473"/>
    <mergeCell ref="N471:N477"/>
    <mergeCell ref="O471:O477"/>
    <mergeCell ref="B474:B475"/>
    <mergeCell ref="C474:C475"/>
    <mergeCell ref="D474:D475"/>
    <mergeCell ref="E474:E475"/>
    <mergeCell ref="K474:K475"/>
    <mergeCell ref="L474:M475"/>
    <mergeCell ref="L476:M476"/>
    <mergeCell ref="L477:M477"/>
    <mergeCell ref="A471:A477"/>
    <mergeCell ref="B471:B473"/>
    <mergeCell ref="C471:C473"/>
    <mergeCell ref="D471:D473"/>
    <mergeCell ref="E471:E473"/>
    <mergeCell ref="N462:N470"/>
    <mergeCell ref="O462:O470"/>
    <mergeCell ref="B465:B467"/>
    <mergeCell ref="C465:C467"/>
    <mergeCell ref="D465:D467"/>
    <mergeCell ref="E465:E467"/>
    <mergeCell ref="K465:K467"/>
    <mergeCell ref="L465:M467"/>
    <mergeCell ref="B468:B469"/>
    <mergeCell ref="C468:C469"/>
    <mergeCell ref="D468:D469"/>
    <mergeCell ref="E468:E469"/>
    <mergeCell ref="K468:K469"/>
    <mergeCell ref="L468:M469"/>
    <mergeCell ref="L470:M470"/>
    <mergeCell ref="L461:M461"/>
    <mergeCell ref="A462:A470"/>
    <mergeCell ref="B462:B464"/>
    <mergeCell ref="C462:C464"/>
    <mergeCell ref="D462:D464"/>
    <mergeCell ref="E462:E464"/>
    <mergeCell ref="K462:K464"/>
    <mergeCell ref="L462:M464"/>
    <mergeCell ref="A457:O457"/>
    <mergeCell ref="A458:G458"/>
    <mergeCell ref="A459:A461"/>
    <mergeCell ref="B459:E459"/>
    <mergeCell ref="F459:H459"/>
    <mergeCell ref="I459:O459"/>
    <mergeCell ref="B460:B461"/>
    <mergeCell ref="C460:C461"/>
    <mergeCell ref="D460:D461"/>
    <mergeCell ref="E460:E461"/>
    <mergeCell ref="F460:F461"/>
    <mergeCell ref="G460:G461"/>
    <mergeCell ref="H460:H461"/>
    <mergeCell ref="I460:J460"/>
    <mergeCell ref="K460:M460"/>
    <mergeCell ref="N460:O460"/>
    <mergeCell ref="A455:B455"/>
    <mergeCell ref="E455:F455"/>
    <mergeCell ref="G455:I455"/>
    <mergeCell ref="J455:K455"/>
    <mergeCell ref="A456:B456"/>
    <mergeCell ref="C456:D456"/>
    <mergeCell ref="D448:E448"/>
    <mergeCell ref="L448:N448"/>
    <mergeCell ref="L449:O449"/>
    <mergeCell ref="A450:E450"/>
    <mergeCell ref="D453:L453"/>
    <mergeCell ref="A446:C446"/>
    <mergeCell ref="E446:F446"/>
    <mergeCell ref="H446:K446"/>
    <mergeCell ref="L446:M446"/>
    <mergeCell ref="A447:C447"/>
    <mergeCell ref="D447:F447"/>
    <mergeCell ref="K439:K441"/>
    <mergeCell ref="L439:M441"/>
    <mergeCell ref="N439:N445"/>
    <mergeCell ref="O439:O445"/>
    <mergeCell ref="B442:B443"/>
    <mergeCell ref="C442:C443"/>
    <mergeCell ref="D442:D443"/>
    <mergeCell ref="E442:E443"/>
    <mergeCell ref="K442:K443"/>
    <mergeCell ref="L442:M443"/>
    <mergeCell ref="L444:M444"/>
    <mergeCell ref="L445:M445"/>
    <mergeCell ref="A439:A445"/>
    <mergeCell ref="B439:B441"/>
    <mergeCell ref="C439:C441"/>
    <mergeCell ref="D439:D441"/>
    <mergeCell ref="E439:E441"/>
    <mergeCell ref="N430:N438"/>
    <mergeCell ref="O430:O438"/>
    <mergeCell ref="B433:B435"/>
    <mergeCell ref="C433:C435"/>
    <mergeCell ref="D433:D435"/>
    <mergeCell ref="E433:E435"/>
    <mergeCell ref="K433:K435"/>
    <mergeCell ref="L433:M435"/>
    <mergeCell ref="B436:B437"/>
    <mergeCell ref="C436:C437"/>
    <mergeCell ref="D436:D437"/>
    <mergeCell ref="E436:E437"/>
    <mergeCell ref="K436:K437"/>
    <mergeCell ref="L436:M437"/>
    <mergeCell ref="L438:M438"/>
    <mergeCell ref="L429:M429"/>
    <mergeCell ref="A430:A438"/>
    <mergeCell ref="B430:B432"/>
    <mergeCell ref="C430:C432"/>
    <mergeCell ref="D430:D432"/>
    <mergeCell ref="E430:E432"/>
    <mergeCell ref="K430:K432"/>
    <mergeCell ref="L430:M432"/>
    <mergeCell ref="A425:O425"/>
    <mergeCell ref="A426:G426"/>
    <mergeCell ref="A427:A429"/>
    <mergeCell ref="B427:E427"/>
    <mergeCell ref="F427:H427"/>
    <mergeCell ref="I427:O427"/>
    <mergeCell ref="B428:B429"/>
    <mergeCell ref="C428:C429"/>
    <mergeCell ref="D428:D429"/>
    <mergeCell ref="E428:E429"/>
    <mergeCell ref="F428:F429"/>
    <mergeCell ref="G428:G429"/>
    <mergeCell ref="H428:H429"/>
    <mergeCell ref="I428:J428"/>
    <mergeCell ref="K428:M428"/>
    <mergeCell ref="N428:O428"/>
    <mergeCell ref="A423:B423"/>
    <mergeCell ref="E423:F423"/>
    <mergeCell ref="G423:I423"/>
    <mergeCell ref="J423:K423"/>
    <mergeCell ref="A424:B424"/>
    <mergeCell ref="C424:D424"/>
    <mergeCell ref="D416:E416"/>
    <mergeCell ref="L416:N416"/>
    <mergeCell ref="L417:O417"/>
    <mergeCell ref="A418:E418"/>
    <mergeCell ref="D421:L421"/>
    <mergeCell ref="A414:C414"/>
    <mergeCell ref="E414:F414"/>
    <mergeCell ref="H414:K414"/>
    <mergeCell ref="L414:M414"/>
    <mergeCell ref="A415:C415"/>
    <mergeCell ref="D415:F415"/>
    <mergeCell ref="K407:K409"/>
    <mergeCell ref="L407:M409"/>
    <mergeCell ref="N407:N413"/>
    <mergeCell ref="O407:O413"/>
    <mergeCell ref="B410:B411"/>
    <mergeCell ref="C410:C411"/>
    <mergeCell ref="D410:D411"/>
    <mergeCell ref="E410:E411"/>
    <mergeCell ref="K410:K411"/>
    <mergeCell ref="L410:M411"/>
    <mergeCell ref="L412:M412"/>
    <mergeCell ref="L413:M413"/>
    <mergeCell ref="A407:A413"/>
    <mergeCell ref="B407:B409"/>
    <mergeCell ref="C407:C409"/>
    <mergeCell ref="D407:D409"/>
    <mergeCell ref="E407:E409"/>
    <mergeCell ref="N398:N406"/>
    <mergeCell ref="O398:O406"/>
    <mergeCell ref="B401:B403"/>
    <mergeCell ref="C401:C403"/>
    <mergeCell ref="D401:D403"/>
    <mergeCell ref="E401:E403"/>
    <mergeCell ref="K401:K403"/>
    <mergeCell ref="L401:M403"/>
    <mergeCell ref="B404:B405"/>
    <mergeCell ref="C404:C405"/>
    <mergeCell ref="D404:D405"/>
    <mergeCell ref="E404:E405"/>
    <mergeCell ref="K404:K405"/>
    <mergeCell ref="L404:M405"/>
    <mergeCell ref="L406:M406"/>
    <mergeCell ref="L397:M397"/>
    <mergeCell ref="A398:A406"/>
    <mergeCell ref="B398:B400"/>
    <mergeCell ref="C398:C400"/>
    <mergeCell ref="D398:D400"/>
    <mergeCell ref="E398:E400"/>
    <mergeCell ref="K398:K400"/>
    <mergeCell ref="L398:M400"/>
    <mergeCell ref="A393:O393"/>
    <mergeCell ref="A394:G394"/>
    <mergeCell ref="A395:A397"/>
    <mergeCell ref="B395:E395"/>
    <mergeCell ref="F395:H395"/>
    <mergeCell ref="I395:O395"/>
    <mergeCell ref="B396:B397"/>
    <mergeCell ref="C396:C397"/>
    <mergeCell ref="D396:D397"/>
    <mergeCell ref="E396:E397"/>
    <mergeCell ref="F396:F397"/>
    <mergeCell ref="G396:G397"/>
    <mergeCell ref="H396:H397"/>
    <mergeCell ref="I396:J396"/>
    <mergeCell ref="K396:M396"/>
    <mergeCell ref="N396:O396"/>
    <mergeCell ref="A391:B391"/>
    <mergeCell ref="E391:F391"/>
    <mergeCell ref="G391:I391"/>
    <mergeCell ref="J391:K391"/>
    <mergeCell ref="A392:B392"/>
    <mergeCell ref="C392:D392"/>
    <mergeCell ref="D384:E384"/>
    <mergeCell ref="L384:N384"/>
    <mergeCell ref="L385:O385"/>
    <mergeCell ref="A386:E386"/>
    <mergeCell ref="D389:L389"/>
    <mergeCell ref="A382:C382"/>
    <mergeCell ref="E382:F382"/>
    <mergeCell ref="H382:K382"/>
    <mergeCell ref="L382:M382"/>
    <mergeCell ref="A383:C383"/>
    <mergeCell ref="D383:F383"/>
    <mergeCell ref="K375:K377"/>
    <mergeCell ref="L375:M377"/>
    <mergeCell ref="N375:N381"/>
    <mergeCell ref="O375:O381"/>
    <mergeCell ref="B378:B379"/>
    <mergeCell ref="C378:C379"/>
    <mergeCell ref="D378:D379"/>
    <mergeCell ref="E378:E379"/>
    <mergeCell ref="K378:K379"/>
    <mergeCell ref="L378:M379"/>
    <mergeCell ref="L380:M380"/>
    <mergeCell ref="L381:M381"/>
    <mergeCell ref="A375:A381"/>
    <mergeCell ref="B375:B377"/>
    <mergeCell ref="C375:C377"/>
    <mergeCell ref="D375:D377"/>
    <mergeCell ref="E375:E377"/>
    <mergeCell ref="N366:N374"/>
    <mergeCell ref="O366:O374"/>
    <mergeCell ref="B369:B371"/>
    <mergeCell ref="C369:C371"/>
    <mergeCell ref="D369:D371"/>
    <mergeCell ref="E369:E371"/>
    <mergeCell ref="K369:K371"/>
    <mergeCell ref="L369:M371"/>
    <mergeCell ref="B372:B373"/>
    <mergeCell ref="C372:C373"/>
    <mergeCell ref="D372:D373"/>
    <mergeCell ref="E372:E373"/>
    <mergeCell ref="K372:K373"/>
    <mergeCell ref="L372:M373"/>
    <mergeCell ref="L374:M374"/>
    <mergeCell ref="L365:M365"/>
    <mergeCell ref="A366:A374"/>
    <mergeCell ref="B366:B368"/>
    <mergeCell ref="C366:C368"/>
    <mergeCell ref="D366:D368"/>
    <mergeCell ref="E366:E368"/>
    <mergeCell ref="K366:K368"/>
    <mergeCell ref="L366:M368"/>
    <mergeCell ref="A361:O361"/>
    <mergeCell ref="A362:G362"/>
    <mergeCell ref="A363:A365"/>
    <mergeCell ref="B363:E363"/>
    <mergeCell ref="F363:H363"/>
    <mergeCell ref="I363:O363"/>
    <mergeCell ref="B364:B365"/>
    <mergeCell ref="C364:C365"/>
    <mergeCell ref="D364:D365"/>
    <mergeCell ref="E364:E365"/>
    <mergeCell ref="F364:F365"/>
    <mergeCell ref="G364:G365"/>
    <mergeCell ref="H364:H365"/>
    <mergeCell ref="I364:J364"/>
    <mergeCell ref="K364:M364"/>
    <mergeCell ref="N364:O364"/>
    <mergeCell ref="A359:B359"/>
    <mergeCell ref="E359:F359"/>
    <mergeCell ref="G359:I359"/>
    <mergeCell ref="J359:K359"/>
    <mergeCell ref="A360:B360"/>
    <mergeCell ref="C360:D360"/>
    <mergeCell ref="D352:E352"/>
    <mergeCell ref="L352:N352"/>
    <mergeCell ref="L353:O353"/>
    <mergeCell ref="A354:E354"/>
    <mergeCell ref="D357:L357"/>
    <mergeCell ref="A350:C350"/>
    <mergeCell ref="E350:F350"/>
    <mergeCell ref="H350:K350"/>
    <mergeCell ref="L350:M350"/>
    <mergeCell ref="A351:C351"/>
    <mergeCell ref="D351:F351"/>
    <mergeCell ref="K343:K345"/>
    <mergeCell ref="L343:M345"/>
    <mergeCell ref="N343:N349"/>
    <mergeCell ref="O343:O349"/>
    <mergeCell ref="B346:B347"/>
    <mergeCell ref="C346:C347"/>
    <mergeCell ref="D346:D347"/>
    <mergeCell ref="E346:E347"/>
    <mergeCell ref="K346:K347"/>
    <mergeCell ref="L346:M347"/>
    <mergeCell ref="L348:M348"/>
    <mergeCell ref="L349:M349"/>
    <mergeCell ref="A343:A349"/>
    <mergeCell ref="B343:B345"/>
    <mergeCell ref="C343:C345"/>
    <mergeCell ref="D343:D345"/>
    <mergeCell ref="E343:E345"/>
    <mergeCell ref="N334:N342"/>
    <mergeCell ref="O334:O342"/>
    <mergeCell ref="B337:B339"/>
    <mergeCell ref="C337:C339"/>
    <mergeCell ref="D337:D339"/>
    <mergeCell ref="E337:E339"/>
    <mergeCell ref="K337:K339"/>
    <mergeCell ref="L337:M339"/>
    <mergeCell ref="B340:B341"/>
    <mergeCell ref="C340:C341"/>
    <mergeCell ref="D340:D341"/>
    <mergeCell ref="E340:E341"/>
    <mergeCell ref="K340:K341"/>
    <mergeCell ref="L340:M341"/>
    <mergeCell ref="L342:M342"/>
    <mergeCell ref="L333:M333"/>
    <mergeCell ref="A334:A342"/>
    <mergeCell ref="B334:B336"/>
    <mergeCell ref="C334:C336"/>
    <mergeCell ref="D334:D336"/>
    <mergeCell ref="E334:E336"/>
    <mergeCell ref="K334:K336"/>
    <mergeCell ref="L334:M336"/>
    <mergeCell ref="A329:O329"/>
    <mergeCell ref="A330:G330"/>
    <mergeCell ref="A331:A333"/>
    <mergeCell ref="B331:E331"/>
    <mergeCell ref="F331:H331"/>
    <mergeCell ref="I331:O331"/>
    <mergeCell ref="B332:B333"/>
    <mergeCell ref="C332:C333"/>
    <mergeCell ref="D332:D333"/>
    <mergeCell ref="E332:E333"/>
    <mergeCell ref="F332:F333"/>
    <mergeCell ref="G332:G333"/>
    <mergeCell ref="H332:H333"/>
    <mergeCell ref="I332:J332"/>
    <mergeCell ref="K332:M332"/>
    <mergeCell ref="N332:O332"/>
    <mergeCell ref="A327:B327"/>
    <mergeCell ref="E327:F327"/>
    <mergeCell ref="G327:I327"/>
    <mergeCell ref="J327:K327"/>
    <mergeCell ref="A328:B328"/>
    <mergeCell ref="C328:D328"/>
    <mergeCell ref="D320:E320"/>
    <mergeCell ref="L320:N320"/>
    <mergeCell ref="L321:O321"/>
    <mergeCell ref="A322:E322"/>
    <mergeCell ref="D325:L325"/>
    <mergeCell ref="A318:C318"/>
    <mergeCell ref="E318:F318"/>
    <mergeCell ref="H318:K318"/>
    <mergeCell ref="L318:M318"/>
    <mergeCell ref="A319:C319"/>
    <mergeCell ref="D319:F319"/>
    <mergeCell ref="K311:K313"/>
    <mergeCell ref="L311:M313"/>
    <mergeCell ref="N311:N317"/>
    <mergeCell ref="O311:O317"/>
    <mergeCell ref="B314:B315"/>
    <mergeCell ref="C314:C315"/>
    <mergeCell ref="D314:D315"/>
    <mergeCell ref="E314:E315"/>
    <mergeCell ref="K314:K315"/>
    <mergeCell ref="L314:M315"/>
    <mergeCell ref="L316:M316"/>
    <mergeCell ref="L317:M317"/>
    <mergeCell ref="A311:A317"/>
    <mergeCell ref="B311:B313"/>
    <mergeCell ref="C311:C313"/>
    <mergeCell ref="D311:D313"/>
    <mergeCell ref="E311:E313"/>
    <mergeCell ref="N302:N310"/>
    <mergeCell ref="O302:O310"/>
    <mergeCell ref="B305:B307"/>
    <mergeCell ref="C305:C307"/>
    <mergeCell ref="D305:D307"/>
    <mergeCell ref="E305:E307"/>
    <mergeCell ref="K305:K307"/>
    <mergeCell ref="L305:M307"/>
    <mergeCell ref="B308:B309"/>
    <mergeCell ref="C308:C309"/>
    <mergeCell ref="D308:D309"/>
    <mergeCell ref="E308:E309"/>
    <mergeCell ref="K308:K309"/>
    <mergeCell ref="L308:M309"/>
    <mergeCell ref="L310:M310"/>
    <mergeCell ref="L301:M301"/>
    <mergeCell ref="A302:A310"/>
    <mergeCell ref="B302:B304"/>
    <mergeCell ref="C302:C304"/>
    <mergeCell ref="D302:D304"/>
    <mergeCell ref="E302:E304"/>
    <mergeCell ref="K302:K304"/>
    <mergeCell ref="L302:M304"/>
    <mergeCell ref="A297:O297"/>
    <mergeCell ref="A298:G298"/>
    <mergeCell ref="A299:A301"/>
    <mergeCell ref="B299:E299"/>
    <mergeCell ref="F299:H299"/>
    <mergeCell ref="I299:O299"/>
    <mergeCell ref="B300:B301"/>
    <mergeCell ref="C300:C301"/>
    <mergeCell ref="D300:D301"/>
    <mergeCell ref="E300:E301"/>
    <mergeCell ref="F300:F301"/>
    <mergeCell ref="G300:G301"/>
    <mergeCell ref="H300:H301"/>
    <mergeCell ref="I300:J300"/>
    <mergeCell ref="K300:M300"/>
    <mergeCell ref="N300:O300"/>
    <mergeCell ref="A295:B295"/>
    <mergeCell ref="E295:F295"/>
    <mergeCell ref="G295:I295"/>
    <mergeCell ref="J295:K295"/>
    <mergeCell ref="A296:B296"/>
    <mergeCell ref="C296:D296"/>
    <mergeCell ref="D288:E288"/>
    <mergeCell ref="L288:N288"/>
    <mergeCell ref="L289:O289"/>
    <mergeCell ref="A290:E290"/>
    <mergeCell ref="D293:L293"/>
    <mergeCell ref="A286:C286"/>
    <mergeCell ref="E286:F286"/>
    <mergeCell ref="H286:K286"/>
    <mergeCell ref="L286:M286"/>
    <mergeCell ref="A287:C287"/>
    <mergeCell ref="D287:F287"/>
    <mergeCell ref="K279:K281"/>
    <mergeCell ref="L279:M281"/>
    <mergeCell ref="N279:N285"/>
    <mergeCell ref="O279:O285"/>
    <mergeCell ref="B282:B283"/>
    <mergeCell ref="C282:C283"/>
    <mergeCell ref="D282:D283"/>
    <mergeCell ref="E282:E283"/>
    <mergeCell ref="K282:K283"/>
    <mergeCell ref="L282:M283"/>
    <mergeCell ref="L284:M284"/>
    <mergeCell ref="L285:M285"/>
    <mergeCell ref="A279:A285"/>
    <mergeCell ref="B279:B281"/>
    <mergeCell ref="C279:C281"/>
    <mergeCell ref="D279:D281"/>
    <mergeCell ref="E279:E281"/>
    <mergeCell ref="N270:N278"/>
    <mergeCell ref="O270:O278"/>
    <mergeCell ref="B273:B275"/>
    <mergeCell ref="C273:C275"/>
    <mergeCell ref="D273:D275"/>
    <mergeCell ref="E273:E275"/>
    <mergeCell ref="K273:K275"/>
    <mergeCell ref="L273:M275"/>
    <mergeCell ref="B276:B277"/>
    <mergeCell ref="C276:C277"/>
    <mergeCell ref="D276:D277"/>
    <mergeCell ref="E276:E277"/>
    <mergeCell ref="K276:K277"/>
    <mergeCell ref="L276:M277"/>
    <mergeCell ref="L278:M278"/>
    <mergeCell ref="L269:M269"/>
    <mergeCell ref="A270:A278"/>
    <mergeCell ref="B270:B272"/>
    <mergeCell ref="C270:C272"/>
    <mergeCell ref="D270:D272"/>
    <mergeCell ref="E270:E272"/>
    <mergeCell ref="K270:K272"/>
    <mergeCell ref="L270:M272"/>
    <mergeCell ref="A265:O265"/>
    <mergeCell ref="A266:G266"/>
    <mergeCell ref="A267:A269"/>
    <mergeCell ref="B267:E267"/>
    <mergeCell ref="F267:H267"/>
    <mergeCell ref="I267:O267"/>
    <mergeCell ref="B268:B269"/>
    <mergeCell ref="C268:C269"/>
    <mergeCell ref="D268:D269"/>
    <mergeCell ref="E268:E269"/>
    <mergeCell ref="F268:F269"/>
    <mergeCell ref="G268:G269"/>
    <mergeCell ref="H268:H269"/>
    <mergeCell ref="I268:J268"/>
    <mergeCell ref="K268:M268"/>
    <mergeCell ref="N268:O268"/>
    <mergeCell ref="A263:B263"/>
    <mergeCell ref="E263:F263"/>
    <mergeCell ref="G263:I263"/>
    <mergeCell ref="J263:K263"/>
    <mergeCell ref="A264:B264"/>
    <mergeCell ref="C264:D264"/>
    <mergeCell ref="D256:E256"/>
    <mergeCell ref="L256:N256"/>
    <mergeCell ref="L257:O257"/>
    <mergeCell ref="A258:E258"/>
    <mergeCell ref="D261:L261"/>
    <mergeCell ref="A254:C254"/>
    <mergeCell ref="E254:F254"/>
    <mergeCell ref="H254:K254"/>
    <mergeCell ref="L254:M254"/>
    <mergeCell ref="A255:C255"/>
    <mergeCell ref="D255:F255"/>
    <mergeCell ref="K247:K249"/>
    <mergeCell ref="L247:M249"/>
    <mergeCell ref="N247:N253"/>
    <mergeCell ref="O247:O253"/>
    <mergeCell ref="B250:B251"/>
    <mergeCell ref="C250:C251"/>
    <mergeCell ref="D250:D251"/>
    <mergeCell ref="E250:E251"/>
    <mergeCell ref="K250:K251"/>
    <mergeCell ref="L250:M251"/>
    <mergeCell ref="L252:M252"/>
    <mergeCell ref="L253:M253"/>
    <mergeCell ref="A247:A253"/>
    <mergeCell ref="B247:B249"/>
    <mergeCell ref="C247:C249"/>
    <mergeCell ref="D247:D249"/>
    <mergeCell ref="E247:E249"/>
    <mergeCell ref="N238:N246"/>
    <mergeCell ref="O238:O246"/>
    <mergeCell ref="B241:B243"/>
    <mergeCell ref="C241:C243"/>
    <mergeCell ref="D241:D243"/>
    <mergeCell ref="E241:E243"/>
    <mergeCell ref="K241:K243"/>
    <mergeCell ref="L241:M243"/>
    <mergeCell ref="B244:B245"/>
    <mergeCell ref="C244:C245"/>
    <mergeCell ref="D244:D245"/>
    <mergeCell ref="E244:E245"/>
    <mergeCell ref="K244:K245"/>
    <mergeCell ref="L244:M245"/>
    <mergeCell ref="L246:M246"/>
    <mergeCell ref="L237:M237"/>
    <mergeCell ref="A238:A246"/>
    <mergeCell ref="B238:B240"/>
    <mergeCell ref="C238:C240"/>
    <mergeCell ref="D238:D240"/>
    <mergeCell ref="E238:E240"/>
    <mergeCell ref="K238:K240"/>
    <mergeCell ref="L238:M240"/>
    <mergeCell ref="A233:O233"/>
    <mergeCell ref="A234:G234"/>
    <mergeCell ref="A235:A237"/>
    <mergeCell ref="B235:E235"/>
    <mergeCell ref="F235:H235"/>
    <mergeCell ref="I235:O235"/>
    <mergeCell ref="B236:B237"/>
    <mergeCell ref="C236:C237"/>
    <mergeCell ref="D236:D237"/>
    <mergeCell ref="E236:E237"/>
    <mergeCell ref="F236:F237"/>
    <mergeCell ref="G236:G237"/>
    <mergeCell ref="H236:H237"/>
    <mergeCell ref="I236:J236"/>
    <mergeCell ref="K236:M236"/>
    <mergeCell ref="N236:O236"/>
    <mergeCell ref="A231:B231"/>
    <mergeCell ref="E231:F231"/>
    <mergeCell ref="G231:I231"/>
    <mergeCell ref="J231:K231"/>
    <mergeCell ref="A232:B232"/>
    <mergeCell ref="C232:D232"/>
    <mergeCell ref="D224:E224"/>
    <mergeCell ref="L224:N224"/>
    <mergeCell ref="L225:O225"/>
    <mergeCell ref="A226:E226"/>
    <mergeCell ref="D229:L229"/>
    <mergeCell ref="A222:C222"/>
    <mergeCell ref="E222:F222"/>
    <mergeCell ref="H222:K222"/>
    <mergeCell ref="L222:M222"/>
    <mergeCell ref="A223:C223"/>
    <mergeCell ref="D223:F223"/>
    <mergeCell ref="K215:K217"/>
    <mergeCell ref="L215:M217"/>
    <mergeCell ref="N215:N221"/>
    <mergeCell ref="O215:O221"/>
    <mergeCell ref="B218:B219"/>
    <mergeCell ref="C218:C219"/>
    <mergeCell ref="D218:D219"/>
    <mergeCell ref="E218:E219"/>
    <mergeCell ref="K218:K219"/>
    <mergeCell ref="L218:M219"/>
    <mergeCell ref="L220:M220"/>
    <mergeCell ref="L221:M221"/>
    <mergeCell ref="A215:A221"/>
    <mergeCell ref="B215:B217"/>
    <mergeCell ref="C215:C217"/>
    <mergeCell ref="D215:D217"/>
    <mergeCell ref="E215:E217"/>
    <mergeCell ref="N206:N214"/>
    <mergeCell ref="O206:O214"/>
    <mergeCell ref="B209:B211"/>
    <mergeCell ref="C209:C211"/>
    <mergeCell ref="D209:D211"/>
    <mergeCell ref="E209:E211"/>
    <mergeCell ref="K209:K211"/>
    <mergeCell ref="L209:M211"/>
    <mergeCell ref="B212:B213"/>
    <mergeCell ref="C212:C213"/>
    <mergeCell ref="D212:D213"/>
    <mergeCell ref="E212:E213"/>
    <mergeCell ref="K212:K213"/>
    <mergeCell ref="L212:M213"/>
    <mergeCell ref="L214:M214"/>
    <mergeCell ref="L205:M205"/>
    <mergeCell ref="A206:A214"/>
    <mergeCell ref="B206:B208"/>
    <mergeCell ref="C206:C208"/>
    <mergeCell ref="D206:D208"/>
    <mergeCell ref="E206:E208"/>
    <mergeCell ref="K206:K208"/>
    <mergeCell ref="L206:M208"/>
    <mergeCell ref="A201:O201"/>
    <mergeCell ref="A202:G202"/>
    <mergeCell ref="A203:A205"/>
    <mergeCell ref="B203:E203"/>
    <mergeCell ref="F203:H203"/>
    <mergeCell ref="I203:O203"/>
    <mergeCell ref="B204:B205"/>
    <mergeCell ref="C204:C205"/>
    <mergeCell ref="D204:D205"/>
    <mergeCell ref="E204:E205"/>
    <mergeCell ref="F204:F205"/>
    <mergeCell ref="G204:G205"/>
    <mergeCell ref="H204:H205"/>
    <mergeCell ref="I204:J204"/>
    <mergeCell ref="K204:M204"/>
    <mergeCell ref="N204:O204"/>
    <mergeCell ref="A199:B199"/>
    <mergeCell ref="E199:F199"/>
    <mergeCell ref="G199:I199"/>
    <mergeCell ref="J199:K199"/>
    <mergeCell ref="A200:B200"/>
    <mergeCell ref="C200:D200"/>
    <mergeCell ref="D192:E192"/>
    <mergeCell ref="L192:N192"/>
    <mergeCell ref="L193:O193"/>
    <mergeCell ref="A194:E194"/>
    <mergeCell ref="D197:L197"/>
    <mergeCell ref="A190:C190"/>
    <mergeCell ref="E190:F190"/>
    <mergeCell ref="H190:K190"/>
    <mergeCell ref="L190:M190"/>
    <mergeCell ref="A191:C191"/>
    <mergeCell ref="D191:F191"/>
    <mergeCell ref="K183:K185"/>
    <mergeCell ref="L183:M185"/>
    <mergeCell ref="N183:N189"/>
    <mergeCell ref="O183:O189"/>
    <mergeCell ref="B186:B187"/>
    <mergeCell ref="C186:C187"/>
    <mergeCell ref="D186:D187"/>
    <mergeCell ref="E186:E187"/>
    <mergeCell ref="K186:K187"/>
    <mergeCell ref="L186:M187"/>
    <mergeCell ref="L188:M188"/>
    <mergeCell ref="L189:M189"/>
    <mergeCell ref="A183:A189"/>
    <mergeCell ref="B183:B185"/>
    <mergeCell ref="C183:C185"/>
    <mergeCell ref="D183:D185"/>
    <mergeCell ref="E183:E185"/>
    <mergeCell ref="N174:N182"/>
    <mergeCell ref="O174:O182"/>
    <mergeCell ref="B177:B179"/>
    <mergeCell ref="C177:C179"/>
    <mergeCell ref="D177:D179"/>
    <mergeCell ref="E177:E179"/>
    <mergeCell ref="K177:K179"/>
    <mergeCell ref="L177:M179"/>
    <mergeCell ref="B180:B181"/>
    <mergeCell ref="C180:C181"/>
    <mergeCell ref="D180:D181"/>
    <mergeCell ref="E180:E181"/>
    <mergeCell ref="K180:K181"/>
    <mergeCell ref="L180:M181"/>
    <mergeCell ref="L182:M182"/>
    <mergeCell ref="L173:M173"/>
    <mergeCell ref="A174:A182"/>
    <mergeCell ref="B174:B176"/>
    <mergeCell ref="C174:C176"/>
    <mergeCell ref="D174:D176"/>
    <mergeCell ref="E174:E176"/>
    <mergeCell ref="K174:K176"/>
    <mergeCell ref="L174:M176"/>
    <mergeCell ref="A169:O169"/>
    <mergeCell ref="A170:G170"/>
    <mergeCell ref="A171:A173"/>
    <mergeCell ref="B171:E171"/>
    <mergeCell ref="F171:H171"/>
    <mergeCell ref="I171:O171"/>
    <mergeCell ref="B172:B173"/>
    <mergeCell ref="C172:C173"/>
    <mergeCell ref="D172:D173"/>
    <mergeCell ref="E172:E173"/>
    <mergeCell ref="F172:F173"/>
    <mergeCell ref="G172:G173"/>
    <mergeCell ref="H172:H173"/>
    <mergeCell ref="I172:J172"/>
    <mergeCell ref="K172:M172"/>
    <mergeCell ref="N172:O172"/>
    <mergeCell ref="A167:B167"/>
    <mergeCell ref="E167:F167"/>
    <mergeCell ref="G167:I167"/>
    <mergeCell ref="J167:K167"/>
    <mergeCell ref="A168:B168"/>
    <mergeCell ref="C168:D168"/>
    <mergeCell ref="D160:E160"/>
    <mergeCell ref="L160:N160"/>
    <mergeCell ref="L161:O161"/>
    <mergeCell ref="A162:E162"/>
    <mergeCell ref="D165:L165"/>
    <mergeCell ref="A158:C158"/>
    <mergeCell ref="E158:F158"/>
    <mergeCell ref="H158:K158"/>
    <mergeCell ref="L158:M158"/>
    <mergeCell ref="A159:C159"/>
    <mergeCell ref="D159:F159"/>
    <mergeCell ref="K151:K153"/>
    <mergeCell ref="L151:M153"/>
    <mergeCell ref="N151:N157"/>
    <mergeCell ref="O151:O157"/>
    <mergeCell ref="B154:B155"/>
    <mergeCell ref="C154:C155"/>
    <mergeCell ref="D154:D155"/>
    <mergeCell ref="E154:E155"/>
    <mergeCell ref="K154:K155"/>
    <mergeCell ref="L154:M155"/>
    <mergeCell ref="L156:M156"/>
    <mergeCell ref="L157:M157"/>
    <mergeCell ref="A151:A157"/>
    <mergeCell ref="B151:B153"/>
    <mergeCell ref="C151:C153"/>
    <mergeCell ref="D151:D153"/>
    <mergeCell ref="E151:E153"/>
    <mergeCell ref="N142:N150"/>
    <mergeCell ref="O142:O150"/>
    <mergeCell ref="B145:B147"/>
    <mergeCell ref="C145:C147"/>
    <mergeCell ref="D145:D147"/>
    <mergeCell ref="E145:E147"/>
    <mergeCell ref="K145:K147"/>
    <mergeCell ref="L145:M147"/>
    <mergeCell ref="B148:B149"/>
    <mergeCell ref="C148:C149"/>
    <mergeCell ref="D148:D149"/>
    <mergeCell ref="E148:E149"/>
    <mergeCell ref="K148:K149"/>
    <mergeCell ref="L148:M149"/>
    <mergeCell ref="L150:M150"/>
    <mergeCell ref="L141:M141"/>
    <mergeCell ref="A142:A150"/>
    <mergeCell ref="B142:B144"/>
    <mergeCell ref="C142:C144"/>
    <mergeCell ref="D142:D144"/>
    <mergeCell ref="E142:E144"/>
    <mergeCell ref="K142:K144"/>
    <mergeCell ref="L142:M144"/>
    <mergeCell ref="A137:O137"/>
    <mergeCell ref="A138:G138"/>
    <mergeCell ref="A139:A141"/>
    <mergeCell ref="B139:E139"/>
    <mergeCell ref="F139:H139"/>
    <mergeCell ref="I139:O139"/>
    <mergeCell ref="B140:B141"/>
    <mergeCell ref="C140:C141"/>
    <mergeCell ref="D140:D141"/>
    <mergeCell ref="E140:E141"/>
    <mergeCell ref="F140:F141"/>
    <mergeCell ref="G140:G141"/>
    <mergeCell ref="H140:H141"/>
    <mergeCell ref="I140:J140"/>
    <mergeCell ref="K140:M140"/>
    <mergeCell ref="N140:O140"/>
    <mergeCell ref="A135:B135"/>
    <mergeCell ref="E135:F135"/>
    <mergeCell ref="G135:I135"/>
    <mergeCell ref="J135:K135"/>
    <mergeCell ref="A136:B136"/>
    <mergeCell ref="C136:D136"/>
    <mergeCell ref="D128:E128"/>
    <mergeCell ref="L128:N128"/>
    <mergeCell ref="L129:O129"/>
    <mergeCell ref="A130:E130"/>
    <mergeCell ref="D133:L133"/>
    <mergeCell ref="A126:C126"/>
    <mergeCell ref="E126:F126"/>
    <mergeCell ref="H126:K126"/>
    <mergeCell ref="L126:M126"/>
    <mergeCell ref="A127:C127"/>
    <mergeCell ref="D127:F127"/>
    <mergeCell ref="K119:K121"/>
    <mergeCell ref="L119:M121"/>
    <mergeCell ref="N119:N125"/>
    <mergeCell ref="O119:O125"/>
    <mergeCell ref="B122:B123"/>
    <mergeCell ref="C122:C123"/>
    <mergeCell ref="D122:D123"/>
    <mergeCell ref="E122:E123"/>
    <mergeCell ref="K122:K123"/>
    <mergeCell ref="L122:M123"/>
    <mergeCell ref="L124:M124"/>
    <mergeCell ref="L125:M125"/>
    <mergeCell ref="A119:A125"/>
    <mergeCell ref="B119:B121"/>
    <mergeCell ref="C119:C121"/>
    <mergeCell ref="D119:D121"/>
    <mergeCell ref="E119:E121"/>
    <mergeCell ref="N110:N118"/>
    <mergeCell ref="O110:O118"/>
    <mergeCell ref="B113:B115"/>
    <mergeCell ref="C113:C115"/>
    <mergeCell ref="D113:D115"/>
    <mergeCell ref="E113:E115"/>
    <mergeCell ref="K113:K115"/>
    <mergeCell ref="L113:M115"/>
    <mergeCell ref="B116:B117"/>
    <mergeCell ref="C116:C117"/>
    <mergeCell ref="D116:D117"/>
    <mergeCell ref="E116:E117"/>
    <mergeCell ref="K116:K117"/>
    <mergeCell ref="L116:M117"/>
    <mergeCell ref="L118:M118"/>
    <mergeCell ref="L109:M109"/>
    <mergeCell ref="A110:A118"/>
    <mergeCell ref="B110:B112"/>
    <mergeCell ref="C110:C112"/>
    <mergeCell ref="D110:D112"/>
    <mergeCell ref="E110:E112"/>
    <mergeCell ref="K110:K112"/>
    <mergeCell ref="L110:M112"/>
    <mergeCell ref="A105:O105"/>
    <mergeCell ref="A106:G106"/>
    <mergeCell ref="A107:A109"/>
    <mergeCell ref="B107:E107"/>
    <mergeCell ref="F107:H107"/>
    <mergeCell ref="I107:O107"/>
    <mergeCell ref="B108:B109"/>
    <mergeCell ref="C108:C109"/>
    <mergeCell ref="D108:D109"/>
    <mergeCell ref="E108:E109"/>
    <mergeCell ref="F108:F109"/>
    <mergeCell ref="G108:G109"/>
    <mergeCell ref="H108:H109"/>
    <mergeCell ref="I108:J108"/>
    <mergeCell ref="K108:M108"/>
    <mergeCell ref="N108:O108"/>
    <mergeCell ref="A103:B103"/>
    <mergeCell ref="E103:F103"/>
    <mergeCell ref="G103:I103"/>
    <mergeCell ref="J103:K103"/>
    <mergeCell ref="A104:B104"/>
    <mergeCell ref="C104:D104"/>
    <mergeCell ref="D96:E96"/>
    <mergeCell ref="L96:N96"/>
    <mergeCell ref="L97:O97"/>
    <mergeCell ref="A98:E98"/>
    <mergeCell ref="D101:L101"/>
    <mergeCell ref="A94:C94"/>
    <mergeCell ref="E94:F94"/>
    <mergeCell ref="H94:K94"/>
    <mergeCell ref="L94:M94"/>
    <mergeCell ref="A95:C95"/>
    <mergeCell ref="D95:F95"/>
    <mergeCell ref="K87:K89"/>
    <mergeCell ref="L87:M89"/>
    <mergeCell ref="N87:N93"/>
    <mergeCell ref="O87:O93"/>
    <mergeCell ref="B90:B91"/>
    <mergeCell ref="C90:C91"/>
    <mergeCell ref="D90:D91"/>
    <mergeCell ref="E90:E91"/>
    <mergeCell ref="K90:K91"/>
    <mergeCell ref="L90:M91"/>
    <mergeCell ref="L92:M92"/>
    <mergeCell ref="L93:M93"/>
    <mergeCell ref="A87:A93"/>
    <mergeCell ref="B87:B89"/>
    <mergeCell ref="C87:C89"/>
    <mergeCell ref="D87:D89"/>
    <mergeCell ref="E87:E89"/>
    <mergeCell ref="N78:N86"/>
    <mergeCell ref="O78:O86"/>
    <mergeCell ref="B81:B83"/>
    <mergeCell ref="C81:C83"/>
    <mergeCell ref="D81:D83"/>
    <mergeCell ref="E81:E83"/>
    <mergeCell ref="K81:K83"/>
    <mergeCell ref="L81:M83"/>
    <mergeCell ref="B84:B85"/>
    <mergeCell ref="C84:C85"/>
    <mergeCell ref="D84:D85"/>
    <mergeCell ref="E84:E85"/>
    <mergeCell ref="K84:K85"/>
    <mergeCell ref="L84:M85"/>
    <mergeCell ref="L86:M86"/>
    <mergeCell ref="L77:M77"/>
    <mergeCell ref="A78:A86"/>
    <mergeCell ref="B78:B80"/>
    <mergeCell ref="C78:C80"/>
    <mergeCell ref="D78:D80"/>
    <mergeCell ref="E78:E80"/>
    <mergeCell ref="K78:K80"/>
    <mergeCell ref="L78:M80"/>
    <mergeCell ref="A73:O73"/>
    <mergeCell ref="A74:G74"/>
    <mergeCell ref="A75:A77"/>
    <mergeCell ref="B75:E75"/>
    <mergeCell ref="F75:H75"/>
    <mergeCell ref="I75:O75"/>
    <mergeCell ref="B76:B77"/>
    <mergeCell ref="C76:C77"/>
    <mergeCell ref="D76:D77"/>
    <mergeCell ref="E76:E77"/>
    <mergeCell ref="F76:F77"/>
    <mergeCell ref="G76:G77"/>
    <mergeCell ref="H76:H77"/>
    <mergeCell ref="I76:J76"/>
    <mergeCell ref="K76:M76"/>
    <mergeCell ref="N76:O76"/>
    <mergeCell ref="A71:B71"/>
    <mergeCell ref="E71:F71"/>
    <mergeCell ref="G71:I71"/>
    <mergeCell ref="J71:K71"/>
    <mergeCell ref="A72:B72"/>
    <mergeCell ref="C72:D72"/>
    <mergeCell ref="L65:O65"/>
    <mergeCell ref="A66:E66"/>
    <mergeCell ref="D69:L69"/>
    <mergeCell ref="A62:C62"/>
    <mergeCell ref="E62:F62"/>
    <mergeCell ref="H62:K62"/>
    <mergeCell ref="L62:M62"/>
    <mergeCell ref="A63:C63"/>
    <mergeCell ref="D63:F63"/>
    <mergeCell ref="N55:N61"/>
    <mergeCell ref="O55:O61"/>
    <mergeCell ref="B58:B59"/>
    <mergeCell ref="C58:C59"/>
    <mergeCell ref="D58:D59"/>
    <mergeCell ref="E58:E59"/>
    <mergeCell ref="K58:K59"/>
    <mergeCell ref="L58:M59"/>
    <mergeCell ref="L60:M60"/>
    <mergeCell ref="L61:M61"/>
    <mergeCell ref="A55:A61"/>
    <mergeCell ref="B55:B57"/>
    <mergeCell ref="C55:C57"/>
    <mergeCell ref="D55:D57"/>
    <mergeCell ref="E55:E57"/>
    <mergeCell ref="K55:K57"/>
    <mergeCell ref="L55:M57"/>
    <mergeCell ref="D64:E64"/>
    <mergeCell ref="L64:N64"/>
    <mergeCell ref="N44:O44"/>
    <mergeCell ref="L45:M45"/>
    <mergeCell ref="A46:A54"/>
    <mergeCell ref="B46:B48"/>
    <mergeCell ref="C46:C48"/>
    <mergeCell ref="D46:D48"/>
    <mergeCell ref="E46:E48"/>
    <mergeCell ref="K46:K48"/>
    <mergeCell ref="L46:M48"/>
    <mergeCell ref="N46:N54"/>
    <mergeCell ref="O46:O54"/>
    <mergeCell ref="B49:B51"/>
    <mergeCell ref="C49:C51"/>
    <mergeCell ref="D49:D51"/>
    <mergeCell ref="E49:E51"/>
    <mergeCell ref="A40:B40"/>
    <mergeCell ref="C40:D40"/>
    <mergeCell ref="A41:O41"/>
    <mergeCell ref="A42:G42"/>
    <mergeCell ref="A43:A45"/>
    <mergeCell ref="B43:E43"/>
    <mergeCell ref="F43:H43"/>
    <mergeCell ref="I43:O43"/>
    <mergeCell ref="B44:B45"/>
    <mergeCell ref="C44:C45"/>
    <mergeCell ref="D44:D45"/>
    <mergeCell ref="E44:E45"/>
    <mergeCell ref="F44:F45"/>
    <mergeCell ref="G44:G45"/>
    <mergeCell ref="H44:H45"/>
    <mergeCell ref="I44:J44"/>
    <mergeCell ref="L54:M54"/>
    <mergeCell ref="D32:E32"/>
    <mergeCell ref="L32:N32"/>
    <mergeCell ref="A30:C30"/>
    <mergeCell ref="H30:K30"/>
    <mergeCell ref="E30:F30"/>
    <mergeCell ref="L30:M30"/>
    <mergeCell ref="D31:F31"/>
    <mergeCell ref="A31:C31"/>
    <mergeCell ref="B20:B21"/>
    <mergeCell ref="A14:A22"/>
    <mergeCell ref="B14:B16"/>
    <mergeCell ref="C14:C16"/>
    <mergeCell ref="D14:D16"/>
    <mergeCell ref="C20:C21"/>
    <mergeCell ref="K49:K51"/>
    <mergeCell ref="L49:M51"/>
    <mergeCell ref="B52:B53"/>
    <mergeCell ref="C52:C53"/>
    <mergeCell ref="D52:D53"/>
    <mergeCell ref="E52:E53"/>
    <mergeCell ref="K52:K53"/>
    <mergeCell ref="L52:M53"/>
    <mergeCell ref="K44:M44"/>
    <mergeCell ref="L26:M27"/>
    <mergeCell ref="L33:O33"/>
    <mergeCell ref="A34:E34"/>
    <mergeCell ref="D37:L37"/>
    <mergeCell ref="A39:B39"/>
    <mergeCell ref="E39:F39"/>
    <mergeCell ref="G39:I39"/>
    <mergeCell ref="J39:K39"/>
    <mergeCell ref="C26:C27"/>
    <mergeCell ref="O23:O29"/>
    <mergeCell ref="L20:M21"/>
    <mergeCell ref="L22:M22"/>
    <mergeCell ref="L14:M16"/>
    <mergeCell ref="N14:N22"/>
    <mergeCell ref="O14:O22"/>
    <mergeCell ref="B17:B19"/>
    <mergeCell ref="C17:C19"/>
    <mergeCell ref="D17:D19"/>
    <mergeCell ref="E17:E19"/>
    <mergeCell ref="K17:K19"/>
    <mergeCell ref="L28:M28"/>
    <mergeCell ref="L29:M29"/>
    <mergeCell ref="N23:N29"/>
    <mergeCell ref="A23:A29"/>
    <mergeCell ref="K23:K25"/>
    <mergeCell ref="D20:D21"/>
    <mergeCell ref="E20:E21"/>
    <mergeCell ref="K20:K21"/>
    <mergeCell ref="L17:M19"/>
    <mergeCell ref="L23:M25"/>
    <mergeCell ref="C23:C25"/>
    <mergeCell ref="B23:B25"/>
    <mergeCell ref="D23:D25"/>
    <mergeCell ref="E23:E25"/>
    <mergeCell ref="B26:B27"/>
    <mergeCell ref="D26:D27"/>
    <mergeCell ref="E26:E27"/>
    <mergeCell ref="K26:K27"/>
    <mergeCell ref="L1:O1"/>
    <mergeCell ref="A2:E2"/>
    <mergeCell ref="D5:L5"/>
    <mergeCell ref="E7:F7"/>
    <mergeCell ref="C8:D8"/>
    <mergeCell ref="E14:E16"/>
    <mergeCell ref="K14:K16"/>
    <mergeCell ref="N12:O12"/>
    <mergeCell ref="L13:M13"/>
    <mergeCell ref="A10:G10"/>
    <mergeCell ref="A11:A13"/>
    <mergeCell ref="B11:E11"/>
    <mergeCell ref="F11:H11"/>
    <mergeCell ref="I11:O11"/>
    <mergeCell ref="B12:B13"/>
    <mergeCell ref="C12:C13"/>
    <mergeCell ref="D12:D13"/>
    <mergeCell ref="E12:E13"/>
    <mergeCell ref="A7:B7"/>
    <mergeCell ref="G7:I7"/>
    <mergeCell ref="J7:K7"/>
    <mergeCell ref="A8:B8"/>
    <mergeCell ref="A9:O9"/>
    <mergeCell ref="F12:F13"/>
    <mergeCell ref="G12:G13"/>
    <mergeCell ref="H12:H13"/>
    <mergeCell ref="I12:J12"/>
    <mergeCell ref="K12:M12"/>
  </mergeCells>
  <printOptions horizontalCentered="1"/>
  <pageMargins left="0" right="0" top="0" bottom="0.19685039370078741" header="0" footer="0"/>
  <pageSetup paperSize="9" scale="74" orientation="landscape" r:id="rId1"/>
  <rowBreaks count="25" manualBreakCount="25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  <brk id="672" max="16383" man="1"/>
    <brk id="704" max="16383" man="1"/>
    <brk id="736" max="16383" man="1"/>
    <brk id="768" max="16383" man="1"/>
    <brk id="8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92"/>
  <sheetViews>
    <sheetView showGridLines="0" rightToLeft="1" view="pageBreakPreview" zoomScale="60" zoomScaleNormal="70" workbookViewId="0">
      <selection activeCell="A17" sqref="A17:XFD17"/>
    </sheetView>
  </sheetViews>
  <sheetFormatPr baseColWidth="10" defaultRowHeight="15"/>
  <cols>
    <col min="1" max="1" width="4.7109375" style="221" customWidth="1"/>
    <col min="2" max="2" width="7.7109375" customWidth="1"/>
    <col min="3" max="4" width="25.85546875" customWidth="1"/>
    <col min="5" max="5" width="17.42578125" customWidth="1"/>
    <col min="6" max="6" width="16.7109375" customWidth="1"/>
    <col min="7" max="7" width="18.85546875" customWidth="1"/>
    <col min="8" max="13" width="12.28515625" customWidth="1"/>
    <col min="14" max="16" width="9" customWidth="1"/>
    <col min="17" max="17" width="8.7109375" customWidth="1"/>
    <col min="18" max="18" width="6.140625" customWidth="1"/>
    <col min="19" max="21" width="9" customWidth="1"/>
    <col min="22" max="22" width="8.7109375" customWidth="1"/>
    <col min="23" max="23" width="6.28515625" customWidth="1"/>
    <col min="24" max="26" width="9" customWidth="1"/>
    <col min="27" max="27" width="8.7109375" customWidth="1"/>
    <col min="28" max="28" width="7" customWidth="1"/>
    <col min="29" max="29" width="8.7109375" customWidth="1"/>
    <col min="30" max="30" width="6.85546875" customWidth="1"/>
    <col min="31" max="32" width="9" customWidth="1"/>
    <col min="33" max="33" width="8.7109375" customWidth="1"/>
    <col min="34" max="34" width="6.5703125" customWidth="1"/>
    <col min="35" max="37" width="9" customWidth="1"/>
    <col min="38" max="38" width="8.7109375" customWidth="1"/>
    <col min="39" max="39" width="6.5703125" customWidth="1"/>
    <col min="40" max="42" width="9" customWidth="1"/>
    <col min="43" max="43" width="8.7109375" customWidth="1"/>
    <col min="44" max="44" width="6.140625" customWidth="1"/>
    <col min="45" max="45" width="8.7109375" customWidth="1"/>
    <col min="46" max="46" width="6.140625" customWidth="1"/>
    <col min="47" max="49" width="9" customWidth="1"/>
    <col min="50" max="50" width="8.7109375" customWidth="1"/>
    <col min="51" max="51" width="6.28515625" customWidth="1"/>
    <col min="52" max="53" width="9" customWidth="1"/>
    <col min="54" max="54" width="8.7109375" customWidth="1"/>
    <col min="55" max="55" width="6.28515625" customWidth="1"/>
    <col min="56" max="56" width="8.7109375" customWidth="1"/>
    <col min="57" max="57" width="6.28515625" customWidth="1"/>
    <col min="58" max="60" width="9" customWidth="1"/>
    <col min="61" max="61" width="8.7109375" customWidth="1"/>
    <col min="62" max="62" width="7" customWidth="1"/>
    <col min="63" max="63" width="8.7109375" customWidth="1"/>
    <col min="64" max="64" width="6.28515625" customWidth="1"/>
    <col min="65" max="65" width="10.42578125" customWidth="1"/>
    <col min="66" max="66" width="9.7109375" customWidth="1"/>
    <col min="67" max="70" width="9" customWidth="1"/>
    <col min="71" max="71" width="6.140625" customWidth="1"/>
    <col min="72" max="74" width="9" customWidth="1"/>
    <col min="75" max="75" width="8.85546875" customWidth="1"/>
    <col min="76" max="76" width="6.5703125" customWidth="1"/>
    <col min="77" max="80" width="9" customWidth="1"/>
    <col min="81" max="81" width="6.140625" customWidth="1"/>
    <col min="82" max="82" width="9" customWidth="1"/>
    <col min="83" max="83" width="6.140625" customWidth="1"/>
    <col min="84" max="86" width="9" customWidth="1"/>
    <col min="87" max="87" width="8.5703125" customWidth="1"/>
    <col min="88" max="88" width="6.5703125" customWidth="1"/>
    <col min="89" max="91" width="9" customWidth="1"/>
    <col min="92" max="92" width="8.5703125" customWidth="1"/>
    <col min="93" max="93" width="6.140625" customWidth="1"/>
    <col min="94" max="94" width="8.42578125" customWidth="1"/>
    <col min="95" max="95" width="6.28515625" customWidth="1"/>
    <col min="96" max="98" width="9" customWidth="1"/>
    <col min="99" max="99" width="8.42578125" customWidth="1"/>
    <col min="100" max="100" width="6.140625" customWidth="1"/>
    <col min="101" max="101" width="8.7109375" customWidth="1"/>
    <col min="102" max="102" width="6.28515625" customWidth="1"/>
    <col min="103" max="104" width="9" customWidth="1"/>
    <col min="105" max="105" width="8.85546875" customWidth="1"/>
    <col min="106" max="106" width="6.42578125" customWidth="1"/>
    <col min="107" max="107" width="8.5703125" customWidth="1"/>
    <col min="108" max="108" width="6.85546875" customWidth="1"/>
    <col min="109" max="109" width="13" customWidth="1"/>
    <col min="110" max="110" width="12.7109375" customWidth="1"/>
    <col min="111" max="111" width="17.28515625" customWidth="1"/>
    <col min="112" max="112" width="17.7109375" hidden="1" customWidth="1"/>
    <col min="113" max="116" width="17.7109375" customWidth="1"/>
    <col min="117" max="117" width="21.140625" customWidth="1"/>
    <col min="118" max="118" width="30" customWidth="1"/>
    <col min="119" max="119" width="18.5703125" customWidth="1"/>
  </cols>
  <sheetData>
    <row r="1" spans="1:121" s="37" customFormat="1" ht="50.25" customHeight="1" thickBot="1">
      <c r="A1" s="49"/>
      <c r="B1" s="417" t="s">
        <v>106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22" t="s">
        <v>106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4"/>
      <c r="BO1" s="425" t="s">
        <v>106</v>
      </c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7"/>
      <c r="DG1" s="428" t="s">
        <v>106</v>
      </c>
      <c r="DH1" s="429"/>
      <c r="DI1" s="429"/>
      <c r="DJ1" s="429"/>
      <c r="DK1" s="429"/>
      <c r="DL1" s="429"/>
      <c r="DM1" s="429"/>
      <c r="DN1" s="430"/>
      <c r="DP1" s="38"/>
    </row>
    <row r="2" spans="1:121" s="37" customFormat="1" ht="36" customHeight="1" thickBot="1">
      <c r="A2" s="49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415" t="s">
        <v>510</v>
      </c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6"/>
      <c r="BO2" s="408" t="s">
        <v>97</v>
      </c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09"/>
      <c r="CZ2" s="409"/>
      <c r="DA2" s="409"/>
      <c r="DB2" s="409"/>
      <c r="DC2" s="409"/>
      <c r="DD2" s="409"/>
      <c r="DE2" s="409"/>
      <c r="DF2" s="410"/>
      <c r="DG2" s="412" t="s">
        <v>98</v>
      </c>
      <c r="DH2" s="413"/>
      <c r="DI2" s="413"/>
      <c r="DJ2" s="413"/>
      <c r="DK2" s="413"/>
      <c r="DL2" s="413"/>
      <c r="DM2" s="413"/>
      <c r="DN2" s="414"/>
      <c r="DP2" s="38"/>
      <c r="DQ2" s="46"/>
    </row>
    <row r="3" spans="1:121" s="37" customFormat="1" ht="28.5" customHeight="1" thickBot="1">
      <c r="A3" s="49"/>
      <c r="B3" s="142"/>
      <c r="C3" s="143"/>
      <c r="D3" s="143"/>
      <c r="E3" s="143"/>
      <c r="F3" s="143"/>
      <c r="G3" s="143"/>
      <c r="H3" s="356" t="s">
        <v>59</v>
      </c>
      <c r="I3" s="357"/>
      <c r="J3" s="357"/>
      <c r="K3" s="357"/>
      <c r="L3" s="357"/>
      <c r="M3" s="358"/>
      <c r="N3" s="367" t="s">
        <v>53</v>
      </c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9"/>
      <c r="AE3" s="144"/>
      <c r="AF3" s="144"/>
      <c r="AG3" s="365" t="s">
        <v>52</v>
      </c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6"/>
      <c r="AU3" s="367" t="s">
        <v>50</v>
      </c>
      <c r="AV3" s="368"/>
      <c r="AW3" s="368"/>
      <c r="AX3" s="368"/>
      <c r="AY3" s="368"/>
      <c r="AZ3" s="368"/>
      <c r="BA3" s="368"/>
      <c r="BB3" s="368"/>
      <c r="BC3" s="368"/>
      <c r="BD3" s="368"/>
      <c r="BE3" s="369"/>
      <c r="BF3" s="365" t="s">
        <v>51</v>
      </c>
      <c r="BG3" s="365"/>
      <c r="BH3" s="365"/>
      <c r="BI3" s="365"/>
      <c r="BJ3" s="365"/>
      <c r="BK3" s="365"/>
      <c r="BL3" s="366"/>
      <c r="BM3" s="383" t="s">
        <v>65</v>
      </c>
      <c r="BN3" s="384"/>
      <c r="BO3" s="389" t="s">
        <v>66</v>
      </c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1"/>
      <c r="CF3" s="439" t="s">
        <v>70</v>
      </c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1"/>
      <c r="CR3" s="411" t="s">
        <v>71</v>
      </c>
      <c r="CS3" s="365"/>
      <c r="CT3" s="365"/>
      <c r="CU3" s="365"/>
      <c r="CV3" s="365"/>
      <c r="CW3" s="365"/>
      <c r="CX3" s="366"/>
      <c r="CY3" s="389" t="s">
        <v>72</v>
      </c>
      <c r="CZ3" s="390"/>
      <c r="DA3" s="390"/>
      <c r="DB3" s="390"/>
      <c r="DC3" s="390"/>
      <c r="DD3" s="391"/>
      <c r="DE3" s="398" t="s">
        <v>75</v>
      </c>
      <c r="DF3" s="399"/>
      <c r="DG3" s="566" t="s">
        <v>76</v>
      </c>
      <c r="DH3" s="567"/>
      <c r="DI3" s="566" t="s">
        <v>77</v>
      </c>
      <c r="DJ3" s="567"/>
      <c r="DK3" s="563" t="s">
        <v>6</v>
      </c>
      <c r="DL3" s="563" t="s">
        <v>7</v>
      </c>
      <c r="DM3" s="560" t="s">
        <v>78</v>
      </c>
      <c r="DN3" s="198"/>
      <c r="DP3" s="38"/>
      <c r="DQ3" s="46"/>
    </row>
    <row r="4" spans="1:121" s="37" customFormat="1" ht="59.25" customHeight="1" thickBot="1">
      <c r="A4" s="49"/>
      <c r="B4" s="151"/>
      <c r="C4" s="152"/>
      <c r="D4" s="152"/>
      <c r="E4" s="152"/>
      <c r="F4" s="152"/>
      <c r="G4" s="153"/>
      <c r="H4" s="370" t="s">
        <v>4</v>
      </c>
      <c r="I4" s="371"/>
      <c r="J4" s="370" t="s">
        <v>5</v>
      </c>
      <c r="K4" s="371"/>
      <c r="L4" s="154" t="s">
        <v>79</v>
      </c>
      <c r="M4" s="155" t="s">
        <v>80</v>
      </c>
      <c r="N4" s="359" t="s">
        <v>54</v>
      </c>
      <c r="O4" s="360"/>
      <c r="P4" s="360"/>
      <c r="Q4" s="360"/>
      <c r="R4" s="361"/>
      <c r="S4" s="362" t="s">
        <v>55</v>
      </c>
      <c r="T4" s="363"/>
      <c r="U4" s="363"/>
      <c r="V4" s="363"/>
      <c r="W4" s="364"/>
      <c r="X4" s="359" t="s">
        <v>56</v>
      </c>
      <c r="Y4" s="360"/>
      <c r="Z4" s="360"/>
      <c r="AA4" s="360"/>
      <c r="AB4" s="361"/>
      <c r="AC4" s="377" t="s">
        <v>9</v>
      </c>
      <c r="AD4" s="378"/>
      <c r="AE4" s="362" t="s">
        <v>60</v>
      </c>
      <c r="AF4" s="363"/>
      <c r="AG4" s="363"/>
      <c r="AH4" s="364"/>
      <c r="AI4" s="359" t="s">
        <v>99</v>
      </c>
      <c r="AJ4" s="360"/>
      <c r="AK4" s="360"/>
      <c r="AL4" s="360"/>
      <c r="AM4" s="361"/>
      <c r="AN4" s="362" t="s">
        <v>61</v>
      </c>
      <c r="AO4" s="363"/>
      <c r="AP4" s="363"/>
      <c r="AQ4" s="363"/>
      <c r="AR4" s="364"/>
      <c r="AS4" s="377" t="s">
        <v>9</v>
      </c>
      <c r="AT4" s="378"/>
      <c r="AU4" s="362" t="s">
        <v>63</v>
      </c>
      <c r="AV4" s="363"/>
      <c r="AW4" s="363"/>
      <c r="AX4" s="363"/>
      <c r="AY4" s="364"/>
      <c r="AZ4" s="359" t="s">
        <v>62</v>
      </c>
      <c r="BA4" s="360"/>
      <c r="BB4" s="360"/>
      <c r="BC4" s="361"/>
      <c r="BD4" s="372" t="s">
        <v>9</v>
      </c>
      <c r="BE4" s="373"/>
      <c r="BF4" s="359" t="s">
        <v>64</v>
      </c>
      <c r="BG4" s="360"/>
      <c r="BH4" s="360"/>
      <c r="BI4" s="360"/>
      <c r="BJ4" s="361"/>
      <c r="BK4" s="379" t="s">
        <v>9</v>
      </c>
      <c r="BL4" s="380"/>
      <c r="BM4" s="385"/>
      <c r="BN4" s="386"/>
      <c r="BO4" s="392" t="s">
        <v>67</v>
      </c>
      <c r="BP4" s="393"/>
      <c r="BQ4" s="393"/>
      <c r="BR4" s="393"/>
      <c r="BS4" s="393"/>
      <c r="BT4" s="382" t="s">
        <v>68</v>
      </c>
      <c r="BU4" s="382"/>
      <c r="BV4" s="382"/>
      <c r="BW4" s="382"/>
      <c r="BX4" s="382"/>
      <c r="BY4" s="393" t="s">
        <v>103</v>
      </c>
      <c r="BZ4" s="393"/>
      <c r="CA4" s="393"/>
      <c r="CB4" s="393"/>
      <c r="CC4" s="393"/>
      <c r="CD4" s="381" t="s">
        <v>9</v>
      </c>
      <c r="CE4" s="382"/>
      <c r="CF4" s="393" t="s">
        <v>104</v>
      </c>
      <c r="CG4" s="393"/>
      <c r="CH4" s="393"/>
      <c r="CI4" s="393"/>
      <c r="CJ4" s="393"/>
      <c r="CK4" s="359" t="s">
        <v>69</v>
      </c>
      <c r="CL4" s="360"/>
      <c r="CM4" s="360"/>
      <c r="CN4" s="360"/>
      <c r="CO4" s="361"/>
      <c r="CP4" s="402" t="s">
        <v>9</v>
      </c>
      <c r="CQ4" s="403"/>
      <c r="CR4" s="362" t="s">
        <v>74</v>
      </c>
      <c r="CS4" s="363"/>
      <c r="CT4" s="363"/>
      <c r="CU4" s="363"/>
      <c r="CV4" s="363"/>
      <c r="CW4" s="396" t="s">
        <v>9</v>
      </c>
      <c r="CX4" s="397"/>
      <c r="CY4" s="359" t="s">
        <v>73</v>
      </c>
      <c r="CZ4" s="360"/>
      <c r="DA4" s="360"/>
      <c r="DB4" s="361"/>
      <c r="DC4" s="396" t="s">
        <v>9</v>
      </c>
      <c r="DD4" s="397"/>
      <c r="DE4" s="400"/>
      <c r="DF4" s="401"/>
      <c r="DG4" s="568"/>
      <c r="DH4" s="569"/>
      <c r="DI4" s="568"/>
      <c r="DJ4" s="569"/>
      <c r="DK4" s="564"/>
      <c r="DL4" s="564"/>
      <c r="DM4" s="561"/>
      <c r="DN4" s="156"/>
      <c r="DP4" s="38"/>
      <c r="DQ4" s="46"/>
    </row>
    <row r="5" spans="1:121" s="37" customFormat="1" ht="40.5" customHeight="1" thickTop="1" thickBot="1">
      <c r="A5" s="49"/>
      <c r="B5" s="157" t="s">
        <v>0</v>
      </c>
      <c r="C5" s="158" t="s">
        <v>81</v>
      </c>
      <c r="D5" s="158" t="s">
        <v>82</v>
      </c>
      <c r="E5" s="159" t="s">
        <v>1</v>
      </c>
      <c r="F5" s="160" t="s">
        <v>2</v>
      </c>
      <c r="G5" s="161" t="s">
        <v>3</v>
      </c>
      <c r="H5" s="162" t="s">
        <v>10</v>
      </c>
      <c r="I5" s="163" t="s">
        <v>11</v>
      </c>
      <c r="J5" s="164" t="s">
        <v>10</v>
      </c>
      <c r="K5" s="163" t="s">
        <v>11</v>
      </c>
      <c r="L5" s="165" t="s">
        <v>49</v>
      </c>
      <c r="M5" s="166" t="s">
        <v>49</v>
      </c>
      <c r="N5" s="167" t="s">
        <v>57</v>
      </c>
      <c r="O5" s="168" t="s">
        <v>58</v>
      </c>
      <c r="P5" s="199" t="s">
        <v>105</v>
      </c>
      <c r="Q5" s="168" t="s">
        <v>10</v>
      </c>
      <c r="R5" s="169" t="s">
        <v>11</v>
      </c>
      <c r="S5" s="167" t="s">
        <v>57</v>
      </c>
      <c r="T5" s="168" t="s">
        <v>58</v>
      </c>
      <c r="U5" s="199" t="s">
        <v>105</v>
      </c>
      <c r="V5" s="168" t="s">
        <v>10</v>
      </c>
      <c r="W5" s="169" t="s">
        <v>11</v>
      </c>
      <c r="X5" s="167" t="s">
        <v>57</v>
      </c>
      <c r="Y5" s="168" t="s">
        <v>58</v>
      </c>
      <c r="Z5" s="199" t="s">
        <v>105</v>
      </c>
      <c r="AA5" s="168" t="s">
        <v>10</v>
      </c>
      <c r="AB5" s="169" t="s">
        <v>11</v>
      </c>
      <c r="AC5" s="170" t="s">
        <v>10</v>
      </c>
      <c r="AD5" s="171" t="s">
        <v>11</v>
      </c>
      <c r="AE5" s="168" t="s">
        <v>58</v>
      </c>
      <c r="AF5" s="199" t="s">
        <v>105</v>
      </c>
      <c r="AG5" s="172" t="s">
        <v>10</v>
      </c>
      <c r="AH5" s="169" t="s">
        <v>11</v>
      </c>
      <c r="AI5" s="167" t="s">
        <v>57</v>
      </c>
      <c r="AJ5" s="168" t="s">
        <v>58</v>
      </c>
      <c r="AK5" s="199" t="s">
        <v>105</v>
      </c>
      <c r="AL5" s="173" t="s">
        <v>10</v>
      </c>
      <c r="AM5" s="174" t="s">
        <v>11</v>
      </c>
      <c r="AN5" s="167" t="s">
        <v>57</v>
      </c>
      <c r="AO5" s="168" t="s">
        <v>58</v>
      </c>
      <c r="AP5" s="199" t="s">
        <v>105</v>
      </c>
      <c r="AQ5" s="175" t="s">
        <v>10</v>
      </c>
      <c r="AR5" s="176" t="s">
        <v>11</v>
      </c>
      <c r="AS5" s="177" t="s">
        <v>10</v>
      </c>
      <c r="AT5" s="178" t="s">
        <v>11</v>
      </c>
      <c r="AU5" s="167" t="s">
        <v>57</v>
      </c>
      <c r="AV5" s="168" t="s">
        <v>58</v>
      </c>
      <c r="AW5" s="199" t="s">
        <v>105</v>
      </c>
      <c r="AX5" s="179" t="s">
        <v>10</v>
      </c>
      <c r="AY5" s="174" t="s">
        <v>11</v>
      </c>
      <c r="AZ5" s="172" t="s">
        <v>58</v>
      </c>
      <c r="BA5" s="199" t="s">
        <v>105</v>
      </c>
      <c r="BB5" s="175" t="s">
        <v>10</v>
      </c>
      <c r="BC5" s="176" t="s">
        <v>11</v>
      </c>
      <c r="BD5" s="180" t="s">
        <v>10</v>
      </c>
      <c r="BE5" s="181" t="s">
        <v>11</v>
      </c>
      <c r="BF5" s="167" t="s">
        <v>57</v>
      </c>
      <c r="BG5" s="168" t="s">
        <v>58</v>
      </c>
      <c r="BH5" s="199" t="s">
        <v>105</v>
      </c>
      <c r="BI5" s="175" t="s">
        <v>10</v>
      </c>
      <c r="BJ5" s="176" t="s">
        <v>11</v>
      </c>
      <c r="BK5" s="180" t="s">
        <v>10</v>
      </c>
      <c r="BL5" s="182" t="s">
        <v>11</v>
      </c>
      <c r="BM5" s="183" t="s">
        <v>10</v>
      </c>
      <c r="BN5" s="184" t="s">
        <v>11</v>
      </c>
      <c r="BO5" s="185" t="s">
        <v>57</v>
      </c>
      <c r="BP5" s="168" t="s">
        <v>58</v>
      </c>
      <c r="BQ5" s="199" t="s">
        <v>105</v>
      </c>
      <c r="BR5" s="168" t="s">
        <v>10</v>
      </c>
      <c r="BS5" s="169" t="s">
        <v>11</v>
      </c>
      <c r="BT5" s="167" t="s">
        <v>57</v>
      </c>
      <c r="BU5" s="168" t="s">
        <v>58</v>
      </c>
      <c r="BV5" s="199" t="s">
        <v>105</v>
      </c>
      <c r="BW5" s="168" t="s">
        <v>10</v>
      </c>
      <c r="BX5" s="169" t="s">
        <v>11</v>
      </c>
      <c r="BY5" s="167" t="s">
        <v>57</v>
      </c>
      <c r="BZ5" s="168" t="s">
        <v>58</v>
      </c>
      <c r="CA5" s="199" t="s">
        <v>105</v>
      </c>
      <c r="CB5" s="168" t="s">
        <v>10</v>
      </c>
      <c r="CC5" s="169" t="s">
        <v>11</v>
      </c>
      <c r="CD5" s="186" t="s">
        <v>10</v>
      </c>
      <c r="CE5" s="171" t="s">
        <v>11</v>
      </c>
      <c r="CF5" s="167" t="s">
        <v>57</v>
      </c>
      <c r="CG5" s="168" t="s">
        <v>58</v>
      </c>
      <c r="CH5" s="199" t="s">
        <v>105</v>
      </c>
      <c r="CI5" s="168" t="s">
        <v>10</v>
      </c>
      <c r="CJ5" s="169" t="s">
        <v>11</v>
      </c>
      <c r="CK5" s="167" t="s">
        <v>57</v>
      </c>
      <c r="CL5" s="168" t="s">
        <v>58</v>
      </c>
      <c r="CM5" s="199" t="s">
        <v>105</v>
      </c>
      <c r="CN5" s="173" t="s">
        <v>10</v>
      </c>
      <c r="CO5" s="176" t="s">
        <v>11</v>
      </c>
      <c r="CP5" s="187" t="s">
        <v>10</v>
      </c>
      <c r="CQ5" s="188" t="s">
        <v>11</v>
      </c>
      <c r="CR5" s="167" t="s">
        <v>57</v>
      </c>
      <c r="CS5" s="168" t="s">
        <v>58</v>
      </c>
      <c r="CT5" s="199" t="s">
        <v>105</v>
      </c>
      <c r="CU5" s="179" t="s">
        <v>10</v>
      </c>
      <c r="CV5" s="176" t="s">
        <v>11</v>
      </c>
      <c r="CW5" s="189" t="s">
        <v>10</v>
      </c>
      <c r="CX5" s="190" t="s">
        <v>11</v>
      </c>
      <c r="CY5" s="191" t="s">
        <v>58</v>
      </c>
      <c r="CZ5" s="199" t="s">
        <v>105</v>
      </c>
      <c r="DA5" s="179" t="s">
        <v>10</v>
      </c>
      <c r="DB5" s="176" t="s">
        <v>11</v>
      </c>
      <c r="DC5" s="177" t="s">
        <v>10</v>
      </c>
      <c r="DD5" s="178" t="s">
        <v>11</v>
      </c>
      <c r="DE5" s="192" t="s">
        <v>10</v>
      </c>
      <c r="DF5" s="193" t="s">
        <v>11</v>
      </c>
      <c r="DG5" s="194" t="s">
        <v>10</v>
      </c>
      <c r="DH5" s="195" t="s">
        <v>11</v>
      </c>
      <c r="DI5" s="196" t="s">
        <v>10</v>
      </c>
      <c r="DJ5" s="194" t="s">
        <v>11</v>
      </c>
      <c r="DK5" s="565"/>
      <c r="DL5" s="565"/>
      <c r="DM5" s="562"/>
      <c r="DN5" s="197" t="s">
        <v>8</v>
      </c>
      <c r="DP5" s="38"/>
      <c r="DQ5" s="46"/>
    </row>
    <row r="6" spans="1:121" s="37" customFormat="1" ht="32.25" customHeight="1" thickBot="1">
      <c r="A6" s="49"/>
      <c r="B6" s="1">
        <v>1</v>
      </c>
      <c r="C6" s="249" t="s">
        <v>111</v>
      </c>
      <c r="D6" s="249" t="s">
        <v>112</v>
      </c>
      <c r="E6" s="48" t="s">
        <v>337</v>
      </c>
      <c r="F6" s="275">
        <v>35251</v>
      </c>
      <c r="G6" s="52" t="s">
        <v>385</v>
      </c>
      <c r="H6" s="131">
        <v>10.08</v>
      </c>
      <c r="I6" s="132">
        <v>30</v>
      </c>
      <c r="J6" s="133">
        <v>9.92</v>
      </c>
      <c r="K6" s="134">
        <v>30</v>
      </c>
      <c r="L6" s="53">
        <f>(H6+J6)/2</f>
        <v>10</v>
      </c>
      <c r="M6" s="58">
        <f>IF(L6&gt;=10,60,I6+K6)</f>
        <v>60</v>
      </c>
      <c r="N6" s="138">
        <v>15</v>
      </c>
      <c r="O6" s="139">
        <v>9</v>
      </c>
      <c r="P6" s="140"/>
      <c r="Q6" s="228">
        <f>IF(O6&gt;P6,(N6+O6)/2,(P6+N6)/2)</f>
        <v>12</v>
      </c>
      <c r="R6" s="229">
        <f>IF(Q6&gt;=10,5,0)</f>
        <v>5</v>
      </c>
      <c r="S6" s="230">
        <v>14</v>
      </c>
      <c r="T6" s="231">
        <v>7</v>
      </c>
      <c r="U6" s="285"/>
      <c r="V6" s="228">
        <f>IF(T6&gt;U6,(S6+T6)/2,(U6+S6)/2)</f>
        <v>10.5</v>
      </c>
      <c r="W6" s="229">
        <f>IF(V6&gt;=10,6,0)</f>
        <v>6</v>
      </c>
      <c r="X6" s="230">
        <v>11.5</v>
      </c>
      <c r="Y6" s="231">
        <v>6.5</v>
      </c>
      <c r="Z6" s="285"/>
      <c r="AA6" s="228">
        <f>IF(Y6&gt;Z6,(X6+Y6)/2,(Z6+X6)/2)</f>
        <v>9</v>
      </c>
      <c r="AB6" s="229">
        <f>IF(AA6&gt;=10,6,0)</f>
        <v>0</v>
      </c>
      <c r="AC6" s="232">
        <f>((Q6*2)+(V6*2)+(AA6*2))/6</f>
        <v>10.5</v>
      </c>
      <c r="AD6" s="233">
        <f>IF(AC6&gt;=10,17,R6+W6+AB6)</f>
        <v>17</v>
      </c>
      <c r="AE6" s="231">
        <v>8.5</v>
      </c>
      <c r="AF6" s="285"/>
      <c r="AG6" s="234">
        <f>IF(AE6&gt;AF6,AE6,AF6)</f>
        <v>8.5</v>
      </c>
      <c r="AH6" s="235">
        <f>IF(AG6&gt;=10,1,0)</f>
        <v>0</v>
      </c>
      <c r="AI6" s="230">
        <v>11</v>
      </c>
      <c r="AJ6" s="231">
        <v>8.25</v>
      </c>
      <c r="AK6" s="285">
        <v>11</v>
      </c>
      <c r="AL6" s="228">
        <f>IF(AJ6&gt;AK6,(AI6+AJ6)/2,(AK6+AI6)/2)</f>
        <v>11</v>
      </c>
      <c r="AM6" s="229">
        <f>IF(AL6&gt;=10,3,0)</f>
        <v>3</v>
      </c>
      <c r="AN6" s="230">
        <v>9.25</v>
      </c>
      <c r="AO6" s="231">
        <v>4.5</v>
      </c>
      <c r="AP6" s="285">
        <v>5.25</v>
      </c>
      <c r="AQ6" s="228">
        <f>IF(AO6&gt;AP6,(AN6+AO6)/2,(AP6+AN6)/2)</f>
        <v>7.25</v>
      </c>
      <c r="AR6" s="229">
        <f>IF(AQ6&gt;=10,3,0)</f>
        <v>0</v>
      </c>
      <c r="AS6" s="236">
        <f>(AG6+(AL6*2)+(AQ6*2))/5</f>
        <v>9</v>
      </c>
      <c r="AT6" s="237">
        <f>IF(AS6&gt;=10,7,AR6+AM6+AH6)</f>
        <v>3</v>
      </c>
      <c r="AU6" s="230">
        <v>5</v>
      </c>
      <c r="AV6" s="231">
        <v>8</v>
      </c>
      <c r="AW6" s="285"/>
      <c r="AX6" s="228">
        <f>IF(AV6&gt;AW6,(AU6+AV6)/2,(AW6+AU6)/2)</f>
        <v>6.5</v>
      </c>
      <c r="AY6" s="229">
        <f>IF(AX6&gt;=10,4,0)</f>
        <v>0</v>
      </c>
      <c r="AZ6" s="231">
        <v>5</v>
      </c>
      <c r="BA6" s="285">
        <v>6</v>
      </c>
      <c r="BB6" s="234">
        <f>IF(AZ6&gt;BA6,AZ6,BA6)</f>
        <v>6</v>
      </c>
      <c r="BC6" s="235">
        <f>IF(BB6&gt;=10,1,0)</f>
        <v>0</v>
      </c>
      <c r="BD6" s="236">
        <f>(BB6+AX6)/2</f>
        <v>6.25</v>
      </c>
      <c r="BE6" s="237">
        <f>IF(BD6&gt;=10,5,BC6+AY6)</f>
        <v>0</v>
      </c>
      <c r="BF6" s="230">
        <v>8.5</v>
      </c>
      <c r="BG6" s="231">
        <v>5</v>
      </c>
      <c r="BH6" s="285">
        <v>9</v>
      </c>
      <c r="BI6" s="228">
        <f>IF(BG6&gt;BH6,(BF6+BG6)/2,(BH6+BF6)/2)</f>
        <v>8.75</v>
      </c>
      <c r="BJ6" s="229">
        <f>IF(BI6&gt;=10,1,0)</f>
        <v>0</v>
      </c>
      <c r="BK6" s="236">
        <f>BI6</f>
        <v>8.75</v>
      </c>
      <c r="BL6" s="237">
        <f>BJ6</f>
        <v>0</v>
      </c>
      <c r="BM6" s="239">
        <f>((Q6*2)+(V6*2)+(AA6*2)+AG6+(AL6*2)+(AQ6*2)+AX6+BB6+BI6)/14</f>
        <v>9.2321428571428577</v>
      </c>
      <c r="BN6" s="240">
        <f>IF(BM6&gt;=10,30,BL6+BE6+AT6+AD6)</f>
        <v>20</v>
      </c>
      <c r="BO6" s="262">
        <v>14.5</v>
      </c>
      <c r="BP6" s="263">
        <v>7</v>
      </c>
      <c r="BQ6" s="140"/>
      <c r="BR6" s="228">
        <f>IF(BP6&gt;BQ6,(BO6+BP6)/2,(BQ6+BO6)/2)</f>
        <v>10.75</v>
      </c>
      <c r="BS6" s="229">
        <f>IF(BR6&gt;=10,6,0)</f>
        <v>6</v>
      </c>
      <c r="BT6" s="230">
        <v>14.5</v>
      </c>
      <c r="BU6" s="231">
        <v>12.5</v>
      </c>
      <c r="BV6" s="285"/>
      <c r="BW6" s="228">
        <f>IF(BU6&gt;BV6,(BT6+BU6)/2,(BV6+BT6)/2)</f>
        <v>13.5</v>
      </c>
      <c r="BX6" s="229">
        <f>IF(BW6&gt;=10,6,0)</f>
        <v>6</v>
      </c>
      <c r="BY6" s="230">
        <v>11</v>
      </c>
      <c r="BZ6" s="231">
        <v>3</v>
      </c>
      <c r="CA6" s="285"/>
      <c r="CB6" s="228">
        <f>IF(BZ6&gt;CA6,(BY6+BZ6)/2,(CA6+BY6)/2)</f>
        <v>7</v>
      </c>
      <c r="CC6" s="229">
        <f>IF(CB6&gt;=10,4,0)</f>
        <v>0</v>
      </c>
      <c r="CD6" s="297">
        <f>(CB6+(BW6*2)+(BR6*2))/5</f>
        <v>11.1</v>
      </c>
      <c r="CE6" s="233">
        <f>IF(CD6&gt;=10,16,CC6+BX6+BS6)</f>
        <v>16</v>
      </c>
      <c r="CF6" s="230">
        <v>13</v>
      </c>
      <c r="CG6" s="231">
        <v>11</v>
      </c>
      <c r="CH6" s="285"/>
      <c r="CI6" s="228">
        <f>IF(CG6&gt;CH6,(CF6+CG6)/2,(CH6+CF6)/2)</f>
        <v>12</v>
      </c>
      <c r="CJ6" s="229">
        <f>IF(CI6&gt;=10,5,0)</f>
        <v>5</v>
      </c>
      <c r="CK6" s="230">
        <v>12</v>
      </c>
      <c r="CL6" s="231">
        <v>6.5</v>
      </c>
      <c r="CM6" s="285"/>
      <c r="CN6" s="228">
        <f>IF(CL6&gt;CM6,(CK6+CL6)/2,(CM6+CK6)/2)</f>
        <v>9.25</v>
      </c>
      <c r="CO6" s="229">
        <f>IF(CN6&gt;=10,5,0)</f>
        <v>0</v>
      </c>
      <c r="CP6" s="232">
        <f>((CN6*2)+(CI6*2))/4</f>
        <v>10.625</v>
      </c>
      <c r="CQ6" s="233">
        <f>IF(CP6&gt;=10,10,CO6+CJ6)</f>
        <v>10</v>
      </c>
      <c r="CR6" s="230">
        <v>14.5</v>
      </c>
      <c r="CS6" s="231">
        <v>7</v>
      </c>
      <c r="CT6" s="285"/>
      <c r="CU6" s="228">
        <f>IF(CS6&gt;CT6,(CR6+CS6)/2,(CT6+CR6)/2)</f>
        <v>10.75</v>
      </c>
      <c r="CV6" s="229">
        <f>IF(CU6&gt;=10,3,0)</f>
        <v>3</v>
      </c>
      <c r="CW6" s="232">
        <f>CU6</f>
        <v>10.75</v>
      </c>
      <c r="CX6" s="233">
        <f>CV6</f>
        <v>3</v>
      </c>
      <c r="CY6" s="231">
        <v>10</v>
      </c>
      <c r="CZ6" s="285"/>
      <c r="DA6" s="234">
        <f>IF(CY6&gt;CZ6,CY6,CZ6)</f>
        <v>10</v>
      </c>
      <c r="DB6" s="235">
        <f>IF(DA6&gt;=10,1,0)</f>
        <v>1</v>
      </c>
      <c r="DC6" s="232">
        <f>DA6</f>
        <v>10</v>
      </c>
      <c r="DD6" s="233">
        <f>DB6</f>
        <v>1</v>
      </c>
      <c r="DE6" s="65">
        <f>((CU6*2)+(CI6*2)+(CN6*2)+DA6+CB6+(BW6*2)+(BR6*2))/12</f>
        <v>10.791666666666666</v>
      </c>
      <c r="DF6" s="66">
        <f>IF(DE6&gt;=10,30,CX6+DD6+CQ6+CE6)</f>
        <v>30</v>
      </c>
      <c r="DG6" s="31">
        <f t="shared" ref="DG6:DG46" si="0">BM6</f>
        <v>9.2321428571428577</v>
      </c>
      <c r="DH6" s="32">
        <f t="shared" ref="DH6:DH46" si="1">IF(DK6&gt;=10,30,BN6)</f>
        <v>30</v>
      </c>
      <c r="DI6" s="33">
        <f t="shared" ref="DI6:DI46" si="2">DE6</f>
        <v>10.791666666666666</v>
      </c>
      <c r="DJ6" s="34">
        <f t="shared" ref="DJ6:DJ46" si="3">IF(DK6&gt;=10,30,DF6)</f>
        <v>30</v>
      </c>
      <c r="DK6" s="67">
        <f t="shared" ref="DK6:DK46" si="4">(DI6+DG6)/2</f>
        <v>10.011904761904763</v>
      </c>
      <c r="DL6" s="35">
        <f t="shared" ref="DL6:DL46" si="5">IF(DK6&gt;=10,60,DJ6+DH6)</f>
        <v>60</v>
      </c>
      <c r="DM6" s="59">
        <f t="shared" ref="DM6:DM46" si="6">(M6+DL6)</f>
        <v>120</v>
      </c>
      <c r="DN6" s="43" t="str">
        <f>IF(DM6=120,"ناجح(ة) دورة2",IF(DM6&gt;=90,"ناجح(ة)بتأخير","راسب(ة)"))</f>
        <v>ناجح(ة) دورة2</v>
      </c>
      <c r="DO6" s="44"/>
      <c r="DP6" s="50"/>
      <c r="DQ6" s="46"/>
    </row>
    <row r="7" spans="1:121" s="37" customFormat="1" ht="32.25" customHeight="1" thickBot="1">
      <c r="A7" s="49"/>
      <c r="B7" s="1">
        <f>B6+1</f>
        <v>2</v>
      </c>
      <c r="C7" s="249" t="s">
        <v>502</v>
      </c>
      <c r="D7" s="249" t="s">
        <v>113</v>
      </c>
      <c r="E7" s="47" t="s">
        <v>338</v>
      </c>
      <c r="F7" s="135">
        <v>35126</v>
      </c>
      <c r="G7" s="136" t="s">
        <v>110</v>
      </c>
      <c r="H7" s="131">
        <v>10.95</v>
      </c>
      <c r="I7" s="132">
        <v>30</v>
      </c>
      <c r="J7" s="133">
        <v>9.5500000000000007</v>
      </c>
      <c r="K7" s="134">
        <v>17</v>
      </c>
      <c r="L7" s="53">
        <f t="shared" ref="L7:L42" si="7">(H7+J7)/2</f>
        <v>10.25</v>
      </c>
      <c r="M7" s="58">
        <f t="shared" ref="M7:M42" si="8">IF(L7&gt;=10,60,I7+K7)</f>
        <v>60</v>
      </c>
      <c r="N7" s="222">
        <v>13</v>
      </c>
      <c r="O7" s="223">
        <v>9</v>
      </c>
      <c r="P7" s="140"/>
      <c r="Q7" s="228">
        <f t="shared" ref="Q7:Q46" si="9">IF(O7&gt;P7,(N7+O7)/2,(P7+N7)/2)</f>
        <v>11</v>
      </c>
      <c r="R7" s="229">
        <f t="shared" ref="R7:R46" si="10">IF(Q7&gt;=10,5,0)</f>
        <v>5</v>
      </c>
      <c r="S7" s="241">
        <v>14</v>
      </c>
      <c r="T7" s="242">
        <v>8</v>
      </c>
      <c r="U7" s="285"/>
      <c r="V7" s="228">
        <f t="shared" ref="V7:V46" si="11">IF(T7&gt;U7,(S7+T7)/2,(U7+S7)/2)</f>
        <v>11</v>
      </c>
      <c r="W7" s="229">
        <f t="shared" ref="W7:W46" si="12">IF(V7&gt;=10,6,0)</f>
        <v>6</v>
      </c>
      <c r="X7" s="241">
        <v>11</v>
      </c>
      <c r="Y7" s="242">
        <v>2.5</v>
      </c>
      <c r="Z7" s="285">
        <v>6.75</v>
      </c>
      <c r="AA7" s="228">
        <f t="shared" ref="AA7:AA46" si="13">IF(Y7&gt;Z7,(X7+Y7)/2,(Z7+X7)/2)</f>
        <v>8.875</v>
      </c>
      <c r="AB7" s="229">
        <f t="shared" ref="AB7:AB46" si="14">IF(AA7&gt;=10,6,0)</f>
        <v>0</v>
      </c>
      <c r="AC7" s="232">
        <f t="shared" ref="AC7:AC46" si="15">((Q7*2)+(V7*2)+(AA7*2))/6</f>
        <v>10.291666666666666</v>
      </c>
      <c r="AD7" s="233">
        <f t="shared" ref="AD7:AD46" si="16">IF(AC7&gt;=10,17,R7+W7+AB7)</f>
        <v>17</v>
      </c>
      <c r="AE7" s="242">
        <v>8.5</v>
      </c>
      <c r="AF7" s="285">
        <v>10</v>
      </c>
      <c r="AG7" s="234">
        <f t="shared" ref="AG7:AG46" si="17">IF(AE7&gt;AF7,AE7,AF7)</f>
        <v>10</v>
      </c>
      <c r="AH7" s="235">
        <f t="shared" ref="AH7:AH46" si="18">IF(AG7&gt;=10,1,0)</f>
        <v>1</v>
      </c>
      <c r="AI7" s="241">
        <v>8.5</v>
      </c>
      <c r="AJ7" s="242">
        <v>1.75</v>
      </c>
      <c r="AK7" s="285">
        <v>9</v>
      </c>
      <c r="AL7" s="228">
        <f t="shared" ref="AL7:AL46" si="19">IF(AJ7&gt;AK7,(AI7+AJ7)/2,(AK7+AI7)/2)</f>
        <v>8.75</v>
      </c>
      <c r="AM7" s="229">
        <f t="shared" ref="AM7:AM46" si="20">IF(AL7&gt;=10,3,0)</f>
        <v>0</v>
      </c>
      <c r="AN7" s="241">
        <v>9</v>
      </c>
      <c r="AO7" s="242">
        <v>0</v>
      </c>
      <c r="AP7" s="285">
        <v>7.75</v>
      </c>
      <c r="AQ7" s="228">
        <f t="shared" ref="AQ7:AQ46" si="21">IF(AO7&gt;AP7,(AN7+AO7)/2,(AP7+AN7)/2)</f>
        <v>8.375</v>
      </c>
      <c r="AR7" s="229">
        <f t="shared" ref="AR7:AR46" si="22">IF(AQ7&gt;=10,3,0)</f>
        <v>0</v>
      </c>
      <c r="AS7" s="236">
        <f t="shared" ref="AS7:AS46" si="23">(AG7+(AL7*2)+(AQ7*2))/5</f>
        <v>8.85</v>
      </c>
      <c r="AT7" s="237">
        <f t="shared" ref="AT7:AT46" si="24">IF(AS7&gt;=10,7,AR7+AM7+AH7)</f>
        <v>1</v>
      </c>
      <c r="AU7" s="241">
        <v>4</v>
      </c>
      <c r="AV7" s="242"/>
      <c r="AW7" s="285">
        <v>7.75</v>
      </c>
      <c r="AX7" s="228">
        <f t="shared" ref="AX7:AX46" si="25">IF(AV7&gt;AW7,(AU7+AV7)/2,(AW7+AU7)/2)</f>
        <v>5.875</v>
      </c>
      <c r="AY7" s="229">
        <f t="shared" ref="AY7:AY46" si="26">IF(AX7&gt;=10,4,0)</f>
        <v>0</v>
      </c>
      <c r="AZ7" s="242">
        <v>11.5</v>
      </c>
      <c r="BA7" s="285"/>
      <c r="BB7" s="234">
        <f t="shared" ref="BB7:BB46" si="27">IF(AZ7&gt;BA7,AZ7,BA7)</f>
        <v>11.5</v>
      </c>
      <c r="BC7" s="235">
        <f t="shared" ref="BC7:BC46" si="28">IF(BB7&gt;=10,1,0)</f>
        <v>1</v>
      </c>
      <c r="BD7" s="236">
        <f t="shared" ref="BD7:BD46" si="29">(BB7+AX7)/2</f>
        <v>8.6875</v>
      </c>
      <c r="BE7" s="237">
        <f t="shared" ref="BE7:BE46" si="30">IF(BD7&gt;=10,5,BC7+AY7)</f>
        <v>1</v>
      </c>
      <c r="BF7" s="241">
        <v>12</v>
      </c>
      <c r="BG7" s="242">
        <v>15</v>
      </c>
      <c r="BH7" s="285"/>
      <c r="BI7" s="228">
        <f t="shared" ref="BI7:BI46" si="31">IF(BG7&gt;BH7,(BF7+BG7)/2,(BH7+BF7)/2)</f>
        <v>13.5</v>
      </c>
      <c r="BJ7" s="229">
        <f t="shared" ref="BJ7:BJ46" si="32">IF(BI7&gt;=10,1,0)</f>
        <v>1</v>
      </c>
      <c r="BK7" s="236">
        <f t="shared" ref="BK7:BL46" si="33">BI7</f>
        <v>13.5</v>
      </c>
      <c r="BL7" s="237">
        <f t="shared" si="33"/>
        <v>1</v>
      </c>
      <c r="BM7" s="239">
        <f t="shared" ref="BM7:BM46" si="34">((Q7*2)+(V7*2)+(AA7*2)+AG7+(AL7*2)+(AQ7*2)+AX7+BB7+BI7)/14</f>
        <v>9.7767857142857135</v>
      </c>
      <c r="BN7" s="240">
        <f t="shared" ref="BN7:BN46" si="35">IF(BM7&gt;=10,30,BL7+BE7+AT7+AD7)</f>
        <v>20</v>
      </c>
      <c r="BO7" s="271">
        <v>12</v>
      </c>
      <c r="BP7" s="272">
        <v>9</v>
      </c>
      <c r="BQ7" s="140"/>
      <c r="BR7" s="228">
        <f t="shared" ref="BR7:BR46" si="36">IF(BP7&gt;BQ7,(BO7+BP7)/2,(BQ7+BO7)/2)</f>
        <v>10.5</v>
      </c>
      <c r="BS7" s="229">
        <f t="shared" ref="BS7:BS46" si="37">IF(BR7&gt;=10,6,0)</f>
        <v>6</v>
      </c>
      <c r="BT7" s="241">
        <v>12.5</v>
      </c>
      <c r="BU7" s="242">
        <v>6</v>
      </c>
      <c r="BV7" s="285"/>
      <c r="BW7" s="228">
        <f t="shared" ref="BW7:BW46" si="38">IF(BU7&gt;BV7,(BT7+BU7)/2,(BV7+BT7)/2)</f>
        <v>9.25</v>
      </c>
      <c r="BX7" s="229">
        <f t="shared" ref="BX7:BX46" si="39">IF(BW7&gt;=10,6,0)</f>
        <v>0</v>
      </c>
      <c r="BY7" s="241">
        <v>11</v>
      </c>
      <c r="BZ7" s="242">
        <v>1.25</v>
      </c>
      <c r="CA7" s="285"/>
      <c r="CB7" s="228">
        <f t="shared" ref="CB7:CB46" si="40">IF(BZ7&gt;CA7,(BY7+BZ7)/2,(CA7+BY7)/2)</f>
        <v>6.125</v>
      </c>
      <c r="CC7" s="229">
        <f t="shared" ref="CC7:CC46" si="41">IF(CB7&gt;=10,4,0)</f>
        <v>0</v>
      </c>
      <c r="CD7" s="297">
        <f t="shared" ref="CD7:CD46" si="42">(CB7+(BW7*2)+(BR7*2))/5</f>
        <v>9.125</v>
      </c>
      <c r="CE7" s="233">
        <f t="shared" ref="CE7:CE46" si="43">IF(CD7&gt;=10,16,CC7+BX7+BS7)</f>
        <v>6</v>
      </c>
      <c r="CF7" s="241">
        <v>7</v>
      </c>
      <c r="CG7" s="242">
        <v>13</v>
      </c>
      <c r="CH7" s="285"/>
      <c r="CI7" s="228">
        <f t="shared" ref="CI7:CI46" si="44">IF(CG7&gt;CH7,(CF7+CG7)/2,(CH7+CF7)/2)</f>
        <v>10</v>
      </c>
      <c r="CJ7" s="229">
        <f t="shared" ref="CJ7:CJ46" si="45">IF(CI7&gt;=10,5,0)</f>
        <v>5</v>
      </c>
      <c r="CK7" s="230">
        <v>10</v>
      </c>
      <c r="CL7" s="231">
        <v>7</v>
      </c>
      <c r="CM7" s="285"/>
      <c r="CN7" s="228">
        <f t="shared" ref="CN7:CN46" si="46">IF(CL7&gt;CM7,(CK7+CL7)/2,(CM7+CK7)/2)</f>
        <v>8.5</v>
      </c>
      <c r="CO7" s="229">
        <f t="shared" ref="CO7:CO46" si="47">IF(CN7&gt;=10,5,0)</f>
        <v>0</v>
      </c>
      <c r="CP7" s="232">
        <f t="shared" ref="CP7:CP46" si="48">((CN7*2)+(CI7*2))/4</f>
        <v>9.25</v>
      </c>
      <c r="CQ7" s="233">
        <f t="shared" ref="CQ7:CQ46" si="49">IF(CP7&gt;=10,10,CO7+CJ7)</f>
        <v>5</v>
      </c>
      <c r="CR7" s="230">
        <v>17</v>
      </c>
      <c r="CS7" s="231">
        <v>13.25</v>
      </c>
      <c r="CT7" s="285"/>
      <c r="CU7" s="228">
        <f t="shared" ref="CU7:CU46" si="50">IF(CS7&gt;CT7,(CR7+CS7)/2,(CT7+CR7)/2)</f>
        <v>15.125</v>
      </c>
      <c r="CV7" s="229">
        <f t="shared" ref="CV7:CV46" si="51">IF(CU7&gt;=10,3,0)</f>
        <v>3</v>
      </c>
      <c r="CW7" s="232">
        <f t="shared" ref="CW7:CX46" si="52">CU7</f>
        <v>15.125</v>
      </c>
      <c r="CX7" s="233">
        <f t="shared" si="52"/>
        <v>3</v>
      </c>
      <c r="CY7" s="231">
        <v>10</v>
      </c>
      <c r="CZ7" s="285"/>
      <c r="DA7" s="234">
        <f t="shared" ref="DA7:DA46" si="53">IF(CY7&gt;CZ7,CY7,CZ7)</f>
        <v>10</v>
      </c>
      <c r="DB7" s="235">
        <f t="shared" ref="DB7:DB46" si="54">IF(DA7&gt;=10,1,0)</f>
        <v>1</v>
      </c>
      <c r="DC7" s="232">
        <f t="shared" ref="DC7:DD46" si="55">DA7</f>
        <v>10</v>
      </c>
      <c r="DD7" s="233">
        <f t="shared" si="55"/>
        <v>1</v>
      </c>
      <c r="DE7" s="65">
        <f t="shared" ref="DE7:DE46" si="56">((CU7*2)+(CI7*2)+(CN7*2)+DA7+CB7+(BW7*2)+(BR7*2))/12</f>
        <v>10.239583333333334</v>
      </c>
      <c r="DF7" s="66">
        <f t="shared" ref="DF7:DF46" si="57">IF(DE7&gt;=10,30,CX7+DD7+CQ7+CE7)</f>
        <v>30</v>
      </c>
      <c r="DG7" s="31">
        <f t="shared" si="0"/>
        <v>9.7767857142857135</v>
      </c>
      <c r="DH7" s="32">
        <f t="shared" si="1"/>
        <v>30</v>
      </c>
      <c r="DI7" s="33">
        <f t="shared" si="2"/>
        <v>10.239583333333334</v>
      </c>
      <c r="DJ7" s="34">
        <f t="shared" si="3"/>
        <v>30</v>
      </c>
      <c r="DK7" s="67">
        <f t="shared" si="4"/>
        <v>10.008184523809524</v>
      </c>
      <c r="DL7" s="35">
        <f t="shared" si="5"/>
        <v>60</v>
      </c>
      <c r="DM7" s="59">
        <f t="shared" si="6"/>
        <v>120</v>
      </c>
      <c r="DN7" s="43" t="str">
        <f t="shared" ref="DN7:DN46" si="58">IF(DM7=120,"ناجح(ة) دورة2",IF(DM7&gt;=90,"ناجح(ة)بتأخير","راسب(ة)"))</f>
        <v>ناجح(ة) دورة2</v>
      </c>
      <c r="DO7" s="44"/>
      <c r="DP7" s="50"/>
      <c r="DQ7" s="46"/>
    </row>
    <row r="8" spans="1:121" s="37" customFormat="1" ht="32.25" customHeight="1" thickBot="1">
      <c r="A8" s="49"/>
      <c r="B8" s="1">
        <f t="shared" ref="B8:B46" si="59">B7+1</f>
        <v>3</v>
      </c>
      <c r="C8" s="249" t="s">
        <v>114</v>
      </c>
      <c r="D8" s="249" t="s">
        <v>115</v>
      </c>
      <c r="E8" s="47" t="s">
        <v>383</v>
      </c>
      <c r="F8" s="276">
        <v>33973</v>
      </c>
      <c r="G8" s="136" t="s">
        <v>384</v>
      </c>
      <c r="H8" s="131">
        <v>6.73</v>
      </c>
      <c r="I8" s="132">
        <v>20</v>
      </c>
      <c r="J8" s="133">
        <v>5.73</v>
      </c>
      <c r="K8" s="134">
        <v>15</v>
      </c>
      <c r="L8" s="53">
        <f t="shared" si="7"/>
        <v>6.23</v>
      </c>
      <c r="M8" s="58">
        <f t="shared" si="8"/>
        <v>35</v>
      </c>
      <c r="N8" s="226"/>
      <c r="O8" s="227"/>
      <c r="P8" s="140"/>
      <c r="Q8" s="228">
        <f t="shared" si="9"/>
        <v>0</v>
      </c>
      <c r="R8" s="229">
        <f t="shared" si="10"/>
        <v>0</v>
      </c>
      <c r="S8" s="243"/>
      <c r="T8" s="244"/>
      <c r="U8" s="285"/>
      <c r="V8" s="228">
        <f t="shared" si="11"/>
        <v>0</v>
      </c>
      <c r="W8" s="229">
        <f t="shared" si="12"/>
        <v>0</v>
      </c>
      <c r="X8" s="245">
        <v>10.5</v>
      </c>
      <c r="Y8" s="246">
        <v>10.5</v>
      </c>
      <c r="Z8" s="285"/>
      <c r="AA8" s="228">
        <f t="shared" si="13"/>
        <v>10.5</v>
      </c>
      <c r="AB8" s="229">
        <f t="shared" si="14"/>
        <v>6</v>
      </c>
      <c r="AC8" s="232">
        <f t="shared" si="15"/>
        <v>3.5</v>
      </c>
      <c r="AD8" s="233">
        <f t="shared" si="16"/>
        <v>6</v>
      </c>
      <c r="AE8" s="242">
        <v>6</v>
      </c>
      <c r="AF8" s="285"/>
      <c r="AG8" s="234">
        <f t="shared" si="17"/>
        <v>6</v>
      </c>
      <c r="AH8" s="235">
        <f t="shared" si="18"/>
        <v>0</v>
      </c>
      <c r="AI8" s="241"/>
      <c r="AJ8" s="242"/>
      <c r="AK8" s="285"/>
      <c r="AL8" s="228">
        <f t="shared" si="19"/>
        <v>0</v>
      </c>
      <c r="AM8" s="229">
        <f t="shared" si="20"/>
        <v>0</v>
      </c>
      <c r="AN8" s="241"/>
      <c r="AO8" s="242"/>
      <c r="AP8" s="285"/>
      <c r="AQ8" s="228">
        <f t="shared" si="21"/>
        <v>0</v>
      </c>
      <c r="AR8" s="229">
        <f t="shared" si="22"/>
        <v>0</v>
      </c>
      <c r="AS8" s="236">
        <f t="shared" si="23"/>
        <v>1.2</v>
      </c>
      <c r="AT8" s="237">
        <f t="shared" si="24"/>
        <v>0</v>
      </c>
      <c r="AU8" s="245"/>
      <c r="AV8" s="242">
        <v>8.5</v>
      </c>
      <c r="AW8" s="285"/>
      <c r="AX8" s="228">
        <f t="shared" si="25"/>
        <v>4.25</v>
      </c>
      <c r="AY8" s="229">
        <f t="shared" si="26"/>
        <v>0</v>
      </c>
      <c r="AZ8" s="242"/>
      <c r="BA8" s="285"/>
      <c r="BB8" s="234">
        <f t="shared" si="27"/>
        <v>0</v>
      </c>
      <c r="BC8" s="235">
        <f t="shared" si="28"/>
        <v>0</v>
      </c>
      <c r="BD8" s="236">
        <f t="shared" si="29"/>
        <v>2.125</v>
      </c>
      <c r="BE8" s="237">
        <f t="shared" si="30"/>
        <v>0</v>
      </c>
      <c r="BF8" s="245">
        <v>12</v>
      </c>
      <c r="BG8" s="246">
        <v>12</v>
      </c>
      <c r="BH8" s="285"/>
      <c r="BI8" s="228">
        <f t="shared" si="31"/>
        <v>12</v>
      </c>
      <c r="BJ8" s="229">
        <f t="shared" si="32"/>
        <v>1</v>
      </c>
      <c r="BK8" s="236">
        <f t="shared" si="33"/>
        <v>12</v>
      </c>
      <c r="BL8" s="237">
        <f t="shared" si="33"/>
        <v>1</v>
      </c>
      <c r="BM8" s="239">
        <f t="shared" si="34"/>
        <v>3.0892857142857144</v>
      </c>
      <c r="BN8" s="240">
        <f t="shared" si="35"/>
        <v>7</v>
      </c>
      <c r="BO8" s="273"/>
      <c r="BP8" s="274"/>
      <c r="BQ8" s="140"/>
      <c r="BR8" s="228">
        <f t="shared" si="36"/>
        <v>0</v>
      </c>
      <c r="BS8" s="229">
        <f t="shared" si="37"/>
        <v>0</v>
      </c>
      <c r="BT8" s="282">
        <v>10</v>
      </c>
      <c r="BU8" s="283">
        <v>10</v>
      </c>
      <c r="BV8" s="285"/>
      <c r="BW8" s="228">
        <f t="shared" si="38"/>
        <v>10</v>
      </c>
      <c r="BX8" s="229">
        <f t="shared" si="39"/>
        <v>6</v>
      </c>
      <c r="BY8" s="282">
        <v>0</v>
      </c>
      <c r="BZ8" s="283">
        <v>0</v>
      </c>
      <c r="CA8" s="285"/>
      <c r="CB8" s="228">
        <f t="shared" si="40"/>
        <v>0</v>
      </c>
      <c r="CC8" s="229">
        <f t="shared" si="41"/>
        <v>0</v>
      </c>
      <c r="CD8" s="297">
        <f t="shared" si="42"/>
        <v>4</v>
      </c>
      <c r="CE8" s="233">
        <f t="shared" si="43"/>
        <v>6</v>
      </c>
      <c r="CF8" s="282">
        <v>0</v>
      </c>
      <c r="CG8" s="283"/>
      <c r="CH8" s="285"/>
      <c r="CI8" s="228">
        <f t="shared" si="44"/>
        <v>0</v>
      </c>
      <c r="CJ8" s="229">
        <f t="shared" si="45"/>
        <v>0</v>
      </c>
      <c r="CK8" s="298"/>
      <c r="CL8" s="299"/>
      <c r="CM8" s="285"/>
      <c r="CN8" s="228">
        <f t="shared" si="46"/>
        <v>0</v>
      </c>
      <c r="CO8" s="229">
        <f t="shared" si="47"/>
        <v>0</v>
      </c>
      <c r="CP8" s="232">
        <f t="shared" si="48"/>
        <v>0</v>
      </c>
      <c r="CQ8" s="233">
        <f t="shared" si="49"/>
        <v>0</v>
      </c>
      <c r="CR8" s="230"/>
      <c r="CS8" s="231"/>
      <c r="CT8" s="285"/>
      <c r="CU8" s="228">
        <f t="shared" si="50"/>
        <v>0</v>
      </c>
      <c r="CV8" s="229">
        <f t="shared" si="51"/>
        <v>0</v>
      </c>
      <c r="CW8" s="232">
        <f t="shared" si="52"/>
        <v>0</v>
      </c>
      <c r="CX8" s="233">
        <f t="shared" si="52"/>
        <v>0</v>
      </c>
      <c r="CY8" s="231"/>
      <c r="CZ8" s="285"/>
      <c r="DA8" s="234">
        <f t="shared" si="53"/>
        <v>0</v>
      </c>
      <c r="DB8" s="235">
        <f t="shared" si="54"/>
        <v>0</v>
      </c>
      <c r="DC8" s="232">
        <f t="shared" si="55"/>
        <v>0</v>
      </c>
      <c r="DD8" s="233">
        <f t="shared" si="55"/>
        <v>0</v>
      </c>
      <c r="DE8" s="65">
        <f t="shared" si="56"/>
        <v>1.6666666666666667</v>
      </c>
      <c r="DF8" s="66">
        <f t="shared" si="57"/>
        <v>6</v>
      </c>
      <c r="DG8" s="31">
        <f t="shared" si="0"/>
        <v>3.0892857142857144</v>
      </c>
      <c r="DH8" s="32">
        <f t="shared" si="1"/>
        <v>7</v>
      </c>
      <c r="DI8" s="33">
        <f t="shared" si="2"/>
        <v>1.6666666666666667</v>
      </c>
      <c r="DJ8" s="34">
        <f t="shared" si="3"/>
        <v>6</v>
      </c>
      <c r="DK8" s="67">
        <f t="shared" si="4"/>
        <v>2.3779761904761907</v>
      </c>
      <c r="DL8" s="35">
        <f t="shared" si="5"/>
        <v>13</v>
      </c>
      <c r="DM8" s="59">
        <f t="shared" si="6"/>
        <v>48</v>
      </c>
      <c r="DN8" s="43" t="s">
        <v>503</v>
      </c>
      <c r="DP8" s="51"/>
      <c r="DQ8" s="46"/>
    </row>
    <row r="9" spans="1:121" s="37" customFormat="1" ht="32.25" customHeight="1" thickBot="1">
      <c r="A9" s="49"/>
      <c r="B9" s="1">
        <f t="shared" si="59"/>
        <v>4</v>
      </c>
      <c r="C9" s="249" t="s">
        <v>116</v>
      </c>
      <c r="D9" s="249" t="s">
        <v>117</v>
      </c>
      <c r="E9" s="47" t="s">
        <v>339</v>
      </c>
      <c r="F9" s="135">
        <v>35516</v>
      </c>
      <c r="G9" s="136" t="s">
        <v>110</v>
      </c>
      <c r="H9" s="131">
        <v>7.48</v>
      </c>
      <c r="I9" s="132">
        <v>20</v>
      </c>
      <c r="J9" s="133">
        <v>6.45</v>
      </c>
      <c r="K9" s="134">
        <v>10</v>
      </c>
      <c r="L9" s="53">
        <f t="shared" si="7"/>
        <v>6.9649999999999999</v>
      </c>
      <c r="M9" s="58">
        <f t="shared" si="8"/>
        <v>30</v>
      </c>
      <c r="N9" s="222">
        <v>13</v>
      </c>
      <c r="O9" s="223">
        <v>9</v>
      </c>
      <c r="P9" s="140"/>
      <c r="Q9" s="228">
        <f t="shared" si="9"/>
        <v>11</v>
      </c>
      <c r="R9" s="229">
        <f t="shared" si="10"/>
        <v>5</v>
      </c>
      <c r="S9" s="241">
        <v>14</v>
      </c>
      <c r="T9" s="242">
        <v>10.75</v>
      </c>
      <c r="U9" s="285"/>
      <c r="V9" s="228">
        <f t="shared" si="11"/>
        <v>12.375</v>
      </c>
      <c r="W9" s="229">
        <f t="shared" si="12"/>
        <v>6</v>
      </c>
      <c r="X9" s="241">
        <v>14</v>
      </c>
      <c r="Y9" s="242">
        <v>8</v>
      </c>
      <c r="Z9" s="285"/>
      <c r="AA9" s="228">
        <f t="shared" si="13"/>
        <v>11</v>
      </c>
      <c r="AB9" s="229">
        <f t="shared" si="14"/>
        <v>6</v>
      </c>
      <c r="AC9" s="232">
        <f t="shared" si="15"/>
        <v>11.458333333333334</v>
      </c>
      <c r="AD9" s="233">
        <f t="shared" si="16"/>
        <v>17</v>
      </c>
      <c r="AE9" s="242">
        <v>11.5</v>
      </c>
      <c r="AF9" s="285"/>
      <c r="AG9" s="234">
        <f t="shared" si="17"/>
        <v>11.5</v>
      </c>
      <c r="AH9" s="235">
        <f t="shared" si="18"/>
        <v>1</v>
      </c>
      <c r="AI9" s="241">
        <v>7.75</v>
      </c>
      <c r="AJ9" s="242">
        <v>7.75</v>
      </c>
      <c r="AK9" s="285"/>
      <c r="AL9" s="228">
        <f t="shared" si="19"/>
        <v>7.75</v>
      </c>
      <c r="AM9" s="229">
        <f t="shared" si="20"/>
        <v>0</v>
      </c>
      <c r="AN9" s="241">
        <v>8.75</v>
      </c>
      <c r="AO9" s="242">
        <v>0.5</v>
      </c>
      <c r="AP9" s="285"/>
      <c r="AQ9" s="228">
        <f t="shared" si="21"/>
        <v>4.625</v>
      </c>
      <c r="AR9" s="229">
        <f t="shared" si="22"/>
        <v>0</v>
      </c>
      <c r="AS9" s="236">
        <f t="shared" si="23"/>
        <v>7.25</v>
      </c>
      <c r="AT9" s="237">
        <f t="shared" si="24"/>
        <v>1</v>
      </c>
      <c r="AU9" s="241">
        <v>18</v>
      </c>
      <c r="AV9" s="242">
        <v>4</v>
      </c>
      <c r="AW9" s="285"/>
      <c r="AX9" s="228">
        <f t="shared" si="25"/>
        <v>11</v>
      </c>
      <c r="AY9" s="229">
        <f t="shared" si="26"/>
        <v>4</v>
      </c>
      <c r="AZ9" s="242">
        <v>8.5</v>
      </c>
      <c r="BA9" s="285"/>
      <c r="BB9" s="234">
        <f t="shared" si="27"/>
        <v>8.5</v>
      </c>
      <c r="BC9" s="235">
        <f t="shared" si="28"/>
        <v>0</v>
      </c>
      <c r="BD9" s="236">
        <f t="shared" si="29"/>
        <v>9.75</v>
      </c>
      <c r="BE9" s="237">
        <f t="shared" si="30"/>
        <v>4</v>
      </c>
      <c r="BF9" s="241">
        <v>11.5</v>
      </c>
      <c r="BG9" s="242">
        <v>6</v>
      </c>
      <c r="BH9" s="285"/>
      <c r="BI9" s="228">
        <f t="shared" si="31"/>
        <v>8.75</v>
      </c>
      <c r="BJ9" s="229">
        <f t="shared" si="32"/>
        <v>0</v>
      </c>
      <c r="BK9" s="236">
        <f t="shared" si="33"/>
        <v>8.75</v>
      </c>
      <c r="BL9" s="237">
        <f t="shared" si="33"/>
        <v>0</v>
      </c>
      <c r="BM9" s="239">
        <f t="shared" si="34"/>
        <v>9.5178571428571423</v>
      </c>
      <c r="BN9" s="240">
        <f t="shared" si="35"/>
        <v>22</v>
      </c>
      <c r="BO9" s="271">
        <v>14</v>
      </c>
      <c r="BP9" s="272">
        <v>8</v>
      </c>
      <c r="BQ9" s="140"/>
      <c r="BR9" s="228">
        <f t="shared" si="36"/>
        <v>11</v>
      </c>
      <c r="BS9" s="229">
        <f t="shared" si="37"/>
        <v>6</v>
      </c>
      <c r="BT9" s="241">
        <v>14.5</v>
      </c>
      <c r="BU9" s="242">
        <v>14.5</v>
      </c>
      <c r="BV9" s="285"/>
      <c r="BW9" s="228">
        <f t="shared" si="38"/>
        <v>14.5</v>
      </c>
      <c r="BX9" s="229">
        <f t="shared" si="39"/>
        <v>6</v>
      </c>
      <c r="BY9" s="241">
        <v>9</v>
      </c>
      <c r="BZ9" s="242">
        <v>2</v>
      </c>
      <c r="CA9" s="285"/>
      <c r="CB9" s="228">
        <f t="shared" si="40"/>
        <v>5.5</v>
      </c>
      <c r="CC9" s="229">
        <f t="shared" si="41"/>
        <v>0</v>
      </c>
      <c r="CD9" s="297">
        <f t="shared" si="42"/>
        <v>11.3</v>
      </c>
      <c r="CE9" s="233">
        <f t="shared" si="43"/>
        <v>16</v>
      </c>
      <c r="CF9" s="241">
        <v>9.5</v>
      </c>
      <c r="CG9" s="242">
        <v>12.25</v>
      </c>
      <c r="CH9" s="285"/>
      <c r="CI9" s="228">
        <f t="shared" si="44"/>
        <v>10.875</v>
      </c>
      <c r="CJ9" s="229">
        <f t="shared" si="45"/>
        <v>5</v>
      </c>
      <c r="CK9" s="230">
        <v>11</v>
      </c>
      <c r="CL9" s="231">
        <v>5.5</v>
      </c>
      <c r="CM9" s="285"/>
      <c r="CN9" s="228">
        <f t="shared" si="46"/>
        <v>8.25</v>
      </c>
      <c r="CO9" s="229">
        <f t="shared" si="47"/>
        <v>0</v>
      </c>
      <c r="CP9" s="232">
        <f t="shared" si="48"/>
        <v>9.5625</v>
      </c>
      <c r="CQ9" s="233">
        <f t="shared" si="49"/>
        <v>5</v>
      </c>
      <c r="CR9" s="230">
        <v>15</v>
      </c>
      <c r="CS9" s="231">
        <v>9.25</v>
      </c>
      <c r="CT9" s="285"/>
      <c r="CU9" s="228">
        <f t="shared" si="50"/>
        <v>12.125</v>
      </c>
      <c r="CV9" s="229">
        <f t="shared" si="51"/>
        <v>3</v>
      </c>
      <c r="CW9" s="232">
        <f t="shared" si="52"/>
        <v>12.125</v>
      </c>
      <c r="CX9" s="233">
        <f t="shared" si="52"/>
        <v>3</v>
      </c>
      <c r="CY9" s="231">
        <v>10</v>
      </c>
      <c r="CZ9" s="285"/>
      <c r="DA9" s="234">
        <f t="shared" si="53"/>
        <v>10</v>
      </c>
      <c r="DB9" s="235">
        <f t="shared" si="54"/>
        <v>1</v>
      </c>
      <c r="DC9" s="232">
        <f t="shared" si="55"/>
        <v>10</v>
      </c>
      <c r="DD9" s="233">
        <f t="shared" si="55"/>
        <v>1</v>
      </c>
      <c r="DE9" s="65">
        <f t="shared" si="56"/>
        <v>10.75</v>
      </c>
      <c r="DF9" s="66">
        <f t="shared" si="57"/>
        <v>30</v>
      </c>
      <c r="DG9" s="31">
        <f t="shared" si="0"/>
        <v>9.5178571428571423</v>
      </c>
      <c r="DH9" s="32">
        <f t="shared" si="1"/>
        <v>30</v>
      </c>
      <c r="DI9" s="33">
        <f t="shared" si="2"/>
        <v>10.75</v>
      </c>
      <c r="DJ9" s="34">
        <f t="shared" si="3"/>
        <v>30</v>
      </c>
      <c r="DK9" s="67">
        <f t="shared" si="4"/>
        <v>10.133928571428571</v>
      </c>
      <c r="DL9" s="35">
        <f t="shared" si="5"/>
        <v>60</v>
      </c>
      <c r="DM9" s="59">
        <f t="shared" si="6"/>
        <v>90</v>
      </c>
      <c r="DN9" s="43" t="str">
        <f t="shared" si="58"/>
        <v>ناجح(ة)بتأخير</v>
      </c>
      <c r="DO9" s="44"/>
      <c r="DP9" s="50"/>
      <c r="DQ9" s="46"/>
    </row>
    <row r="10" spans="1:121" s="37" customFormat="1" ht="32.25" customHeight="1" thickBot="1">
      <c r="A10" s="49"/>
      <c r="B10" s="1">
        <f t="shared" si="59"/>
        <v>5</v>
      </c>
      <c r="C10" s="249" t="s">
        <v>118</v>
      </c>
      <c r="D10" s="249" t="s">
        <v>119</v>
      </c>
      <c r="E10" s="47" t="s">
        <v>340</v>
      </c>
      <c r="F10" s="135">
        <v>34700</v>
      </c>
      <c r="G10" s="136" t="s">
        <v>110</v>
      </c>
      <c r="H10" s="131">
        <v>7.56</v>
      </c>
      <c r="I10" s="132">
        <v>17</v>
      </c>
      <c r="J10" s="133">
        <v>7.06</v>
      </c>
      <c r="K10" s="134">
        <v>16</v>
      </c>
      <c r="L10" s="53">
        <f t="shared" si="7"/>
        <v>7.31</v>
      </c>
      <c r="M10" s="58">
        <f t="shared" si="8"/>
        <v>33</v>
      </c>
      <c r="N10" s="222">
        <v>13</v>
      </c>
      <c r="O10" s="223">
        <v>1</v>
      </c>
      <c r="P10" s="140">
        <v>10</v>
      </c>
      <c r="Q10" s="228">
        <f t="shared" si="9"/>
        <v>11.5</v>
      </c>
      <c r="R10" s="229">
        <f t="shared" si="10"/>
        <v>5</v>
      </c>
      <c r="S10" s="241">
        <v>13.5</v>
      </c>
      <c r="T10" s="242">
        <v>11</v>
      </c>
      <c r="U10" s="285"/>
      <c r="V10" s="228">
        <f t="shared" si="11"/>
        <v>12.25</v>
      </c>
      <c r="W10" s="229">
        <f t="shared" si="12"/>
        <v>6</v>
      </c>
      <c r="X10" s="241">
        <v>6</v>
      </c>
      <c r="Y10" s="242">
        <v>5.5</v>
      </c>
      <c r="Z10" s="285">
        <v>7</v>
      </c>
      <c r="AA10" s="228">
        <f t="shared" si="13"/>
        <v>6.5</v>
      </c>
      <c r="AB10" s="229">
        <f t="shared" si="14"/>
        <v>0</v>
      </c>
      <c r="AC10" s="232">
        <f t="shared" si="15"/>
        <v>10.083333333333334</v>
      </c>
      <c r="AD10" s="233">
        <f t="shared" si="16"/>
        <v>17</v>
      </c>
      <c r="AE10" s="242">
        <v>11.5</v>
      </c>
      <c r="AF10" s="285"/>
      <c r="AG10" s="234">
        <f t="shared" si="17"/>
        <v>11.5</v>
      </c>
      <c r="AH10" s="235">
        <f t="shared" si="18"/>
        <v>1</v>
      </c>
      <c r="AI10" s="241">
        <v>4.75</v>
      </c>
      <c r="AJ10" s="242">
        <v>4.75</v>
      </c>
      <c r="AK10" s="285">
        <v>7</v>
      </c>
      <c r="AL10" s="228">
        <f t="shared" si="19"/>
        <v>5.875</v>
      </c>
      <c r="AM10" s="229">
        <f t="shared" si="20"/>
        <v>0</v>
      </c>
      <c r="AN10" s="241">
        <v>9</v>
      </c>
      <c r="AO10" s="242">
        <v>1</v>
      </c>
      <c r="AP10" s="285">
        <v>3</v>
      </c>
      <c r="AQ10" s="228">
        <f t="shared" si="21"/>
        <v>6</v>
      </c>
      <c r="AR10" s="229">
        <f t="shared" si="22"/>
        <v>0</v>
      </c>
      <c r="AS10" s="236">
        <f t="shared" si="23"/>
        <v>7.05</v>
      </c>
      <c r="AT10" s="237">
        <f t="shared" si="24"/>
        <v>1</v>
      </c>
      <c r="AU10" s="241">
        <v>11</v>
      </c>
      <c r="AV10" s="242">
        <v>6</v>
      </c>
      <c r="AW10" s="285">
        <v>14</v>
      </c>
      <c r="AX10" s="228">
        <f t="shared" si="25"/>
        <v>12.5</v>
      </c>
      <c r="AY10" s="229">
        <f t="shared" si="26"/>
        <v>4</v>
      </c>
      <c r="AZ10" s="242">
        <v>0</v>
      </c>
      <c r="BA10" s="285">
        <v>9.5</v>
      </c>
      <c r="BB10" s="234">
        <f t="shared" si="27"/>
        <v>9.5</v>
      </c>
      <c r="BC10" s="235">
        <f t="shared" si="28"/>
        <v>0</v>
      </c>
      <c r="BD10" s="236">
        <f t="shared" si="29"/>
        <v>11</v>
      </c>
      <c r="BE10" s="237">
        <f t="shared" si="30"/>
        <v>5</v>
      </c>
      <c r="BF10" s="241">
        <v>11</v>
      </c>
      <c r="BG10" s="242">
        <v>9</v>
      </c>
      <c r="BH10" s="285"/>
      <c r="BI10" s="228">
        <f t="shared" si="31"/>
        <v>10</v>
      </c>
      <c r="BJ10" s="229">
        <f t="shared" si="32"/>
        <v>1</v>
      </c>
      <c r="BK10" s="236">
        <f t="shared" si="33"/>
        <v>10</v>
      </c>
      <c r="BL10" s="237">
        <f t="shared" si="33"/>
        <v>1</v>
      </c>
      <c r="BM10" s="239">
        <f t="shared" si="34"/>
        <v>9.125</v>
      </c>
      <c r="BN10" s="240">
        <f t="shared" si="35"/>
        <v>24</v>
      </c>
      <c r="BO10" s="271">
        <v>12.5</v>
      </c>
      <c r="BP10" s="272">
        <v>2</v>
      </c>
      <c r="BQ10" s="140">
        <v>15</v>
      </c>
      <c r="BR10" s="228">
        <f t="shared" si="36"/>
        <v>13.75</v>
      </c>
      <c r="BS10" s="229">
        <f t="shared" si="37"/>
        <v>6</v>
      </c>
      <c r="BT10" s="241">
        <v>14</v>
      </c>
      <c r="BU10" s="242">
        <v>15.5</v>
      </c>
      <c r="BV10" s="285"/>
      <c r="BW10" s="228">
        <f t="shared" si="38"/>
        <v>14.75</v>
      </c>
      <c r="BX10" s="229">
        <f t="shared" si="39"/>
        <v>6</v>
      </c>
      <c r="BY10" s="241">
        <v>8</v>
      </c>
      <c r="BZ10" s="242">
        <v>2</v>
      </c>
      <c r="CA10" s="285">
        <v>5</v>
      </c>
      <c r="CB10" s="228">
        <f t="shared" si="40"/>
        <v>6.5</v>
      </c>
      <c r="CC10" s="229">
        <f t="shared" si="41"/>
        <v>0</v>
      </c>
      <c r="CD10" s="297">
        <f t="shared" si="42"/>
        <v>12.7</v>
      </c>
      <c r="CE10" s="233">
        <f t="shared" si="43"/>
        <v>16</v>
      </c>
      <c r="CF10" s="241">
        <v>9</v>
      </c>
      <c r="CG10" s="242">
        <v>13.25</v>
      </c>
      <c r="CH10" s="285"/>
      <c r="CI10" s="228">
        <f t="shared" si="44"/>
        <v>11.125</v>
      </c>
      <c r="CJ10" s="229">
        <f t="shared" si="45"/>
        <v>5</v>
      </c>
      <c r="CK10" s="230">
        <v>11</v>
      </c>
      <c r="CL10" s="231">
        <v>5.5</v>
      </c>
      <c r="CM10" s="285"/>
      <c r="CN10" s="228">
        <f t="shared" si="46"/>
        <v>8.25</v>
      </c>
      <c r="CO10" s="229">
        <f t="shared" si="47"/>
        <v>0</v>
      </c>
      <c r="CP10" s="232">
        <f t="shared" si="48"/>
        <v>9.6875</v>
      </c>
      <c r="CQ10" s="233">
        <f t="shared" si="49"/>
        <v>5</v>
      </c>
      <c r="CR10" s="230">
        <v>11</v>
      </c>
      <c r="CS10" s="231">
        <v>0.25</v>
      </c>
      <c r="CT10" s="285">
        <v>7.75</v>
      </c>
      <c r="CU10" s="228">
        <f t="shared" si="50"/>
        <v>9.375</v>
      </c>
      <c r="CV10" s="229">
        <f t="shared" si="51"/>
        <v>0</v>
      </c>
      <c r="CW10" s="232">
        <f t="shared" si="52"/>
        <v>9.375</v>
      </c>
      <c r="CX10" s="233">
        <f t="shared" si="52"/>
        <v>0</v>
      </c>
      <c r="CY10" s="231">
        <v>10</v>
      </c>
      <c r="CZ10" s="285"/>
      <c r="DA10" s="234">
        <f t="shared" si="53"/>
        <v>10</v>
      </c>
      <c r="DB10" s="235">
        <f t="shared" si="54"/>
        <v>1</v>
      </c>
      <c r="DC10" s="232">
        <f t="shared" si="55"/>
        <v>10</v>
      </c>
      <c r="DD10" s="233">
        <f t="shared" si="55"/>
        <v>1</v>
      </c>
      <c r="DE10" s="65">
        <f t="shared" si="56"/>
        <v>10.916666666666666</v>
      </c>
      <c r="DF10" s="66">
        <f t="shared" si="57"/>
        <v>30</v>
      </c>
      <c r="DG10" s="31">
        <f t="shared" si="0"/>
        <v>9.125</v>
      </c>
      <c r="DH10" s="32">
        <f t="shared" si="1"/>
        <v>30</v>
      </c>
      <c r="DI10" s="33">
        <f t="shared" si="2"/>
        <v>10.916666666666666</v>
      </c>
      <c r="DJ10" s="34">
        <f t="shared" si="3"/>
        <v>30</v>
      </c>
      <c r="DK10" s="67">
        <f t="shared" si="4"/>
        <v>10.020833333333332</v>
      </c>
      <c r="DL10" s="35">
        <f t="shared" si="5"/>
        <v>60</v>
      </c>
      <c r="DM10" s="59">
        <f t="shared" si="6"/>
        <v>93</v>
      </c>
      <c r="DN10" s="43" t="str">
        <f t="shared" si="58"/>
        <v>ناجح(ة)بتأخير</v>
      </c>
      <c r="DO10" s="44"/>
      <c r="DP10" s="50"/>
      <c r="DQ10" s="46"/>
    </row>
    <row r="11" spans="1:121" s="37" customFormat="1" ht="32.25" customHeight="1" thickBot="1">
      <c r="A11" s="49"/>
      <c r="B11" s="1">
        <f t="shared" si="59"/>
        <v>6</v>
      </c>
      <c r="C11" s="249" t="s">
        <v>120</v>
      </c>
      <c r="D11" s="249" t="s">
        <v>121</v>
      </c>
      <c r="E11" s="47" t="s">
        <v>386</v>
      </c>
      <c r="F11" s="276">
        <v>34490</v>
      </c>
      <c r="G11" s="136" t="s">
        <v>110</v>
      </c>
      <c r="H11" s="131">
        <v>7.89</v>
      </c>
      <c r="I11" s="132">
        <v>22</v>
      </c>
      <c r="J11" s="133">
        <v>4.05</v>
      </c>
      <c r="K11" s="134">
        <v>11</v>
      </c>
      <c r="L11" s="53">
        <f t="shared" si="7"/>
        <v>5.97</v>
      </c>
      <c r="M11" s="58">
        <f t="shared" si="8"/>
        <v>33</v>
      </c>
      <c r="N11" s="222">
        <v>13</v>
      </c>
      <c r="O11" s="223">
        <v>7</v>
      </c>
      <c r="P11" s="140"/>
      <c r="Q11" s="228">
        <f t="shared" si="9"/>
        <v>10</v>
      </c>
      <c r="R11" s="229">
        <f t="shared" si="10"/>
        <v>5</v>
      </c>
      <c r="S11" s="241">
        <v>11</v>
      </c>
      <c r="T11" s="242">
        <v>2</v>
      </c>
      <c r="U11" s="285"/>
      <c r="V11" s="228">
        <f t="shared" si="11"/>
        <v>6.5</v>
      </c>
      <c r="W11" s="229">
        <f t="shared" si="12"/>
        <v>0</v>
      </c>
      <c r="X11" s="245">
        <v>10</v>
      </c>
      <c r="Y11" s="246">
        <v>10</v>
      </c>
      <c r="Z11" s="285"/>
      <c r="AA11" s="228">
        <f t="shared" si="13"/>
        <v>10</v>
      </c>
      <c r="AB11" s="229">
        <f t="shared" si="14"/>
        <v>6</v>
      </c>
      <c r="AC11" s="232">
        <f t="shared" si="15"/>
        <v>8.8333333333333339</v>
      </c>
      <c r="AD11" s="233">
        <f t="shared" si="16"/>
        <v>11</v>
      </c>
      <c r="AE11" s="242">
        <v>3.5</v>
      </c>
      <c r="AF11" s="285"/>
      <c r="AG11" s="234">
        <f t="shared" si="17"/>
        <v>3.5</v>
      </c>
      <c r="AH11" s="235">
        <f t="shared" si="18"/>
        <v>0</v>
      </c>
      <c r="AI11" s="241">
        <v>10</v>
      </c>
      <c r="AJ11" s="242">
        <v>1</v>
      </c>
      <c r="AK11" s="285"/>
      <c r="AL11" s="228">
        <f t="shared" si="19"/>
        <v>5.5</v>
      </c>
      <c r="AM11" s="229">
        <f t="shared" si="20"/>
        <v>0</v>
      </c>
      <c r="AN11" s="241">
        <v>7.25</v>
      </c>
      <c r="AO11" s="242">
        <v>0</v>
      </c>
      <c r="AP11" s="285"/>
      <c r="AQ11" s="228">
        <f t="shared" si="21"/>
        <v>3.625</v>
      </c>
      <c r="AR11" s="229">
        <f t="shared" si="22"/>
        <v>0</v>
      </c>
      <c r="AS11" s="236">
        <f t="shared" si="23"/>
        <v>4.3499999999999996</v>
      </c>
      <c r="AT11" s="237">
        <f t="shared" si="24"/>
        <v>0</v>
      </c>
      <c r="AU11" s="241">
        <v>1</v>
      </c>
      <c r="AV11" s="242">
        <v>1</v>
      </c>
      <c r="AW11" s="285"/>
      <c r="AX11" s="228">
        <f t="shared" si="25"/>
        <v>1</v>
      </c>
      <c r="AY11" s="229">
        <f t="shared" si="26"/>
        <v>0</v>
      </c>
      <c r="AZ11" s="242">
        <v>10</v>
      </c>
      <c r="BA11" s="285"/>
      <c r="BB11" s="234">
        <f t="shared" si="27"/>
        <v>10</v>
      </c>
      <c r="BC11" s="235">
        <f t="shared" si="28"/>
        <v>1</v>
      </c>
      <c r="BD11" s="236">
        <f t="shared" si="29"/>
        <v>5.5</v>
      </c>
      <c r="BE11" s="237">
        <f t="shared" si="30"/>
        <v>1</v>
      </c>
      <c r="BF11" s="241">
        <v>8</v>
      </c>
      <c r="BG11" s="242">
        <v>14.25</v>
      </c>
      <c r="BH11" s="285"/>
      <c r="BI11" s="228">
        <f t="shared" si="31"/>
        <v>11.125</v>
      </c>
      <c r="BJ11" s="229">
        <f t="shared" si="32"/>
        <v>1</v>
      </c>
      <c r="BK11" s="236">
        <f t="shared" si="33"/>
        <v>11.125</v>
      </c>
      <c r="BL11" s="237">
        <f t="shared" si="33"/>
        <v>1</v>
      </c>
      <c r="BM11" s="239">
        <f t="shared" si="34"/>
        <v>6.9196428571428568</v>
      </c>
      <c r="BN11" s="240">
        <f t="shared" si="35"/>
        <v>13</v>
      </c>
      <c r="BO11" s="271">
        <v>8</v>
      </c>
      <c r="BP11" s="272">
        <v>0</v>
      </c>
      <c r="BQ11" s="140"/>
      <c r="BR11" s="228">
        <f t="shared" si="36"/>
        <v>4</v>
      </c>
      <c r="BS11" s="229">
        <f t="shared" si="37"/>
        <v>0</v>
      </c>
      <c r="BT11" s="282"/>
      <c r="BU11" s="283"/>
      <c r="BV11" s="285"/>
      <c r="BW11" s="228">
        <f t="shared" si="38"/>
        <v>0</v>
      </c>
      <c r="BX11" s="229">
        <f t="shared" si="39"/>
        <v>0</v>
      </c>
      <c r="BY11" s="282"/>
      <c r="BZ11" s="283"/>
      <c r="CA11" s="285"/>
      <c r="CB11" s="228">
        <f t="shared" si="40"/>
        <v>0</v>
      </c>
      <c r="CC11" s="229">
        <f t="shared" si="41"/>
        <v>0</v>
      </c>
      <c r="CD11" s="297">
        <f t="shared" si="42"/>
        <v>1.6</v>
      </c>
      <c r="CE11" s="233">
        <f t="shared" si="43"/>
        <v>0</v>
      </c>
      <c r="CF11" s="241">
        <v>5</v>
      </c>
      <c r="CG11" s="242">
        <v>4.25</v>
      </c>
      <c r="CH11" s="285"/>
      <c r="CI11" s="228">
        <f t="shared" si="44"/>
        <v>4.625</v>
      </c>
      <c r="CJ11" s="229">
        <f t="shared" si="45"/>
        <v>0</v>
      </c>
      <c r="CK11" s="230"/>
      <c r="CL11" s="231"/>
      <c r="CM11" s="285"/>
      <c r="CN11" s="228">
        <f t="shared" si="46"/>
        <v>0</v>
      </c>
      <c r="CO11" s="229">
        <f t="shared" si="47"/>
        <v>0</v>
      </c>
      <c r="CP11" s="232">
        <f t="shared" si="48"/>
        <v>2.3125</v>
      </c>
      <c r="CQ11" s="233">
        <f t="shared" si="49"/>
        <v>0</v>
      </c>
      <c r="CR11" s="230">
        <v>14.5</v>
      </c>
      <c r="CS11" s="231">
        <v>0.5</v>
      </c>
      <c r="CT11" s="285"/>
      <c r="CU11" s="228">
        <f t="shared" si="50"/>
        <v>7.5</v>
      </c>
      <c r="CV11" s="229">
        <f t="shared" si="51"/>
        <v>0</v>
      </c>
      <c r="CW11" s="232">
        <f t="shared" si="52"/>
        <v>7.5</v>
      </c>
      <c r="CX11" s="233">
        <f t="shared" si="52"/>
        <v>0</v>
      </c>
      <c r="CY11" s="231">
        <v>3</v>
      </c>
      <c r="CZ11" s="285"/>
      <c r="DA11" s="234">
        <f t="shared" si="53"/>
        <v>3</v>
      </c>
      <c r="DB11" s="235">
        <f t="shared" si="54"/>
        <v>0</v>
      </c>
      <c r="DC11" s="232">
        <f t="shared" si="55"/>
        <v>3</v>
      </c>
      <c r="DD11" s="233">
        <f t="shared" si="55"/>
        <v>0</v>
      </c>
      <c r="DE11" s="65">
        <f t="shared" si="56"/>
        <v>2.9375</v>
      </c>
      <c r="DF11" s="66">
        <f t="shared" si="57"/>
        <v>0</v>
      </c>
      <c r="DG11" s="31">
        <f t="shared" si="0"/>
        <v>6.9196428571428568</v>
      </c>
      <c r="DH11" s="32">
        <f t="shared" si="1"/>
        <v>13</v>
      </c>
      <c r="DI11" s="33">
        <f t="shared" si="2"/>
        <v>2.9375</v>
      </c>
      <c r="DJ11" s="34">
        <f t="shared" si="3"/>
        <v>0</v>
      </c>
      <c r="DK11" s="67">
        <f t="shared" si="4"/>
        <v>4.9285714285714288</v>
      </c>
      <c r="DL11" s="35">
        <f t="shared" si="5"/>
        <v>13</v>
      </c>
      <c r="DM11" s="59">
        <f t="shared" si="6"/>
        <v>46</v>
      </c>
      <c r="DN11" s="43" t="str">
        <f t="shared" si="58"/>
        <v>راسب(ة)</v>
      </c>
      <c r="DO11" s="44"/>
      <c r="DP11" s="50"/>
      <c r="DQ11" s="46"/>
    </row>
    <row r="12" spans="1:121" s="37" customFormat="1" ht="32.25" customHeight="1" thickBot="1">
      <c r="A12" s="49"/>
      <c r="B12" s="1">
        <f t="shared" si="59"/>
        <v>7</v>
      </c>
      <c r="C12" s="249" t="s">
        <v>122</v>
      </c>
      <c r="D12" s="249" t="s">
        <v>123</v>
      </c>
      <c r="E12" s="47" t="s">
        <v>341</v>
      </c>
      <c r="F12" s="276">
        <v>34484</v>
      </c>
      <c r="G12" s="136" t="s">
        <v>411</v>
      </c>
      <c r="H12" s="131">
        <v>9.7799999999999994</v>
      </c>
      <c r="I12" s="132">
        <v>30</v>
      </c>
      <c r="J12" s="133">
        <v>10.23</v>
      </c>
      <c r="K12" s="134">
        <v>30</v>
      </c>
      <c r="L12" s="53">
        <f t="shared" si="7"/>
        <v>10.004999999999999</v>
      </c>
      <c r="M12" s="58">
        <f t="shared" si="8"/>
        <v>60</v>
      </c>
      <c r="N12" s="222">
        <v>15</v>
      </c>
      <c r="O12" s="223">
        <v>7</v>
      </c>
      <c r="P12" s="140"/>
      <c r="Q12" s="228">
        <f t="shared" si="9"/>
        <v>11</v>
      </c>
      <c r="R12" s="229">
        <f t="shared" si="10"/>
        <v>5</v>
      </c>
      <c r="S12" s="241">
        <v>12</v>
      </c>
      <c r="T12" s="242">
        <v>6.5</v>
      </c>
      <c r="U12" s="285"/>
      <c r="V12" s="228">
        <f t="shared" si="11"/>
        <v>9.25</v>
      </c>
      <c r="W12" s="229">
        <f t="shared" si="12"/>
        <v>0</v>
      </c>
      <c r="X12" s="241">
        <v>12</v>
      </c>
      <c r="Y12" s="242">
        <v>6.5</v>
      </c>
      <c r="Z12" s="285"/>
      <c r="AA12" s="228">
        <f t="shared" si="13"/>
        <v>9.25</v>
      </c>
      <c r="AB12" s="229">
        <f t="shared" si="14"/>
        <v>0</v>
      </c>
      <c r="AC12" s="232">
        <f t="shared" si="15"/>
        <v>9.8333333333333339</v>
      </c>
      <c r="AD12" s="233">
        <f t="shared" si="16"/>
        <v>5</v>
      </c>
      <c r="AE12" s="242">
        <v>7</v>
      </c>
      <c r="AF12" s="285">
        <v>11</v>
      </c>
      <c r="AG12" s="234">
        <f t="shared" si="17"/>
        <v>11</v>
      </c>
      <c r="AH12" s="235">
        <f t="shared" si="18"/>
        <v>1</v>
      </c>
      <c r="AI12" s="241">
        <v>16</v>
      </c>
      <c r="AJ12" s="242">
        <v>8.75</v>
      </c>
      <c r="AK12" s="285"/>
      <c r="AL12" s="228">
        <f t="shared" si="19"/>
        <v>12.375</v>
      </c>
      <c r="AM12" s="229">
        <f t="shared" si="20"/>
        <v>3</v>
      </c>
      <c r="AN12" s="241">
        <v>12.5</v>
      </c>
      <c r="AO12" s="242">
        <v>0</v>
      </c>
      <c r="AP12" s="285">
        <v>7.5</v>
      </c>
      <c r="AQ12" s="228">
        <f t="shared" si="21"/>
        <v>10</v>
      </c>
      <c r="AR12" s="229">
        <f t="shared" si="22"/>
        <v>3</v>
      </c>
      <c r="AS12" s="236">
        <f t="shared" si="23"/>
        <v>11.15</v>
      </c>
      <c r="AT12" s="237">
        <f t="shared" si="24"/>
        <v>7</v>
      </c>
      <c r="AU12" s="241">
        <v>2</v>
      </c>
      <c r="AV12" s="242">
        <v>11</v>
      </c>
      <c r="AW12" s="285">
        <v>10</v>
      </c>
      <c r="AX12" s="228">
        <f t="shared" si="25"/>
        <v>6.5</v>
      </c>
      <c r="AY12" s="229">
        <f t="shared" si="26"/>
        <v>0</v>
      </c>
      <c r="AZ12" s="242">
        <v>14</v>
      </c>
      <c r="BA12" s="285"/>
      <c r="BB12" s="234">
        <f t="shared" si="27"/>
        <v>14</v>
      </c>
      <c r="BC12" s="235">
        <f t="shared" si="28"/>
        <v>1</v>
      </c>
      <c r="BD12" s="236">
        <f t="shared" si="29"/>
        <v>10.25</v>
      </c>
      <c r="BE12" s="237">
        <f t="shared" si="30"/>
        <v>5</v>
      </c>
      <c r="BF12" s="241">
        <v>8</v>
      </c>
      <c r="BG12" s="242">
        <v>5.5</v>
      </c>
      <c r="BH12" s="285">
        <v>7</v>
      </c>
      <c r="BI12" s="228">
        <f t="shared" si="31"/>
        <v>7.5</v>
      </c>
      <c r="BJ12" s="229">
        <f t="shared" si="32"/>
        <v>0</v>
      </c>
      <c r="BK12" s="236">
        <f t="shared" si="33"/>
        <v>7.5</v>
      </c>
      <c r="BL12" s="237">
        <f t="shared" si="33"/>
        <v>0</v>
      </c>
      <c r="BM12" s="239">
        <f t="shared" si="34"/>
        <v>10.196428571428571</v>
      </c>
      <c r="BN12" s="240">
        <f t="shared" si="35"/>
        <v>30</v>
      </c>
      <c r="BO12" s="271">
        <v>14.5</v>
      </c>
      <c r="BP12" s="272">
        <v>7</v>
      </c>
      <c r="BQ12" s="140"/>
      <c r="BR12" s="228">
        <f t="shared" si="36"/>
        <v>10.75</v>
      </c>
      <c r="BS12" s="229">
        <f t="shared" si="37"/>
        <v>6</v>
      </c>
      <c r="BT12" s="241">
        <v>14</v>
      </c>
      <c r="BU12" s="242">
        <v>11.5</v>
      </c>
      <c r="BV12" s="285"/>
      <c r="BW12" s="228">
        <f t="shared" si="38"/>
        <v>12.75</v>
      </c>
      <c r="BX12" s="229">
        <f t="shared" si="39"/>
        <v>6</v>
      </c>
      <c r="BY12" s="241">
        <v>8</v>
      </c>
      <c r="BZ12" s="242">
        <v>0</v>
      </c>
      <c r="CA12" s="285"/>
      <c r="CB12" s="228">
        <f t="shared" si="40"/>
        <v>4</v>
      </c>
      <c r="CC12" s="229">
        <f t="shared" si="41"/>
        <v>0</v>
      </c>
      <c r="CD12" s="297">
        <f t="shared" si="42"/>
        <v>10.199999999999999</v>
      </c>
      <c r="CE12" s="233">
        <f t="shared" si="43"/>
        <v>16</v>
      </c>
      <c r="CF12" s="241">
        <v>12</v>
      </c>
      <c r="CG12" s="242">
        <v>14.25</v>
      </c>
      <c r="CH12" s="285"/>
      <c r="CI12" s="228">
        <f t="shared" si="44"/>
        <v>13.125</v>
      </c>
      <c r="CJ12" s="229">
        <f t="shared" si="45"/>
        <v>5</v>
      </c>
      <c r="CK12" s="230">
        <v>9</v>
      </c>
      <c r="CL12" s="231">
        <v>7.5</v>
      </c>
      <c r="CM12" s="285"/>
      <c r="CN12" s="228">
        <f t="shared" si="46"/>
        <v>8.25</v>
      </c>
      <c r="CO12" s="229">
        <f t="shared" si="47"/>
        <v>0</v>
      </c>
      <c r="CP12" s="232">
        <f t="shared" si="48"/>
        <v>10.6875</v>
      </c>
      <c r="CQ12" s="233">
        <f t="shared" si="49"/>
        <v>10</v>
      </c>
      <c r="CR12" s="230">
        <v>14.5</v>
      </c>
      <c r="CS12" s="231">
        <v>8</v>
      </c>
      <c r="CT12" s="285"/>
      <c r="CU12" s="228">
        <f t="shared" si="50"/>
        <v>11.25</v>
      </c>
      <c r="CV12" s="229">
        <f t="shared" si="51"/>
        <v>3</v>
      </c>
      <c r="CW12" s="232">
        <f t="shared" si="52"/>
        <v>11.25</v>
      </c>
      <c r="CX12" s="233">
        <f t="shared" si="52"/>
        <v>3</v>
      </c>
      <c r="CY12" s="231">
        <v>10</v>
      </c>
      <c r="CZ12" s="285"/>
      <c r="DA12" s="234">
        <f t="shared" si="53"/>
        <v>10</v>
      </c>
      <c r="DB12" s="235">
        <f t="shared" si="54"/>
        <v>1</v>
      </c>
      <c r="DC12" s="232">
        <f t="shared" si="55"/>
        <v>10</v>
      </c>
      <c r="DD12" s="233">
        <f t="shared" si="55"/>
        <v>1</v>
      </c>
      <c r="DE12" s="65">
        <f t="shared" si="56"/>
        <v>10.520833333333334</v>
      </c>
      <c r="DF12" s="66">
        <f t="shared" si="57"/>
        <v>30</v>
      </c>
      <c r="DG12" s="31">
        <f t="shared" si="0"/>
        <v>10.196428571428571</v>
      </c>
      <c r="DH12" s="32">
        <f t="shared" si="1"/>
        <v>30</v>
      </c>
      <c r="DI12" s="33">
        <f t="shared" si="2"/>
        <v>10.520833333333334</v>
      </c>
      <c r="DJ12" s="34">
        <f t="shared" si="3"/>
        <v>30</v>
      </c>
      <c r="DK12" s="67">
        <f t="shared" si="4"/>
        <v>10.358630952380953</v>
      </c>
      <c r="DL12" s="35">
        <f t="shared" si="5"/>
        <v>60</v>
      </c>
      <c r="DM12" s="59">
        <f t="shared" si="6"/>
        <v>120</v>
      </c>
      <c r="DN12" s="43" t="str">
        <f t="shared" si="58"/>
        <v>ناجح(ة) دورة2</v>
      </c>
      <c r="DO12" s="44"/>
      <c r="DP12" s="50"/>
      <c r="DQ12" s="46"/>
    </row>
    <row r="13" spans="1:121" s="37" customFormat="1" ht="32.25" customHeight="1" thickBot="1">
      <c r="A13" s="49"/>
      <c r="B13" s="1">
        <f t="shared" si="59"/>
        <v>8</v>
      </c>
      <c r="C13" s="249" t="s">
        <v>124</v>
      </c>
      <c r="D13" s="249" t="s">
        <v>125</v>
      </c>
      <c r="E13" s="47" t="s">
        <v>342</v>
      </c>
      <c r="F13" s="135">
        <v>34433</v>
      </c>
      <c r="G13" s="136" t="s">
        <v>110</v>
      </c>
      <c r="H13" s="131">
        <v>8.4700000000000006</v>
      </c>
      <c r="I13" s="132">
        <v>24</v>
      </c>
      <c r="J13" s="133">
        <v>6.28</v>
      </c>
      <c r="K13" s="134">
        <v>14</v>
      </c>
      <c r="L13" s="53">
        <f t="shared" si="7"/>
        <v>7.375</v>
      </c>
      <c r="M13" s="58">
        <f t="shared" si="8"/>
        <v>38</v>
      </c>
      <c r="N13" s="222">
        <v>13</v>
      </c>
      <c r="O13" s="223">
        <v>7</v>
      </c>
      <c r="P13" s="140"/>
      <c r="Q13" s="228">
        <f t="shared" si="9"/>
        <v>10</v>
      </c>
      <c r="R13" s="229">
        <f t="shared" si="10"/>
        <v>5</v>
      </c>
      <c r="S13" s="241">
        <v>10.5</v>
      </c>
      <c r="T13" s="242">
        <v>3.5</v>
      </c>
      <c r="U13" s="285"/>
      <c r="V13" s="228">
        <f t="shared" si="11"/>
        <v>7</v>
      </c>
      <c r="W13" s="229">
        <f t="shared" si="12"/>
        <v>0</v>
      </c>
      <c r="X13" s="241">
        <v>12</v>
      </c>
      <c r="Y13" s="242">
        <v>5.5</v>
      </c>
      <c r="Z13" s="285">
        <v>11</v>
      </c>
      <c r="AA13" s="228">
        <f t="shared" si="13"/>
        <v>11.5</v>
      </c>
      <c r="AB13" s="229">
        <f t="shared" si="14"/>
        <v>6</v>
      </c>
      <c r="AC13" s="232">
        <f t="shared" si="15"/>
        <v>9.5</v>
      </c>
      <c r="AD13" s="233">
        <f t="shared" si="16"/>
        <v>11</v>
      </c>
      <c r="AE13" s="242">
        <v>8</v>
      </c>
      <c r="AF13" s="285"/>
      <c r="AG13" s="234">
        <f t="shared" si="17"/>
        <v>8</v>
      </c>
      <c r="AH13" s="235">
        <f t="shared" si="18"/>
        <v>0</v>
      </c>
      <c r="AI13" s="241">
        <v>7.75</v>
      </c>
      <c r="AJ13" s="242">
        <v>7.75</v>
      </c>
      <c r="AK13" s="285"/>
      <c r="AL13" s="228">
        <f t="shared" si="19"/>
        <v>7.75</v>
      </c>
      <c r="AM13" s="229">
        <f t="shared" si="20"/>
        <v>0</v>
      </c>
      <c r="AN13" s="241">
        <v>6</v>
      </c>
      <c r="AO13" s="242">
        <v>2.5</v>
      </c>
      <c r="AP13" s="285"/>
      <c r="AQ13" s="228">
        <f t="shared" si="21"/>
        <v>4.25</v>
      </c>
      <c r="AR13" s="229">
        <f t="shared" si="22"/>
        <v>0</v>
      </c>
      <c r="AS13" s="236">
        <f t="shared" si="23"/>
        <v>6.4</v>
      </c>
      <c r="AT13" s="237">
        <f t="shared" si="24"/>
        <v>0</v>
      </c>
      <c r="AU13" s="241">
        <v>2</v>
      </c>
      <c r="AV13" s="242">
        <v>1</v>
      </c>
      <c r="AW13" s="285">
        <v>4</v>
      </c>
      <c r="AX13" s="228">
        <f t="shared" si="25"/>
        <v>3</v>
      </c>
      <c r="AY13" s="229">
        <f t="shared" si="26"/>
        <v>0</v>
      </c>
      <c r="AZ13" s="242">
        <v>4</v>
      </c>
      <c r="BA13" s="285">
        <v>5</v>
      </c>
      <c r="BB13" s="234">
        <f t="shared" si="27"/>
        <v>5</v>
      </c>
      <c r="BC13" s="235">
        <f t="shared" si="28"/>
        <v>0</v>
      </c>
      <c r="BD13" s="236">
        <f t="shared" si="29"/>
        <v>4</v>
      </c>
      <c r="BE13" s="237">
        <f t="shared" si="30"/>
        <v>0</v>
      </c>
      <c r="BF13" s="241">
        <v>8</v>
      </c>
      <c r="BG13" s="242">
        <v>3.5</v>
      </c>
      <c r="BH13" s="285"/>
      <c r="BI13" s="228">
        <f t="shared" si="31"/>
        <v>5.75</v>
      </c>
      <c r="BJ13" s="229">
        <f t="shared" si="32"/>
        <v>0</v>
      </c>
      <c r="BK13" s="236">
        <f t="shared" si="33"/>
        <v>5.75</v>
      </c>
      <c r="BL13" s="237">
        <f t="shared" si="33"/>
        <v>0</v>
      </c>
      <c r="BM13" s="239">
        <f t="shared" si="34"/>
        <v>7.3392857142857144</v>
      </c>
      <c r="BN13" s="240">
        <f t="shared" si="35"/>
        <v>11</v>
      </c>
      <c r="BO13" s="271">
        <v>12.5</v>
      </c>
      <c r="BP13" s="272">
        <v>3</v>
      </c>
      <c r="BQ13" s="140"/>
      <c r="BR13" s="228">
        <f t="shared" si="36"/>
        <v>7.75</v>
      </c>
      <c r="BS13" s="229">
        <f t="shared" si="37"/>
        <v>0</v>
      </c>
      <c r="BT13" s="241">
        <v>15</v>
      </c>
      <c r="BU13" s="242">
        <v>11.5</v>
      </c>
      <c r="BV13" s="285"/>
      <c r="BW13" s="228">
        <f t="shared" si="38"/>
        <v>13.25</v>
      </c>
      <c r="BX13" s="229">
        <f t="shared" si="39"/>
        <v>6</v>
      </c>
      <c r="BY13" s="241">
        <v>3</v>
      </c>
      <c r="BZ13" s="242">
        <v>0</v>
      </c>
      <c r="CA13" s="285"/>
      <c r="CB13" s="228">
        <f t="shared" si="40"/>
        <v>1.5</v>
      </c>
      <c r="CC13" s="229">
        <f t="shared" si="41"/>
        <v>0</v>
      </c>
      <c r="CD13" s="297">
        <f t="shared" si="42"/>
        <v>8.6999999999999993</v>
      </c>
      <c r="CE13" s="233">
        <f t="shared" si="43"/>
        <v>6</v>
      </c>
      <c r="CF13" s="241">
        <v>6</v>
      </c>
      <c r="CG13" s="242"/>
      <c r="CH13" s="285"/>
      <c r="CI13" s="228">
        <f t="shared" si="44"/>
        <v>3</v>
      </c>
      <c r="CJ13" s="229">
        <f t="shared" si="45"/>
        <v>0</v>
      </c>
      <c r="CK13" s="230">
        <v>11</v>
      </c>
      <c r="CL13" s="231">
        <v>6</v>
      </c>
      <c r="CM13" s="285">
        <v>8</v>
      </c>
      <c r="CN13" s="228">
        <f t="shared" si="46"/>
        <v>9.5</v>
      </c>
      <c r="CO13" s="229">
        <f t="shared" si="47"/>
        <v>0</v>
      </c>
      <c r="CP13" s="232">
        <f t="shared" si="48"/>
        <v>6.25</v>
      </c>
      <c r="CQ13" s="233">
        <f t="shared" si="49"/>
        <v>0</v>
      </c>
      <c r="CR13" s="230">
        <v>14</v>
      </c>
      <c r="CS13" s="231">
        <v>4.75</v>
      </c>
      <c r="CT13" s="285"/>
      <c r="CU13" s="228">
        <f t="shared" si="50"/>
        <v>9.375</v>
      </c>
      <c r="CV13" s="229">
        <f t="shared" si="51"/>
        <v>0</v>
      </c>
      <c r="CW13" s="232">
        <f t="shared" si="52"/>
        <v>9.375</v>
      </c>
      <c r="CX13" s="233">
        <f t="shared" si="52"/>
        <v>0</v>
      </c>
      <c r="CY13" s="231">
        <v>6</v>
      </c>
      <c r="CZ13" s="285"/>
      <c r="DA13" s="234">
        <f t="shared" si="53"/>
        <v>6</v>
      </c>
      <c r="DB13" s="235">
        <f t="shared" si="54"/>
        <v>0</v>
      </c>
      <c r="DC13" s="232">
        <f t="shared" si="55"/>
        <v>6</v>
      </c>
      <c r="DD13" s="233">
        <f t="shared" si="55"/>
        <v>0</v>
      </c>
      <c r="DE13" s="65">
        <f t="shared" si="56"/>
        <v>7.770833333333333</v>
      </c>
      <c r="DF13" s="66">
        <f t="shared" si="57"/>
        <v>6</v>
      </c>
      <c r="DG13" s="31">
        <f t="shared" si="0"/>
        <v>7.3392857142857144</v>
      </c>
      <c r="DH13" s="32">
        <f t="shared" si="1"/>
        <v>11</v>
      </c>
      <c r="DI13" s="33">
        <f t="shared" si="2"/>
        <v>7.770833333333333</v>
      </c>
      <c r="DJ13" s="34">
        <f t="shared" si="3"/>
        <v>6</v>
      </c>
      <c r="DK13" s="67">
        <f t="shared" si="4"/>
        <v>7.5550595238095237</v>
      </c>
      <c r="DL13" s="35">
        <f t="shared" si="5"/>
        <v>17</v>
      </c>
      <c r="DM13" s="59">
        <f t="shared" si="6"/>
        <v>55</v>
      </c>
      <c r="DN13" s="43" t="str">
        <f t="shared" si="58"/>
        <v>راسب(ة)</v>
      </c>
      <c r="DO13" s="44"/>
      <c r="DP13" s="50"/>
      <c r="DQ13" s="46"/>
    </row>
    <row r="14" spans="1:121" s="37" customFormat="1" ht="32.25" customHeight="1" thickBot="1">
      <c r="A14" s="49"/>
      <c r="B14" s="1">
        <f t="shared" si="59"/>
        <v>9</v>
      </c>
      <c r="C14" s="249" t="s">
        <v>126</v>
      </c>
      <c r="D14" s="249" t="s">
        <v>127</v>
      </c>
      <c r="E14" s="47" t="s">
        <v>343</v>
      </c>
      <c r="F14" s="135">
        <v>35352</v>
      </c>
      <c r="G14" s="136" t="s">
        <v>110</v>
      </c>
      <c r="H14" s="131">
        <v>5.31</v>
      </c>
      <c r="I14" s="132">
        <v>16</v>
      </c>
      <c r="J14" s="133">
        <v>6.36</v>
      </c>
      <c r="K14" s="134">
        <v>15</v>
      </c>
      <c r="L14" s="53">
        <f t="shared" si="7"/>
        <v>5.835</v>
      </c>
      <c r="M14" s="58">
        <f t="shared" si="8"/>
        <v>31</v>
      </c>
      <c r="N14" s="222">
        <v>13</v>
      </c>
      <c r="O14" s="223">
        <v>7</v>
      </c>
      <c r="P14" s="140"/>
      <c r="Q14" s="228">
        <f t="shared" si="9"/>
        <v>10</v>
      </c>
      <c r="R14" s="229">
        <f t="shared" si="10"/>
        <v>5</v>
      </c>
      <c r="S14" s="241">
        <v>11.5</v>
      </c>
      <c r="T14" s="242">
        <v>2.5</v>
      </c>
      <c r="U14" s="285"/>
      <c r="V14" s="228">
        <f t="shared" si="11"/>
        <v>7</v>
      </c>
      <c r="W14" s="229">
        <f t="shared" si="12"/>
        <v>0</v>
      </c>
      <c r="X14" s="241">
        <v>7</v>
      </c>
      <c r="Y14" s="242">
        <v>3</v>
      </c>
      <c r="Z14" s="285"/>
      <c r="AA14" s="228">
        <f t="shared" si="13"/>
        <v>5</v>
      </c>
      <c r="AB14" s="229">
        <f t="shared" si="14"/>
        <v>0</v>
      </c>
      <c r="AC14" s="232">
        <f t="shared" si="15"/>
        <v>7.333333333333333</v>
      </c>
      <c r="AD14" s="233">
        <f t="shared" si="16"/>
        <v>5</v>
      </c>
      <c r="AE14" s="242">
        <v>7</v>
      </c>
      <c r="AF14" s="285"/>
      <c r="AG14" s="234">
        <f t="shared" si="17"/>
        <v>7</v>
      </c>
      <c r="AH14" s="235">
        <f t="shared" si="18"/>
        <v>0</v>
      </c>
      <c r="AI14" s="241">
        <v>8.5</v>
      </c>
      <c r="AJ14" s="242">
        <v>8.5</v>
      </c>
      <c r="AK14" s="285"/>
      <c r="AL14" s="228">
        <f t="shared" si="19"/>
        <v>8.5</v>
      </c>
      <c r="AM14" s="229">
        <f t="shared" si="20"/>
        <v>0</v>
      </c>
      <c r="AN14" s="241">
        <v>6</v>
      </c>
      <c r="AO14" s="242">
        <v>0</v>
      </c>
      <c r="AP14" s="285"/>
      <c r="AQ14" s="228">
        <f t="shared" si="21"/>
        <v>3</v>
      </c>
      <c r="AR14" s="229">
        <f t="shared" si="22"/>
        <v>0</v>
      </c>
      <c r="AS14" s="236">
        <f t="shared" si="23"/>
        <v>6</v>
      </c>
      <c r="AT14" s="237">
        <f t="shared" si="24"/>
        <v>0</v>
      </c>
      <c r="AU14" s="241">
        <v>1</v>
      </c>
      <c r="AV14" s="242">
        <v>0</v>
      </c>
      <c r="AW14" s="285"/>
      <c r="AX14" s="228">
        <f t="shared" si="25"/>
        <v>0.5</v>
      </c>
      <c r="AY14" s="229">
        <f t="shared" si="26"/>
        <v>0</v>
      </c>
      <c r="AZ14" s="242">
        <v>3</v>
      </c>
      <c r="BA14" s="285"/>
      <c r="BB14" s="234">
        <f t="shared" si="27"/>
        <v>3</v>
      </c>
      <c r="BC14" s="235">
        <f t="shared" si="28"/>
        <v>0</v>
      </c>
      <c r="BD14" s="236">
        <f t="shared" si="29"/>
        <v>1.75</v>
      </c>
      <c r="BE14" s="237">
        <f t="shared" si="30"/>
        <v>0</v>
      </c>
      <c r="BF14" s="241">
        <v>8.75</v>
      </c>
      <c r="BG14" s="242">
        <v>7.5</v>
      </c>
      <c r="BH14" s="285"/>
      <c r="BI14" s="228">
        <f t="shared" si="31"/>
        <v>8.125</v>
      </c>
      <c r="BJ14" s="229">
        <f t="shared" si="32"/>
        <v>0</v>
      </c>
      <c r="BK14" s="236">
        <f t="shared" si="33"/>
        <v>8.125</v>
      </c>
      <c r="BL14" s="237">
        <f t="shared" si="33"/>
        <v>0</v>
      </c>
      <c r="BM14" s="239">
        <f t="shared" si="34"/>
        <v>6.1160714285714288</v>
      </c>
      <c r="BN14" s="240">
        <f t="shared" si="35"/>
        <v>5</v>
      </c>
      <c r="BO14" s="271">
        <v>10</v>
      </c>
      <c r="BP14" s="272">
        <v>2.5</v>
      </c>
      <c r="BQ14" s="140"/>
      <c r="BR14" s="228">
        <f t="shared" si="36"/>
        <v>6.25</v>
      </c>
      <c r="BS14" s="229">
        <f t="shared" si="37"/>
        <v>0</v>
      </c>
      <c r="BT14" s="241">
        <v>12.5</v>
      </c>
      <c r="BU14" s="242">
        <v>7.5</v>
      </c>
      <c r="BV14" s="285"/>
      <c r="BW14" s="228">
        <f t="shared" si="38"/>
        <v>10</v>
      </c>
      <c r="BX14" s="229">
        <f t="shared" si="39"/>
        <v>6</v>
      </c>
      <c r="BY14" s="241">
        <v>2</v>
      </c>
      <c r="BZ14" s="242">
        <v>0</v>
      </c>
      <c r="CA14" s="285"/>
      <c r="CB14" s="228">
        <f t="shared" si="40"/>
        <v>1</v>
      </c>
      <c r="CC14" s="229">
        <f t="shared" si="41"/>
        <v>0</v>
      </c>
      <c r="CD14" s="297">
        <f t="shared" si="42"/>
        <v>6.7</v>
      </c>
      <c r="CE14" s="233">
        <f t="shared" si="43"/>
        <v>6</v>
      </c>
      <c r="CF14" s="241">
        <v>3</v>
      </c>
      <c r="CG14" s="242">
        <v>6</v>
      </c>
      <c r="CH14" s="285"/>
      <c r="CI14" s="228">
        <f t="shared" si="44"/>
        <v>4.5</v>
      </c>
      <c r="CJ14" s="229">
        <f t="shared" si="45"/>
        <v>0</v>
      </c>
      <c r="CK14" s="230">
        <v>6</v>
      </c>
      <c r="CL14" s="231">
        <v>1.5</v>
      </c>
      <c r="CM14" s="285"/>
      <c r="CN14" s="228">
        <f t="shared" si="46"/>
        <v>3.75</v>
      </c>
      <c r="CO14" s="229">
        <f t="shared" si="47"/>
        <v>0</v>
      </c>
      <c r="CP14" s="232">
        <f t="shared" si="48"/>
        <v>4.125</v>
      </c>
      <c r="CQ14" s="233">
        <f t="shared" si="49"/>
        <v>0</v>
      </c>
      <c r="CR14" s="230">
        <v>12</v>
      </c>
      <c r="CS14" s="231">
        <v>2.5</v>
      </c>
      <c r="CT14" s="285"/>
      <c r="CU14" s="228">
        <f t="shared" si="50"/>
        <v>7.25</v>
      </c>
      <c r="CV14" s="229">
        <f t="shared" si="51"/>
        <v>0</v>
      </c>
      <c r="CW14" s="232">
        <f t="shared" si="52"/>
        <v>7.25</v>
      </c>
      <c r="CX14" s="233">
        <f t="shared" si="52"/>
        <v>0</v>
      </c>
      <c r="CY14" s="231">
        <v>5</v>
      </c>
      <c r="CZ14" s="285"/>
      <c r="DA14" s="234">
        <f t="shared" si="53"/>
        <v>5</v>
      </c>
      <c r="DB14" s="235">
        <f t="shared" si="54"/>
        <v>0</v>
      </c>
      <c r="DC14" s="232">
        <f t="shared" si="55"/>
        <v>5</v>
      </c>
      <c r="DD14" s="233">
        <f t="shared" si="55"/>
        <v>0</v>
      </c>
      <c r="DE14" s="65">
        <f t="shared" si="56"/>
        <v>5.791666666666667</v>
      </c>
      <c r="DF14" s="66">
        <f t="shared" si="57"/>
        <v>6</v>
      </c>
      <c r="DG14" s="31">
        <f t="shared" si="0"/>
        <v>6.1160714285714288</v>
      </c>
      <c r="DH14" s="32">
        <f t="shared" si="1"/>
        <v>5</v>
      </c>
      <c r="DI14" s="33">
        <f t="shared" si="2"/>
        <v>5.791666666666667</v>
      </c>
      <c r="DJ14" s="34">
        <f t="shared" si="3"/>
        <v>6</v>
      </c>
      <c r="DK14" s="67">
        <f t="shared" si="4"/>
        <v>5.9538690476190474</v>
      </c>
      <c r="DL14" s="35">
        <f t="shared" si="5"/>
        <v>11</v>
      </c>
      <c r="DM14" s="59">
        <f t="shared" si="6"/>
        <v>42</v>
      </c>
      <c r="DN14" s="43" t="str">
        <f t="shared" si="58"/>
        <v>راسب(ة)</v>
      </c>
      <c r="DO14" s="44"/>
      <c r="DP14" s="50"/>
      <c r="DQ14" s="46"/>
    </row>
    <row r="15" spans="1:121" s="37" customFormat="1" ht="32.25" customHeight="1" thickBot="1">
      <c r="A15" s="49"/>
      <c r="B15" s="1">
        <f t="shared" si="59"/>
        <v>10</v>
      </c>
      <c r="C15" s="249" t="s">
        <v>128</v>
      </c>
      <c r="D15" s="249" t="s">
        <v>129</v>
      </c>
      <c r="E15" s="47" t="s">
        <v>387</v>
      </c>
      <c r="F15" s="135">
        <v>35622</v>
      </c>
      <c r="G15" s="136" t="s">
        <v>110</v>
      </c>
      <c r="H15" s="131">
        <v>11.72</v>
      </c>
      <c r="I15" s="132">
        <v>30</v>
      </c>
      <c r="J15" s="133">
        <v>10.33</v>
      </c>
      <c r="K15" s="134">
        <v>30</v>
      </c>
      <c r="L15" s="53">
        <f t="shared" si="7"/>
        <v>11.025</v>
      </c>
      <c r="M15" s="58">
        <f t="shared" si="8"/>
        <v>60</v>
      </c>
      <c r="N15" s="224"/>
      <c r="O15" s="225"/>
      <c r="P15" s="140"/>
      <c r="Q15" s="228">
        <f t="shared" si="9"/>
        <v>0</v>
      </c>
      <c r="R15" s="229">
        <f t="shared" si="10"/>
        <v>0</v>
      </c>
      <c r="S15" s="243"/>
      <c r="T15" s="244"/>
      <c r="U15" s="285"/>
      <c r="V15" s="228">
        <f t="shared" si="11"/>
        <v>0</v>
      </c>
      <c r="W15" s="229">
        <f t="shared" si="12"/>
        <v>0</v>
      </c>
      <c r="X15" s="247"/>
      <c r="Y15" s="248"/>
      <c r="Z15" s="285"/>
      <c r="AA15" s="228">
        <f t="shared" si="13"/>
        <v>0</v>
      </c>
      <c r="AB15" s="229">
        <f t="shared" si="14"/>
        <v>0</v>
      </c>
      <c r="AC15" s="232">
        <f t="shared" si="15"/>
        <v>0</v>
      </c>
      <c r="AD15" s="233">
        <f t="shared" si="16"/>
        <v>0</v>
      </c>
      <c r="AE15" s="248"/>
      <c r="AF15" s="285"/>
      <c r="AG15" s="234">
        <f t="shared" si="17"/>
        <v>0</v>
      </c>
      <c r="AH15" s="235">
        <f t="shared" si="18"/>
        <v>0</v>
      </c>
      <c r="AI15" s="247"/>
      <c r="AJ15" s="248"/>
      <c r="AK15" s="285"/>
      <c r="AL15" s="228">
        <f t="shared" si="19"/>
        <v>0</v>
      </c>
      <c r="AM15" s="229">
        <f t="shared" si="20"/>
        <v>0</v>
      </c>
      <c r="AN15" s="247"/>
      <c r="AO15" s="248"/>
      <c r="AP15" s="285"/>
      <c r="AQ15" s="228">
        <f t="shared" si="21"/>
        <v>0</v>
      </c>
      <c r="AR15" s="229">
        <f t="shared" si="22"/>
        <v>0</v>
      </c>
      <c r="AS15" s="236">
        <f t="shared" si="23"/>
        <v>0</v>
      </c>
      <c r="AT15" s="237">
        <f t="shared" si="24"/>
        <v>0</v>
      </c>
      <c r="AU15" s="245">
        <v>5.5</v>
      </c>
      <c r="AV15" s="242">
        <v>5.5</v>
      </c>
      <c r="AW15" s="285"/>
      <c r="AX15" s="228">
        <f t="shared" si="25"/>
        <v>5.5</v>
      </c>
      <c r="AY15" s="229">
        <f t="shared" si="26"/>
        <v>0</v>
      </c>
      <c r="AZ15" s="242">
        <v>0</v>
      </c>
      <c r="BA15" s="285"/>
      <c r="BB15" s="234">
        <f t="shared" si="27"/>
        <v>0</v>
      </c>
      <c r="BC15" s="235">
        <f t="shared" si="28"/>
        <v>0</v>
      </c>
      <c r="BD15" s="236">
        <f t="shared" si="29"/>
        <v>2.75</v>
      </c>
      <c r="BE15" s="237">
        <f t="shared" si="30"/>
        <v>0</v>
      </c>
      <c r="BF15" s="245">
        <v>10.5</v>
      </c>
      <c r="BG15" s="246">
        <v>10.5</v>
      </c>
      <c r="BH15" s="285"/>
      <c r="BI15" s="228">
        <f t="shared" si="31"/>
        <v>10.5</v>
      </c>
      <c r="BJ15" s="229">
        <f t="shared" si="32"/>
        <v>1</v>
      </c>
      <c r="BK15" s="236">
        <f t="shared" si="33"/>
        <v>10.5</v>
      </c>
      <c r="BL15" s="237">
        <f t="shared" si="33"/>
        <v>1</v>
      </c>
      <c r="BM15" s="239">
        <f t="shared" si="34"/>
        <v>1.1428571428571428</v>
      </c>
      <c r="BN15" s="240">
        <f t="shared" si="35"/>
        <v>1</v>
      </c>
      <c r="BO15" s="273"/>
      <c r="BP15" s="274"/>
      <c r="BQ15" s="140"/>
      <c r="BR15" s="228">
        <f t="shared" si="36"/>
        <v>0</v>
      </c>
      <c r="BS15" s="229">
        <f t="shared" si="37"/>
        <v>0</v>
      </c>
      <c r="BT15" s="282"/>
      <c r="BU15" s="283"/>
      <c r="BV15" s="285"/>
      <c r="BW15" s="228">
        <f t="shared" si="38"/>
        <v>0</v>
      </c>
      <c r="BX15" s="229">
        <f t="shared" si="39"/>
        <v>0</v>
      </c>
      <c r="BY15" s="282"/>
      <c r="BZ15" s="283"/>
      <c r="CA15" s="285"/>
      <c r="CB15" s="228">
        <f t="shared" si="40"/>
        <v>0</v>
      </c>
      <c r="CC15" s="229">
        <f t="shared" si="41"/>
        <v>0</v>
      </c>
      <c r="CD15" s="297">
        <f t="shared" si="42"/>
        <v>0</v>
      </c>
      <c r="CE15" s="233">
        <f t="shared" si="43"/>
        <v>0</v>
      </c>
      <c r="CF15" s="282">
        <v>0</v>
      </c>
      <c r="CG15" s="283"/>
      <c r="CH15" s="285"/>
      <c r="CI15" s="228">
        <f t="shared" si="44"/>
        <v>0</v>
      </c>
      <c r="CJ15" s="229">
        <f t="shared" si="45"/>
        <v>0</v>
      </c>
      <c r="CK15" s="230"/>
      <c r="CL15" s="231"/>
      <c r="CM15" s="285"/>
      <c r="CN15" s="228">
        <f t="shared" si="46"/>
        <v>0</v>
      </c>
      <c r="CO15" s="229">
        <f t="shared" si="47"/>
        <v>0</v>
      </c>
      <c r="CP15" s="232">
        <f t="shared" si="48"/>
        <v>0</v>
      </c>
      <c r="CQ15" s="233">
        <f t="shared" si="49"/>
        <v>0</v>
      </c>
      <c r="CR15" s="230"/>
      <c r="CS15" s="231"/>
      <c r="CT15" s="285"/>
      <c r="CU15" s="228">
        <f t="shared" si="50"/>
        <v>0</v>
      </c>
      <c r="CV15" s="229">
        <f t="shared" si="51"/>
        <v>0</v>
      </c>
      <c r="CW15" s="232">
        <f t="shared" si="52"/>
        <v>0</v>
      </c>
      <c r="CX15" s="233">
        <f t="shared" si="52"/>
        <v>0</v>
      </c>
      <c r="CY15" s="231"/>
      <c r="CZ15" s="285"/>
      <c r="DA15" s="234">
        <f t="shared" si="53"/>
        <v>0</v>
      </c>
      <c r="DB15" s="235">
        <f t="shared" si="54"/>
        <v>0</v>
      </c>
      <c r="DC15" s="232">
        <f t="shared" si="55"/>
        <v>0</v>
      </c>
      <c r="DD15" s="233">
        <f t="shared" si="55"/>
        <v>0</v>
      </c>
      <c r="DE15" s="65">
        <f t="shared" si="56"/>
        <v>0</v>
      </c>
      <c r="DF15" s="66">
        <f t="shared" si="57"/>
        <v>0</v>
      </c>
      <c r="DG15" s="31">
        <f t="shared" si="0"/>
        <v>1.1428571428571428</v>
      </c>
      <c r="DH15" s="32">
        <f t="shared" si="1"/>
        <v>1</v>
      </c>
      <c r="DI15" s="33">
        <f t="shared" si="2"/>
        <v>0</v>
      </c>
      <c r="DJ15" s="34">
        <f t="shared" si="3"/>
        <v>0</v>
      </c>
      <c r="DK15" s="67">
        <f t="shared" si="4"/>
        <v>0.5714285714285714</v>
      </c>
      <c r="DL15" s="35">
        <f t="shared" si="5"/>
        <v>1</v>
      </c>
      <c r="DM15" s="59">
        <f t="shared" si="6"/>
        <v>61</v>
      </c>
      <c r="DN15" s="43" t="s">
        <v>504</v>
      </c>
      <c r="DO15" s="44"/>
      <c r="DP15" s="50"/>
      <c r="DQ15" s="46"/>
    </row>
    <row r="16" spans="1:121" s="37" customFormat="1" ht="32.25" customHeight="1" thickBot="1">
      <c r="A16" s="49"/>
      <c r="B16" s="1">
        <f t="shared" si="59"/>
        <v>11</v>
      </c>
      <c r="C16" s="249" t="s">
        <v>389</v>
      </c>
      <c r="D16" s="249" t="s">
        <v>388</v>
      </c>
      <c r="E16" s="47" t="s">
        <v>344</v>
      </c>
      <c r="F16" s="135">
        <v>34568</v>
      </c>
      <c r="G16" s="136" t="s">
        <v>390</v>
      </c>
      <c r="H16" s="131">
        <v>7.72</v>
      </c>
      <c r="I16" s="132">
        <v>17</v>
      </c>
      <c r="J16" s="133">
        <v>5.32</v>
      </c>
      <c r="K16" s="134">
        <v>14</v>
      </c>
      <c r="L16" s="53">
        <f t="shared" si="7"/>
        <v>6.52</v>
      </c>
      <c r="M16" s="58">
        <f t="shared" si="8"/>
        <v>31</v>
      </c>
      <c r="N16" s="222">
        <v>13</v>
      </c>
      <c r="O16" s="223">
        <v>7</v>
      </c>
      <c r="P16" s="140"/>
      <c r="Q16" s="228">
        <f t="shared" si="9"/>
        <v>10</v>
      </c>
      <c r="R16" s="229">
        <f t="shared" si="10"/>
        <v>5</v>
      </c>
      <c r="S16" s="241">
        <v>9</v>
      </c>
      <c r="T16" s="242">
        <v>2</v>
      </c>
      <c r="U16" s="285"/>
      <c r="V16" s="228">
        <f t="shared" si="11"/>
        <v>5.5</v>
      </c>
      <c r="W16" s="229">
        <f t="shared" si="12"/>
        <v>0</v>
      </c>
      <c r="X16" s="241">
        <v>11</v>
      </c>
      <c r="Y16" s="242">
        <v>4.5</v>
      </c>
      <c r="Z16" s="285"/>
      <c r="AA16" s="228">
        <f t="shared" si="13"/>
        <v>7.75</v>
      </c>
      <c r="AB16" s="229">
        <f t="shared" si="14"/>
        <v>0</v>
      </c>
      <c r="AC16" s="232">
        <f t="shared" si="15"/>
        <v>7.75</v>
      </c>
      <c r="AD16" s="233">
        <f t="shared" si="16"/>
        <v>5</v>
      </c>
      <c r="AE16" s="242">
        <v>8</v>
      </c>
      <c r="AF16" s="285"/>
      <c r="AG16" s="234">
        <f t="shared" si="17"/>
        <v>8</v>
      </c>
      <c r="AH16" s="235">
        <f t="shared" si="18"/>
        <v>0</v>
      </c>
      <c r="AI16" s="241">
        <v>0</v>
      </c>
      <c r="AJ16" s="242">
        <v>0</v>
      </c>
      <c r="AK16" s="285"/>
      <c r="AL16" s="228">
        <f t="shared" si="19"/>
        <v>0</v>
      </c>
      <c r="AM16" s="229">
        <f t="shared" si="20"/>
        <v>0</v>
      </c>
      <c r="AN16" s="241">
        <v>8.5</v>
      </c>
      <c r="AO16" s="242">
        <v>0</v>
      </c>
      <c r="AP16" s="285"/>
      <c r="AQ16" s="228">
        <f t="shared" si="21"/>
        <v>4.25</v>
      </c>
      <c r="AR16" s="229">
        <f t="shared" si="22"/>
        <v>0</v>
      </c>
      <c r="AS16" s="236">
        <f t="shared" si="23"/>
        <v>3.3</v>
      </c>
      <c r="AT16" s="237">
        <f t="shared" si="24"/>
        <v>0</v>
      </c>
      <c r="AU16" s="241">
        <v>4</v>
      </c>
      <c r="AV16" s="242">
        <v>1</v>
      </c>
      <c r="AW16" s="285">
        <v>4</v>
      </c>
      <c r="AX16" s="228">
        <f t="shared" si="25"/>
        <v>4</v>
      </c>
      <c r="AY16" s="229">
        <f t="shared" si="26"/>
        <v>0</v>
      </c>
      <c r="AZ16" s="242">
        <v>8</v>
      </c>
      <c r="BA16" s="285"/>
      <c r="BB16" s="234">
        <f t="shared" si="27"/>
        <v>8</v>
      </c>
      <c r="BC16" s="235">
        <f t="shared" si="28"/>
        <v>0</v>
      </c>
      <c r="BD16" s="236">
        <f t="shared" si="29"/>
        <v>6</v>
      </c>
      <c r="BE16" s="237">
        <f t="shared" si="30"/>
        <v>0</v>
      </c>
      <c r="BF16" s="241">
        <v>8</v>
      </c>
      <c r="BG16" s="242">
        <v>1.5</v>
      </c>
      <c r="BH16" s="285">
        <v>10</v>
      </c>
      <c r="BI16" s="228">
        <f t="shared" si="31"/>
        <v>9</v>
      </c>
      <c r="BJ16" s="229">
        <f t="shared" si="32"/>
        <v>0</v>
      </c>
      <c r="BK16" s="236">
        <f t="shared" si="33"/>
        <v>9</v>
      </c>
      <c r="BL16" s="237">
        <f t="shared" si="33"/>
        <v>0</v>
      </c>
      <c r="BM16" s="239">
        <f t="shared" si="34"/>
        <v>6</v>
      </c>
      <c r="BN16" s="240">
        <f t="shared" si="35"/>
        <v>5</v>
      </c>
      <c r="BO16" s="271">
        <v>9</v>
      </c>
      <c r="BP16" s="272">
        <v>3.5</v>
      </c>
      <c r="BQ16" s="140"/>
      <c r="BR16" s="228">
        <f t="shared" si="36"/>
        <v>6.25</v>
      </c>
      <c r="BS16" s="229">
        <f t="shared" si="37"/>
        <v>0</v>
      </c>
      <c r="BT16" s="241">
        <v>11</v>
      </c>
      <c r="BU16" s="242">
        <v>11.5</v>
      </c>
      <c r="BV16" s="285"/>
      <c r="BW16" s="228">
        <f t="shared" si="38"/>
        <v>11.25</v>
      </c>
      <c r="BX16" s="229">
        <f t="shared" si="39"/>
        <v>6</v>
      </c>
      <c r="BY16" s="241">
        <v>3</v>
      </c>
      <c r="BZ16" s="242">
        <v>0</v>
      </c>
      <c r="CA16" s="285"/>
      <c r="CB16" s="228">
        <f t="shared" si="40"/>
        <v>1.5</v>
      </c>
      <c r="CC16" s="229">
        <f t="shared" si="41"/>
        <v>0</v>
      </c>
      <c r="CD16" s="297">
        <f t="shared" si="42"/>
        <v>7.3</v>
      </c>
      <c r="CE16" s="233">
        <f t="shared" si="43"/>
        <v>6</v>
      </c>
      <c r="CF16" s="241">
        <v>6</v>
      </c>
      <c r="CG16" s="242">
        <v>8.25</v>
      </c>
      <c r="CH16" s="285"/>
      <c r="CI16" s="228">
        <f t="shared" si="44"/>
        <v>7.125</v>
      </c>
      <c r="CJ16" s="229">
        <f t="shared" si="45"/>
        <v>0</v>
      </c>
      <c r="CK16" s="230">
        <v>9</v>
      </c>
      <c r="CL16" s="231">
        <v>0</v>
      </c>
      <c r="CM16" s="285"/>
      <c r="CN16" s="228">
        <f t="shared" si="46"/>
        <v>4.5</v>
      </c>
      <c r="CO16" s="229">
        <f t="shared" si="47"/>
        <v>0</v>
      </c>
      <c r="CP16" s="232">
        <f t="shared" si="48"/>
        <v>5.8125</v>
      </c>
      <c r="CQ16" s="233">
        <f t="shared" si="49"/>
        <v>0</v>
      </c>
      <c r="CR16" s="230">
        <v>13.5</v>
      </c>
      <c r="CS16" s="231">
        <v>1</v>
      </c>
      <c r="CT16" s="285"/>
      <c r="CU16" s="228">
        <f t="shared" si="50"/>
        <v>7.25</v>
      </c>
      <c r="CV16" s="229">
        <f t="shared" si="51"/>
        <v>0</v>
      </c>
      <c r="CW16" s="232">
        <f t="shared" si="52"/>
        <v>7.25</v>
      </c>
      <c r="CX16" s="233">
        <f t="shared" si="52"/>
        <v>0</v>
      </c>
      <c r="CY16" s="231">
        <v>3</v>
      </c>
      <c r="CZ16" s="285"/>
      <c r="DA16" s="234">
        <f t="shared" si="53"/>
        <v>3</v>
      </c>
      <c r="DB16" s="235">
        <f t="shared" si="54"/>
        <v>0</v>
      </c>
      <c r="DC16" s="232">
        <f t="shared" si="55"/>
        <v>3</v>
      </c>
      <c r="DD16" s="233">
        <f t="shared" si="55"/>
        <v>0</v>
      </c>
      <c r="DE16" s="65">
        <f t="shared" si="56"/>
        <v>6.4375</v>
      </c>
      <c r="DF16" s="66">
        <f t="shared" si="57"/>
        <v>6</v>
      </c>
      <c r="DG16" s="31">
        <f t="shared" si="0"/>
        <v>6</v>
      </c>
      <c r="DH16" s="32">
        <f t="shared" si="1"/>
        <v>5</v>
      </c>
      <c r="DI16" s="33">
        <f t="shared" si="2"/>
        <v>6.4375</v>
      </c>
      <c r="DJ16" s="34">
        <f t="shared" si="3"/>
        <v>6</v>
      </c>
      <c r="DK16" s="67">
        <f t="shared" si="4"/>
        <v>6.21875</v>
      </c>
      <c r="DL16" s="35">
        <f t="shared" si="5"/>
        <v>11</v>
      </c>
      <c r="DM16" s="59">
        <f t="shared" si="6"/>
        <v>42</v>
      </c>
      <c r="DN16" s="43" t="str">
        <f t="shared" si="58"/>
        <v>راسب(ة)</v>
      </c>
      <c r="DO16" s="44"/>
      <c r="DP16" s="51"/>
      <c r="DQ16" s="46"/>
    </row>
    <row r="17" spans="1:121" s="37" customFormat="1" ht="32.25" customHeight="1" thickBot="1">
      <c r="A17" s="49"/>
      <c r="B17" s="1">
        <f t="shared" si="59"/>
        <v>12</v>
      </c>
      <c r="C17" s="249" t="s">
        <v>130</v>
      </c>
      <c r="D17" s="249" t="s">
        <v>131</v>
      </c>
      <c r="E17" s="47" t="s">
        <v>345</v>
      </c>
      <c r="F17" s="135">
        <v>35047</v>
      </c>
      <c r="G17" s="52" t="s">
        <v>110</v>
      </c>
      <c r="H17" s="131">
        <v>7.75</v>
      </c>
      <c r="I17" s="132">
        <v>24</v>
      </c>
      <c r="J17" s="133">
        <v>5.18</v>
      </c>
      <c r="K17" s="134">
        <v>11</v>
      </c>
      <c r="L17" s="53">
        <f t="shared" si="7"/>
        <v>6.4649999999999999</v>
      </c>
      <c r="M17" s="58">
        <f t="shared" si="8"/>
        <v>35</v>
      </c>
      <c r="N17" s="222">
        <v>13</v>
      </c>
      <c r="O17" s="223">
        <v>7</v>
      </c>
      <c r="P17" s="140"/>
      <c r="Q17" s="228">
        <f t="shared" si="9"/>
        <v>10</v>
      </c>
      <c r="R17" s="229">
        <f t="shared" si="10"/>
        <v>5</v>
      </c>
      <c r="S17" s="241">
        <v>10.5</v>
      </c>
      <c r="T17" s="242">
        <v>1</v>
      </c>
      <c r="U17" s="285">
        <v>6.75</v>
      </c>
      <c r="V17" s="228">
        <f t="shared" si="11"/>
        <v>8.625</v>
      </c>
      <c r="W17" s="229">
        <f t="shared" si="12"/>
        <v>0</v>
      </c>
      <c r="X17" s="241">
        <v>11</v>
      </c>
      <c r="Y17" s="242"/>
      <c r="Z17" s="285">
        <v>9</v>
      </c>
      <c r="AA17" s="228">
        <f t="shared" si="13"/>
        <v>10</v>
      </c>
      <c r="AB17" s="229">
        <f t="shared" si="14"/>
        <v>6</v>
      </c>
      <c r="AC17" s="232">
        <f t="shared" si="15"/>
        <v>9.5416666666666661</v>
      </c>
      <c r="AD17" s="233">
        <f t="shared" si="16"/>
        <v>11</v>
      </c>
      <c r="AE17" s="242">
        <v>1</v>
      </c>
      <c r="AF17" s="285">
        <v>10</v>
      </c>
      <c r="AG17" s="234">
        <f t="shared" si="17"/>
        <v>10</v>
      </c>
      <c r="AH17" s="235">
        <f t="shared" si="18"/>
        <v>1</v>
      </c>
      <c r="AI17" s="241">
        <v>13</v>
      </c>
      <c r="AJ17" s="242">
        <v>9</v>
      </c>
      <c r="AK17" s="285">
        <v>13</v>
      </c>
      <c r="AL17" s="228">
        <f t="shared" si="19"/>
        <v>13</v>
      </c>
      <c r="AM17" s="229">
        <f t="shared" si="20"/>
        <v>3</v>
      </c>
      <c r="AN17" s="241">
        <v>6</v>
      </c>
      <c r="AO17" s="242">
        <v>0.5</v>
      </c>
      <c r="AP17" s="285">
        <v>6</v>
      </c>
      <c r="AQ17" s="228">
        <f t="shared" si="21"/>
        <v>6</v>
      </c>
      <c r="AR17" s="229">
        <f t="shared" si="22"/>
        <v>0</v>
      </c>
      <c r="AS17" s="236">
        <f t="shared" si="23"/>
        <v>9.6</v>
      </c>
      <c r="AT17" s="237">
        <f t="shared" si="24"/>
        <v>4</v>
      </c>
      <c r="AU17" s="241">
        <v>10</v>
      </c>
      <c r="AV17" s="242">
        <v>1</v>
      </c>
      <c r="AW17" s="285"/>
      <c r="AX17" s="228">
        <f t="shared" si="25"/>
        <v>5.5</v>
      </c>
      <c r="AY17" s="229">
        <f t="shared" si="26"/>
        <v>0</v>
      </c>
      <c r="AZ17" s="242">
        <v>16.5</v>
      </c>
      <c r="BA17" s="285"/>
      <c r="BB17" s="234">
        <f t="shared" si="27"/>
        <v>16.5</v>
      </c>
      <c r="BC17" s="235">
        <f t="shared" si="28"/>
        <v>1</v>
      </c>
      <c r="BD17" s="236">
        <f t="shared" si="29"/>
        <v>11</v>
      </c>
      <c r="BE17" s="237">
        <f t="shared" si="30"/>
        <v>5</v>
      </c>
      <c r="BF17" s="241">
        <v>9.5</v>
      </c>
      <c r="BG17" s="242">
        <v>11</v>
      </c>
      <c r="BH17" s="285"/>
      <c r="BI17" s="228">
        <f t="shared" si="31"/>
        <v>10.25</v>
      </c>
      <c r="BJ17" s="229">
        <f t="shared" si="32"/>
        <v>1</v>
      </c>
      <c r="BK17" s="236">
        <f t="shared" si="33"/>
        <v>10.25</v>
      </c>
      <c r="BL17" s="237">
        <f t="shared" si="33"/>
        <v>1</v>
      </c>
      <c r="BM17" s="239">
        <f t="shared" si="34"/>
        <v>9.8214285714285712</v>
      </c>
      <c r="BN17" s="240">
        <f t="shared" si="35"/>
        <v>21</v>
      </c>
      <c r="BO17" s="271">
        <v>11</v>
      </c>
      <c r="BP17" s="272">
        <v>4.5</v>
      </c>
      <c r="BQ17" s="140">
        <v>10</v>
      </c>
      <c r="BR17" s="228">
        <f t="shared" si="36"/>
        <v>10.5</v>
      </c>
      <c r="BS17" s="229">
        <f t="shared" si="37"/>
        <v>6</v>
      </c>
      <c r="BT17" s="241">
        <v>12.5</v>
      </c>
      <c r="BU17" s="242">
        <v>5.5</v>
      </c>
      <c r="BV17" s="285">
        <v>14</v>
      </c>
      <c r="BW17" s="228">
        <f t="shared" si="38"/>
        <v>13.25</v>
      </c>
      <c r="BX17" s="229">
        <f t="shared" si="39"/>
        <v>6</v>
      </c>
      <c r="BY17" s="241">
        <v>2</v>
      </c>
      <c r="BZ17" s="242">
        <v>0</v>
      </c>
      <c r="CA17" s="285">
        <v>2</v>
      </c>
      <c r="CB17" s="228">
        <f t="shared" si="40"/>
        <v>2</v>
      </c>
      <c r="CC17" s="229">
        <f t="shared" si="41"/>
        <v>0</v>
      </c>
      <c r="CD17" s="297">
        <f t="shared" si="42"/>
        <v>9.9</v>
      </c>
      <c r="CE17" s="233">
        <f t="shared" si="43"/>
        <v>12</v>
      </c>
      <c r="CF17" s="241">
        <v>10</v>
      </c>
      <c r="CG17" s="242">
        <v>10</v>
      </c>
      <c r="CH17" s="285"/>
      <c r="CI17" s="228">
        <f t="shared" si="44"/>
        <v>10</v>
      </c>
      <c r="CJ17" s="229">
        <f t="shared" si="45"/>
        <v>5</v>
      </c>
      <c r="CK17" s="230">
        <v>10</v>
      </c>
      <c r="CL17" s="231">
        <v>3.5</v>
      </c>
      <c r="CM17" s="285">
        <v>9</v>
      </c>
      <c r="CN17" s="228">
        <f t="shared" si="46"/>
        <v>9.5</v>
      </c>
      <c r="CO17" s="229">
        <f t="shared" si="47"/>
        <v>0</v>
      </c>
      <c r="CP17" s="232">
        <f t="shared" si="48"/>
        <v>9.75</v>
      </c>
      <c r="CQ17" s="233">
        <f t="shared" si="49"/>
        <v>5</v>
      </c>
      <c r="CR17" s="230">
        <v>16</v>
      </c>
      <c r="CS17" s="231">
        <v>8</v>
      </c>
      <c r="CT17" s="285"/>
      <c r="CU17" s="228">
        <f t="shared" si="50"/>
        <v>12</v>
      </c>
      <c r="CV17" s="229">
        <f t="shared" si="51"/>
        <v>3</v>
      </c>
      <c r="CW17" s="232">
        <f t="shared" si="52"/>
        <v>12</v>
      </c>
      <c r="CX17" s="233">
        <f t="shared" si="52"/>
        <v>3</v>
      </c>
      <c r="CY17" s="231">
        <v>8</v>
      </c>
      <c r="CZ17" s="285">
        <v>10</v>
      </c>
      <c r="DA17" s="234">
        <f t="shared" si="53"/>
        <v>10</v>
      </c>
      <c r="DB17" s="235">
        <f t="shared" si="54"/>
        <v>1</v>
      </c>
      <c r="DC17" s="232">
        <f t="shared" si="55"/>
        <v>10</v>
      </c>
      <c r="DD17" s="233">
        <f t="shared" si="55"/>
        <v>1</v>
      </c>
      <c r="DE17" s="65">
        <f t="shared" si="56"/>
        <v>10.208333333333334</v>
      </c>
      <c r="DF17" s="66">
        <f t="shared" si="57"/>
        <v>30</v>
      </c>
      <c r="DG17" s="31">
        <f t="shared" si="0"/>
        <v>9.8214285714285712</v>
      </c>
      <c r="DH17" s="32">
        <f t="shared" si="1"/>
        <v>30</v>
      </c>
      <c r="DI17" s="33">
        <f t="shared" si="2"/>
        <v>10.208333333333334</v>
      </c>
      <c r="DJ17" s="34">
        <f t="shared" si="3"/>
        <v>30</v>
      </c>
      <c r="DK17" s="67">
        <f t="shared" si="4"/>
        <v>10.014880952380953</v>
      </c>
      <c r="DL17" s="35">
        <f t="shared" si="5"/>
        <v>60</v>
      </c>
      <c r="DM17" s="59">
        <f t="shared" si="6"/>
        <v>95</v>
      </c>
      <c r="DN17" s="43" t="str">
        <f t="shared" si="58"/>
        <v>ناجح(ة)بتأخير</v>
      </c>
      <c r="DO17" s="44"/>
      <c r="DP17" s="50"/>
      <c r="DQ17" s="46"/>
    </row>
    <row r="18" spans="1:121" s="37" customFormat="1" ht="32.25" customHeight="1" thickBot="1">
      <c r="A18" s="49"/>
      <c r="B18" s="1">
        <f t="shared" si="59"/>
        <v>13</v>
      </c>
      <c r="C18" s="249" t="s">
        <v>132</v>
      </c>
      <c r="D18" s="249" t="s">
        <v>392</v>
      </c>
      <c r="E18" s="47" t="s">
        <v>391</v>
      </c>
      <c r="F18" s="135">
        <v>35331</v>
      </c>
      <c r="G18" s="136" t="s">
        <v>110</v>
      </c>
      <c r="H18" s="131">
        <v>9.26</v>
      </c>
      <c r="I18" s="132">
        <v>24</v>
      </c>
      <c r="J18" s="133">
        <v>8.82</v>
      </c>
      <c r="K18" s="134">
        <v>20</v>
      </c>
      <c r="L18" s="53">
        <f t="shared" si="7"/>
        <v>9.0399999999999991</v>
      </c>
      <c r="M18" s="58">
        <f t="shared" si="8"/>
        <v>44</v>
      </c>
      <c r="N18" s="222">
        <v>10.5</v>
      </c>
      <c r="O18" s="223">
        <v>10.5</v>
      </c>
      <c r="P18" s="140"/>
      <c r="Q18" s="228">
        <f t="shared" si="9"/>
        <v>10.5</v>
      </c>
      <c r="R18" s="229">
        <f t="shared" si="10"/>
        <v>5</v>
      </c>
      <c r="S18" s="241">
        <v>10</v>
      </c>
      <c r="T18" s="242">
        <v>10</v>
      </c>
      <c r="U18" s="285"/>
      <c r="V18" s="228">
        <f t="shared" si="11"/>
        <v>10</v>
      </c>
      <c r="W18" s="229">
        <f t="shared" si="12"/>
        <v>6</v>
      </c>
      <c r="X18" s="245">
        <v>10</v>
      </c>
      <c r="Y18" s="246">
        <v>10</v>
      </c>
      <c r="Z18" s="285"/>
      <c r="AA18" s="228">
        <f t="shared" si="13"/>
        <v>10</v>
      </c>
      <c r="AB18" s="229">
        <f t="shared" si="14"/>
        <v>6</v>
      </c>
      <c r="AC18" s="232">
        <f t="shared" si="15"/>
        <v>10.166666666666666</v>
      </c>
      <c r="AD18" s="233">
        <f t="shared" si="16"/>
        <v>17</v>
      </c>
      <c r="AE18" s="242">
        <v>8</v>
      </c>
      <c r="AF18" s="285">
        <v>11.5</v>
      </c>
      <c r="AG18" s="234">
        <f t="shared" si="17"/>
        <v>11.5</v>
      </c>
      <c r="AH18" s="235">
        <f t="shared" si="18"/>
        <v>1</v>
      </c>
      <c r="AI18" s="241">
        <v>10</v>
      </c>
      <c r="AJ18" s="242">
        <v>8.75</v>
      </c>
      <c r="AK18" s="285">
        <v>10</v>
      </c>
      <c r="AL18" s="228">
        <f t="shared" si="19"/>
        <v>10</v>
      </c>
      <c r="AM18" s="229">
        <f t="shared" si="20"/>
        <v>3</v>
      </c>
      <c r="AN18" s="241">
        <v>12</v>
      </c>
      <c r="AO18" s="242">
        <v>1</v>
      </c>
      <c r="AP18" s="285"/>
      <c r="AQ18" s="228">
        <f t="shared" si="21"/>
        <v>6.5</v>
      </c>
      <c r="AR18" s="229">
        <f t="shared" si="22"/>
        <v>0</v>
      </c>
      <c r="AS18" s="236">
        <f t="shared" si="23"/>
        <v>8.9</v>
      </c>
      <c r="AT18" s="237">
        <f t="shared" si="24"/>
        <v>4</v>
      </c>
      <c r="AU18" s="245">
        <v>8.5</v>
      </c>
      <c r="AV18" s="242">
        <v>8.5</v>
      </c>
      <c r="AW18" s="285"/>
      <c r="AX18" s="228">
        <f t="shared" si="25"/>
        <v>8.5</v>
      </c>
      <c r="AY18" s="229">
        <f t="shared" si="26"/>
        <v>0</v>
      </c>
      <c r="AZ18" s="242">
        <v>15</v>
      </c>
      <c r="BA18" s="285"/>
      <c r="BB18" s="234">
        <f t="shared" si="27"/>
        <v>15</v>
      </c>
      <c r="BC18" s="235">
        <f t="shared" si="28"/>
        <v>1</v>
      </c>
      <c r="BD18" s="236">
        <f t="shared" si="29"/>
        <v>11.75</v>
      </c>
      <c r="BE18" s="237">
        <f t="shared" si="30"/>
        <v>5</v>
      </c>
      <c r="BF18" s="241">
        <v>9.5</v>
      </c>
      <c r="BG18" s="242">
        <v>8.5</v>
      </c>
      <c r="BH18" s="285"/>
      <c r="BI18" s="228">
        <f t="shared" si="31"/>
        <v>9</v>
      </c>
      <c r="BJ18" s="229">
        <f t="shared" si="32"/>
        <v>0</v>
      </c>
      <c r="BK18" s="236">
        <f t="shared" si="33"/>
        <v>9</v>
      </c>
      <c r="BL18" s="237">
        <f t="shared" si="33"/>
        <v>0</v>
      </c>
      <c r="BM18" s="239">
        <f t="shared" si="34"/>
        <v>9.8571428571428577</v>
      </c>
      <c r="BN18" s="240">
        <f t="shared" si="35"/>
        <v>26</v>
      </c>
      <c r="BO18" s="271">
        <v>10.5</v>
      </c>
      <c r="BP18" s="272">
        <v>10.5</v>
      </c>
      <c r="BQ18" s="140"/>
      <c r="BR18" s="228">
        <f t="shared" si="36"/>
        <v>10.5</v>
      </c>
      <c r="BS18" s="229">
        <f t="shared" si="37"/>
        <v>6</v>
      </c>
      <c r="BT18" s="241">
        <v>13</v>
      </c>
      <c r="BU18" s="242">
        <v>13</v>
      </c>
      <c r="BV18" s="285"/>
      <c r="BW18" s="228">
        <f t="shared" si="38"/>
        <v>13</v>
      </c>
      <c r="BX18" s="229">
        <f t="shared" si="39"/>
        <v>6</v>
      </c>
      <c r="BY18" s="241">
        <v>7.75</v>
      </c>
      <c r="BZ18" s="242">
        <v>7.75</v>
      </c>
      <c r="CA18" s="285"/>
      <c r="CB18" s="228">
        <f t="shared" si="40"/>
        <v>7.75</v>
      </c>
      <c r="CC18" s="229">
        <f t="shared" si="41"/>
        <v>0</v>
      </c>
      <c r="CD18" s="297">
        <f t="shared" si="42"/>
        <v>10.95</v>
      </c>
      <c r="CE18" s="233">
        <f t="shared" si="43"/>
        <v>16</v>
      </c>
      <c r="CF18" s="241">
        <v>10</v>
      </c>
      <c r="CG18" s="242">
        <v>7.5</v>
      </c>
      <c r="CH18" s="285"/>
      <c r="CI18" s="228">
        <f t="shared" si="44"/>
        <v>8.75</v>
      </c>
      <c r="CJ18" s="229">
        <f t="shared" si="45"/>
        <v>0</v>
      </c>
      <c r="CK18" s="230">
        <v>11</v>
      </c>
      <c r="CL18" s="231">
        <v>6.5</v>
      </c>
      <c r="CM18" s="285"/>
      <c r="CN18" s="228">
        <f t="shared" si="46"/>
        <v>8.75</v>
      </c>
      <c r="CO18" s="229">
        <f t="shared" si="47"/>
        <v>0</v>
      </c>
      <c r="CP18" s="232">
        <f t="shared" si="48"/>
        <v>8.75</v>
      </c>
      <c r="CQ18" s="233">
        <f t="shared" si="49"/>
        <v>0</v>
      </c>
      <c r="CR18" s="230">
        <v>14</v>
      </c>
      <c r="CS18" s="231">
        <v>8.25</v>
      </c>
      <c r="CT18" s="285"/>
      <c r="CU18" s="228">
        <f t="shared" si="50"/>
        <v>11.125</v>
      </c>
      <c r="CV18" s="229">
        <f t="shared" si="51"/>
        <v>3</v>
      </c>
      <c r="CW18" s="232">
        <f t="shared" si="52"/>
        <v>11.125</v>
      </c>
      <c r="CX18" s="233">
        <f t="shared" si="52"/>
        <v>3</v>
      </c>
      <c r="CY18" s="231">
        <v>10</v>
      </c>
      <c r="CZ18" s="285"/>
      <c r="DA18" s="234">
        <f t="shared" si="53"/>
        <v>10</v>
      </c>
      <c r="DB18" s="235">
        <f t="shared" si="54"/>
        <v>1</v>
      </c>
      <c r="DC18" s="232">
        <f t="shared" si="55"/>
        <v>10</v>
      </c>
      <c r="DD18" s="233">
        <f t="shared" si="55"/>
        <v>1</v>
      </c>
      <c r="DE18" s="65">
        <f t="shared" si="56"/>
        <v>10.166666666666666</v>
      </c>
      <c r="DF18" s="66">
        <f t="shared" si="57"/>
        <v>30</v>
      </c>
      <c r="DG18" s="31">
        <f t="shared" si="0"/>
        <v>9.8571428571428577</v>
      </c>
      <c r="DH18" s="32">
        <f t="shared" si="1"/>
        <v>30</v>
      </c>
      <c r="DI18" s="33">
        <f t="shared" si="2"/>
        <v>10.166666666666666</v>
      </c>
      <c r="DJ18" s="34">
        <f t="shared" si="3"/>
        <v>30</v>
      </c>
      <c r="DK18" s="67">
        <f t="shared" si="4"/>
        <v>10.011904761904763</v>
      </c>
      <c r="DL18" s="35">
        <f t="shared" si="5"/>
        <v>60</v>
      </c>
      <c r="DM18" s="59">
        <f t="shared" si="6"/>
        <v>104</v>
      </c>
      <c r="DN18" s="43" t="str">
        <f t="shared" si="58"/>
        <v>ناجح(ة)بتأخير</v>
      </c>
      <c r="DO18" s="44"/>
      <c r="DP18" s="50"/>
      <c r="DQ18" s="46"/>
    </row>
    <row r="19" spans="1:121" s="37" customFormat="1" ht="32.25" customHeight="1" thickBot="1">
      <c r="A19" s="49"/>
      <c r="B19" s="1">
        <f t="shared" si="59"/>
        <v>14</v>
      </c>
      <c r="C19" s="249" t="s">
        <v>133</v>
      </c>
      <c r="D19" s="249" t="s">
        <v>134</v>
      </c>
      <c r="E19" s="47" t="s">
        <v>346</v>
      </c>
      <c r="F19" s="135">
        <v>34117</v>
      </c>
      <c r="G19" s="136" t="s">
        <v>393</v>
      </c>
      <c r="H19" s="131">
        <v>7.09</v>
      </c>
      <c r="I19" s="132">
        <v>20</v>
      </c>
      <c r="J19" s="133">
        <v>6.7</v>
      </c>
      <c r="K19" s="134">
        <v>12</v>
      </c>
      <c r="L19" s="53">
        <f t="shared" si="7"/>
        <v>6.8949999999999996</v>
      </c>
      <c r="M19" s="58">
        <f t="shared" si="8"/>
        <v>32</v>
      </c>
      <c r="N19" s="222">
        <v>13</v>
      </c>
      <c r="O19" s="223">
        <v>15</v>
      </c>
      <c r="P19" s="140"/>
      <c r="Q19" s="228">
        <f t="shared" si="9"/>
        <v>14</v>
      </c>
      <c r="R19" s="229">
        <f t="shared" si="10"/>
        <v>5</v>
      </c>
      <c r="S19" s="241">
        <v>14</v>
      </c>
      <c r="T19" s="242">
        <v>11.75</v>
      </c>
      <c r="U19" s="285"/>
      <c r="V19" s="228">
        <f t="shared" si="11"/>
        <v>12.875</v>
      </c>
      <c r="W19" s="229">
        <f t="shared" si="12"/>
        <v>6</v>
      </c>
      <c r="X19" s="241">
        <v>15</v>
      </c>
      <c r="Y19" s="242">
        <v>8</v>
      </c>
      <c r="Z19" s="285"/>
      <c r="AA19" s="228">
        <f t="shared" si="13"/>
        <v>11.5</v>
      </c>
      <c r="AB19" s="229">
        <f t="shared" si="14"/>
        <v>6</v>
      </c>
      <c r="AC19" s="232">
        <f t="shared" si="15"/>
        <v>12.791666666666666</v>
      </c>
      <c r="AD19" s="233">
        <f t="shared" si="16"/>
        <v>17</v>
      </c>
      <c r="AE19" s="242">
        <v>8</v>
      </c>
      <c r="AF19" s="285">
        <v>10</v>
      </c>
      <c r="AG19" s="234">
        <f t="shared" si="17"/>
        <v>10</v>
      </c>
      <c r="AH19" s="235">
        <f t="shared" si="18"/>
        <v>1</v>
      </c>
      <c r="AI19" s="241">
        <v>11.5</v>
      </c>
      <c r="AJ19" s="242">
        <v>11</v>
      </c>
      <c r="AK19" s="285"/>
      <c r="AL19" s="228">
        <f t="shared" si="19"/>
        <v>11.25</v>
      </c>
      <c r="AM19" s="229">
        <f t="shared" si="20"/>
        <v>3</v>
      </c>
      <c r="AN19" s="241">
        <v>6</v>
      </c>
      <c r="AO19" s="242">
        <v>0.5</v>
      </c>
      <c r="AP19" s="285"/>
      <c r="AQ19" s="228">
        <f t="shared" si="21"/>
        <v>3.25</v>
      </c>
      <c r="AR19" s="229">
        <f t="shared" si="22"/>
        <v>0</v>
      </c>
      <c r="AS19" s="236">
        <f t="shared" si="23"/>
        <v>7.8</v>
      </c>
      <c r="AT19" s="237">
        <f t="shared" si="24"/>
        <v>4</v>
      </c>
      <c r="AU19" s="241">
        <v>3</v>
      </c>
      <c r="AV19" s="242">
        <v>6</v>
      </c>
      <c r="AW19" s="285">
        <v>8</v>
      </c>
      <c r="AX19" s="228">
        <f t="shared" si="25"/>
        <v>5.5</v>
      </c>
      <c r="AY19" s="229">
        <f t="shared" si="26"/>
        <v>0</v>
      </c>
      <c r="AZ19" s="242">
        <v>11</v>
      </c>
      <c r="BA19" s="285"/>
      <c r="BB19" s="234">
        <f t="shared" si="27"/>
        <v>11</v>
      </c>
      <c r="BC19" s="235">
        <f t="shared" si="28"/>
        <v>1</v>
      </c>
      <c r="BD19" s="236">
        <f t="shared" si="29"/>
        <v>8.25</v>
      </c>
      <c r="BE19" s="237">
        <f t="shared" si="30"/>
        <v>1</v>
      </c>
      <c r="BF19" s="241">
        <v>11</v>
      </c>
      <c r="BG19" s="242">
        <v>7.25</v>
      </c>
      <c r="BH19" s="285"/>
      <c r="BI19" s="228">
        <f t="shared" si="31"/>
        <v>9.125</v>
      </c>
      <c r="BJ19" s="229">
        <f t="shared" si="32"/>
        <v>0</v>
      </c>
      <c r="BK19" s="236">
        <f t="shared" si="33"/>
        <v>9.125</v>
      </c>
      <c r="BL19" s="237">
        <f t="shared" si="33"/>
        <v>0</v>
      </c>
      <c r="BM19" s="239">
        <f t="shared" si="34"/>
        <v>10.098214285714286</v>
      </c>
      <c r="BN19" s="240">
        <f t="shared" si="35"/>
        <v>30</v>
      </c>
      <c r="BO19" s="271">
        <v>11</v>
      </c>
      <c r="BP19" s="272">
        <v>9</v>
      </c>
      <c r="BQ19" s="140"/>
      <c r="BR19" s="228">
        <f t="shared" si="36"/>
        <v>10</v>
      </c>
      <c r="BS19" s="229">
        <f t="shared" si="37"/>
        <v>6</v>
      </c>
      <c r="BT19" s="241">
        <v>15.5</v>
      </c>
      <c r="BU19" s="242">
        <v>16.5</v>
      </c>
      <c r="BV19" s="285"/>
      <c r="BW19" s="228">
        <f t="shared" si="38"/>
        <v>16</v>
      </c>
      <c r="BX19" s="229">
        <f t="shared" si="39"/>
        <v>6</v>
      </c>
      <c r="BY19" s="241">
        <v>2</v>
      </c>
      <c r="BZ19" s="242">
        <v>0</v>
      </c>
      <c r="CA19" s="285">
        <v>3.5</v>
      </c>
      <c r="CB19" s="228">
        <f t="shared" si="40"/>
        <v>2.75</v>
      </c>
      <c r="CC19" s="229">
        <f t="shared" si="41"/>
        <v>0</v>
      </c>
      <c r="CD19" s="297">
        <f t="shared" si="42"/>
        <v>10.95</v>
      </c>
      <c r="CE19" s="233">
        <f t="shared" si="43"/>
        <v>16</v>
      </c>
      <c r="CF19" s="241">
        <v>7.5</v>
      </c>
      <c r="CG19" s="242">
        <v>15.5</v>
      </c>
      <c r="CH19" s="285"/>
      <c r="CI19" s="228">
        <f t="shared" si="44"/>
        <v>11.5</v>
      </c>
      <c r="CJ19" s="229">
        <f t="shared" si="45"/>
        <v>5</v>
      </c>
      <c r="CK19" s="230">
        <v>10</v>
      </c>
      <c r="CL19" s="231">
        <v>5</v>
      </c>
      <c r="CM19" s="285"/>
      <c r="CN19" s="228">
        <f t="shared" si="46"/>
        <v>7.5</v>
      </c>
      <c r="CO19" s="229">
        <f t="shared" si="47"/>
        <v>0</v>
      </c>
      <c r="CP19" s="232">
        <f t="shared" si="48"/>
        <v>9.5</v>
      </c>
      <c r="CQ19" s="233">
        <f t="shared" si="49"/>
        <v>5</v>
      </c>
      <c r="CR19" s="230">
        <v>12</v>
      </c>
      <c r="CS19" s="231">
        <v>3.25</v>
      </c>
      <c r="CT19" s="285">
        <v>8</v>
      </c>
      <c r="CU19" s="228">
        <f t="shared" si="50"/>
        <v>10</v>
      </c>
      <c r="CV19" s="229">
        <f t="shared" si="51"/>
        <v>3</v>
      </c>
      <c r="CW19" s="232">
        <f t="shared" si="52"/>
        <v>10</v>
      </c>
      <c r="CX19" s="233">
        <f t="shared" si="52"/>
        <v>3</v>
      </c>
      <c r="CY19" s="231">
        <v>12</v>
      </c>
      <c r="CZ19" s="285"/>
      <c r="DA19" s="234">
        <f t="shared" si="53"/>
        <v>12</v>
      </c>
      <c r="DB19" s="235">
        <f t="shared" si="54"/>
        <v>1</v>
      </c>
      <c r="DC19" s="232">
        <f t="shared" si="55"/>
        <v>12</v>
      </c>
      <c r="DD19" s="233">
        <f t="shared" si="55"/>
        <v>1</v>
      </c>
      <c r="DE19" s="65">
        <f t="shared" si="56"/>
        <v>10.395833333333334</v>
      </c>
      <c r="DF19" s="66">
        <f t="shared" si="57"/>
        <v>30</v>
      </c>
      <c r="DG19" s="31">
        <f t="shared" si="0"/>
        <v>10.098214285714286</v>
      </c>
      <c r="DH19" s="32">
        <f t="shared" si="1"/>
        <v>30</v>
      </c>
      <c r="DI19" s="33">
        <f t="shared" si="2"/>
        <v>10.395833333333334</v>
      </c>
      <c r="DJ19" s="34">
        <f t="shared" si="3"/>
        <v>30</v>
      </c>
      <c r="DK19" s="67">
        <f t="shared" si="4"/>
        <v>10.24702380952381</v>
      </c>
      <c r="DL19" s="35">
        <f t="shared" si="5"/>
        <v>60</v>
      </c>
      <c r="DM19" s="59">
        <f t="shared" si="6"/>
        <v>92</v>
      </c>
      <c r="DN19" s="43" t="str">
        <f t="shared" si="58"/>
        <v>ناجح(ة)بتأخير</v>
      </c>
      <c r="DO19" s="44"/>
      <c r="DP19" s="50"/>
      <c r="DQ19" s="46"/>
    </row>
    <row r="20" spans="1:121" s="37" customFormat="1" ht="32.25" customHeight="1" thickBot="1">
      <c r="A20" s="49"/>
      <c r="B20" s="1">
        <f t="shared" si="59"/>
        <v>15</v>
      </c>
      <c r="C20" s="249" t="s">
        <v>135</v>
      </c>
      <c r="D20" s="249" t="s">
        <v>121</v>
      </c>
      <c r="E20" s="47" t="s">
        <v>394</v>
      </c>
      <c r="F20" s="135">
        <v>33783</v>
      </c>
      <c r="G20" s="136" t="s">
        <v>110</v>
      </c>
      <c r="H20" s="131">
        <v>7.89</v>
      </c>
      <c r="I20" s="132">
        <v>17</v>
      </c>
      <c r="J20" s="133">
        <v>6.55</v>
      </c>
      <c r="K20" s="134">
        <v>16</v>
      </c>
      <c r="L20" s="53">
        <f t="shared" si="7"/>
        <v>7.22</v>
      </c>
      <c r="M20" s="58">
        <f t="shared" si="8"/>
        <v>33</v>
      </c>
      <c r="N20" s="222">
        <v>12</v>
      </c>
      <c r="O20" s="223">
        <v>12</v>
      </c>
      <c r="P20" s="140"/>
      <c r="Q20" s="228">
        <f t="shared" si="9"/>
        <v>12</v>
      </c>
      <c r="R20" s="229">
        <f t="shared" si="10"/>
        <v>5</v>
      </c>
      <c r="S20" s="241">
        <v>8.5</v>
      </c>
      <c r="T20" s="242">
        <v>8.5</v>
      </c>
      <c r="U20" s="285"/>
      <c r="V20" s="228">
        <f t="shared" si="11"/>
        <v>8.5</v>
      </c>
      <c r="W20" s="229">
        <f t="shared" si="12"/>
        <v>0</v>
      </c>
      <c r="X20" s="245">
        <v>10.38</v>
      </c>
      <c r="Y20" s="246">
        <v>10.38</v>
      </c>
      <c r="Z20" s="285"/>
      <c r="AA20" s="228">
        <f t="shared" si="13"/>
        <v>10.38</v>
      </c>
      <c r="AB20" s="229">
        <f t="shared" si="14"/>
        <v>6</v>
      </c>
      <c r="AC20" s="232">
        <f t="shared" si="15"/>
        <v>10.293333333333335</v>
      </c>
      <c r="AD20" s="233">
        <f t="shared" si="16"/>
        <v>17</v>
      </c>
      <c r="AE20" s="242">
        <v>11</v>
      </c>
      <c r="AF20" s="285"/>
      <c r="AG20" s="234">
        <f t="shared" si="17"/>
        <v>11</v>
      </c>
      <c r="AH20" s="235">
        <f t="shared" si="18"/>
        <v>1</v>
      </c>
      <c r="AI20" s="241">
        <v>6</v>
      </c>
      <c r="AJ20" s="242">
        <v>6</v>
      </c>
      <c r="AK20" s="285"/>
      <c r="AL20" s="228">
        <f t="shared" si="19"/>
        <v>6</v>
      </c>
      <c r="AM20" s="229">
        <f t="shared" si="20"/>
        <v>0</v>
      </c>
      <c r="AN20" s="241">
        <v>10.25</v>
      </c>
      <c r="AO20" s="242">
        <v>0</v>
      </c>
      <c r="AP20" s="285"/>
      <c r="AQ20" s="228">
        <f t="shared" si="21"/>
        <v>5.125</v>
      </c>
      <c r="AR20" s="229">
        <f t="shared" si="22"/>
        <v>0</v>
      </c>
      <c r="AS20" s="236">
        <f t="shared" si="23"/>
        <v>6.65</v>
      </c>
      <c r="AT20" s="237">
        <f t="shared" si="24"/>
        <v>1</v>
      </c>
      <c r="AU20" s="241">
        <v>9</v>
      </c>
      <c r="AV20" s="242">
        <v>9</v>
      </c>
      <c r="AW20" s="285"/>
      <c r="AX20" s="228">
        <f t="shared" si="25"/>
        <v>9</v>
      </c>
      <c r="AY20" s="229">
        <f t="shared" si="26"/>
        <v>0</v>
      </c>
      <c r="AZ20" s="242">
        <v>10.5</v>
      </c>
      <c r="BA20" s="285"/>
      <c r="BB20" s="234">
        <f t="shared" si="27"/>
        <v>10.5</v>
      </c>
      <c r="BC20" s="235">
        <f t="shared" si="28"/>
        <v>1</v>
      </c>
      <c r="BD20" s="236">
        <f t="shared" si="29"/>
        <v>9.75</v>
      </c>
      <c r="BE20" s="237">
        <f t="shared" si="30"/>
        <v>1</v>
      </c>
      <c r="BF20" s="245">
        <v>10.5</v>
      </c>
      <c r="BG20" s="246">
        <v>10.5</v>
      </c>
      <c r="BH20" s="285"/>
      <c r="BI20" s="228">
        <f t="shared" si="31"/>
        <v>10.5</v>
      </c>
      <c r="BJ20" s="229">
        <f t="shared" si="32"/>
        <v>1</v>
      </c>
      <c r="BK20" s="236">
        <f t="shared" si="33"/>
        <v>10.5</v>
      </c>
      <c r="BL20" s="237">
        <f t="shared" si="33"/>
        <v>1</v>
      </c>
      <c r="BM20" s="239">
        <f t="shared" si="34"/>
        <v>8.9292857142857152</v>
      </c>
      <c r="BN20" s="240">
        <f t="shared" si="35"/>
        <v>20</v>
      </c>
      <c r="BO20" s="271">
        <v>11</v>
      </c>
      <c r="BP20" s="272">
        <v>5</v>
      </c>
      <c r="BQ20" s="140">
        <v>10</v>
      </c>
      <c r="BR20" s="228">
        <f t="shared" si="36"/>
        <v>10.5</v>
      </c>
      <c r="BS20" s="229">
        <f t="shared" si="37"/>
        <v>6</v>
      </c>
      <c r="BT20" s="241">
        <v>10.5</v>
      </c>
      <c r="BU20" s="242">
        <v>10.5</v>
      </c>
      <c r="BV20" s="285"/>
      <c r="BW20" s="228">
        <f t="shared" si="38"/>
        <v>10.5</v>
      </c>
      <c r="BX20" s="229">
        <f t="shared" si="39"/>
        <v>6</v>
      </c>
      <c r="BY20" s="241">
        <v>5</v>
      </c>
      <c r="BZ20" s="242">
        <v>0</v>
      </c>
      <c r="CA20" s="285">
        <v>3</v>
      </c>
      <c r="CB20" s="228">
        <f t="shared" si="40"/>
        <v>4</v>
      </c>
      <c r="CC20" s="229">
        <f t="shared" si="41"/>
        <v>0</v>
      </c>
      <c r="CD20" s="297">
        <f t="shared" si="42"/>
        <v>9.1999999999999993</v>
      </c>
      <c r="CE20" s="233">
        <f t="shared" si="43"/>
        <v>12</v>
      </c>
      <c r="CF20" s="241">
        <v>9</v>
      </c>
      <c r="CG20" s="242">
        <v>7</v>
      </c>
      <c r="CH20" s="285">
        <v>11.5</v>
      </c>
      <c r="CI20" s="228">
        <f t="shared" si="44"/>
        <v>10.25</v>
      </c>
      <c r="CJ20" s="229">
        <f t="shared" si="45"/>
        <v>5</v>
      </c>
      <c r="CK20" s="230">
        <v>10</v>
      </c>
      <c r="CL20" s="231">
        <v>3</v>
      </c>
      <c r="CM20" s="285"/>
      <c r="CN20" s="228">
        <f t="shared" si="46"/>
        <v>6.5</v>
      </c>
      <c r="CO20" s="229">
        <f t="shared" si="47"/>
        <v>0</v>
      </c>
      <c r="CP20" s="232">
        <f t="shared" si="48"/>
        <v>8.375</v>
      </c>
      <c r="CQ20" s="233">
        <f t="shared" si="49"/>
        <v>5</v>
      </c>
      <c r="CR20" s="230">
        <v>12.25</v>
      </c>
      <c r="CS20" s="231">
        <v>12.25</v>
      </c>
      <c r="CT20" s="285"/>
      <c r="CU20" s="228">
        <f t="shared" si="50"/>
        <v>12.25</v>
      </c>
      <c r="CV20" s="229">
        <f t="shared" si="51"/>
        <v>3</v>
      </c>
      <c r="CW20" s="232">
        <f t="shared" si="52"/>
        <v>12.25</v>
      </c>
      <c r="CX20" s="233">
        <f t="shared" si="52"/>
        <v>3</v>
      </c>
      <c r="CY20" s="231">
        <v>4</v>
      </c>
      <c r="CZ20" s="285">
        <v>14</v>
      </c>
      <c r="DA20" s="234">
        <f t="shared" si="53"/>
        <v>14</v>
      </c>
      <c r="DB20" s="235">
        <f t="shared" si="54"/>
        <v>1</v>
      </c>
      <c r="DC20" s="232">
        <f t="shared" si="55"/>
        <v>14</v>
      </c>
      <c r="DD20" s="233">
        <f t="shared" si="55"/>
        <v>1</v>
      </c>
      <c r="DE20" s="65">
        <f t="shared" si="56"/>
        <v>9.8333333333333339</v>
      </c>
      <c r="DF20" s="66">
        <f t="shared" si="57"/>
        <v>21</v>
      </c>
      <c r="DG20" s="31">
        <f t="shared" si="0"/>
        <v>8.9292857142857152</v>
      </c>
      <c r="DH20" s="32">
        <f t="shared" si="1"/>
        <v>20</v>
      </c>
      <c r="DI20" s="33">
        <f t="shared" si="2"/>
        <v>9.8333333333333339</v>
      </c>
      <c r="DJ20" s="34">
        <f t="shared" si="3"/>
        <v>21</v>
      </c>
      <c r="DK20" s="67">
        <f t="shared" si="4"/>
        <v>9.3813095238095237</v>
      </c>
      <c r="DL20" s="35">
        <f t="shared" si="5"/>
        <v>41</v>
      </c>
      <c r="DM20" s="59">
        <f t="shared" si="6"/>
        <v>74</v>
      </c>
      <c r="DN20" s="43" t="str">
        <f t="shared" si="58"/>
        <v>راسب(ة)</v>
      </c>
      <c r="DO20" s="44"/>
      <c r="DP20" s="50"/>
      <c r="DQ20" s="46"/>
    </row>
    <row r="21" spans="1:121" s="37" customFormat="1" ht="32.25" customHeight="1" thickBot="1">
      <c r="A21" s="49"/>
      <c r="B21" s="1">
        <f t="shared" si="59"/>
        <v>16</v>
      </c>
      <c r="C21" s="249" t="s">
        <v>136</v>
      </c>
      <c r="D21" s="249" t="s">
        <v>137</v>
      </c>
      <c r="E21" s="47" t="s">
        <v>497</v>
      </c>
      <c r="F21" s="135">
        <v>34556</v>
      </c>
      <c r="G21" s="136" t="s">
        <v>395</v>
      </c>
      <c r="H21" s="131">
        <v>9.11</v>
      </c>
      <c r="I21" s="132">
        <v>30</v>
      </c>
      <c r="J21" s="133">
        <v>11</v>
      </c>
      <c r="K21" s="134">
        <v>30</v>
      </c>
      <c r="L21" s="53">
        <f t="shared" si="7"/>
        <v>10.055</v>
      </c>
      <c r="M21" s="58">
        <f t="shared" si="8"/>
        <v>60</v>
      </c>
      <c r="N21" s="224"/>
      <c r="O21" s="225"/>
      <c r="P21" s="140"/>
      <c r="Q21" s="228">
        <f t="shared" si="9"/>
        <v>0</v>
      </c>
      <c r="R21" s="229">
        <f t="shared" si="10"/>
        <v>0</v>
      </c>
      <c r="S21" s="241">
        <v>14</v>
      </c>
      <c r="T21" s="242"/>
      <c r="U21" s="285"/>
      <c r="V21" s="228">
        <f t="shared" si="11"/>
        <v>7</v>
      </c>
      <c r="W21" s="229">
        <f t="shared" si="12"/>
        <v>0</v>
      </c>
      <c r="X21" s="247"/>
      <c r="Y21" s="248"/>
      <c r="Z21" s="285"/>
      <c r="AA21" s="228">
        <f t="shared" si="13"/>
        <v>0</v>
      </c>
      <c r="AB21" s="229">
        <f t="shared" si="14"/>
        <v>0</v>
      </c>
      <c r="AC21" s="232">
        <f t="shared" si="15"/>
        <v>2.3333333333333335</v>
      </c>
      <c r="AD21" s="233">
        <f t="shared" si="16"/>
        <v>0</v>
      </c>
      <c r="AE21" s="242"/>
      <c r="AF21" s="285"/>
      <c r="AG21" s="234">
        <f t="shared" si="17"/>
        <v>0</v>
      </c>
      <c r="AH21" s="235">
        <f t="shared" si="18"/>
        <v>0</v>
      </c>
      <c r="AI21" s="241">
        <v>7</v>
      </c>
      <c r="AJ21" s="242"/>
      <c r="AK21" s="285"/>
      <c r="AL21" s="228">
        <f t="shared" si="19"/>
        <v>3.5</v>
      </c>
      <c r="AM21" s="229">
        <f t="shared" si="20"/>
        <v>0</v>
      </c>
      <c r="AN21" s="241"/>
      <c r="AO21" s="242"/>
      <c r="AP21" s="285"/>
      <c r="AQ21" s="228">
        <f t="shared" si="21"/>
        <v>0</v>
      </c>
      <c r="AR21" s="229">
        <f t="shared" si="22"/>
        <v>0</v>
      </c>
      <c r="AS21" s="236">
        <f t="shared" si="23"/>
        <v>1.4</v>
      </c>
      <c r="AT21" s="237">
        <f t="shared" si="24"/>
        <v>0</v>
      </c>
      <c r="AU21" s="241">
        <v>10</v>
      </c>
      <c r="AV21" s="242"/>
      <c r="AW21" s="285"/>
      <c r="AX21" s="228">
        <f t="shared" si="25"/>
        <v>5</v>
      </c>
      <c r="AY21" s="229">
        <f t="shared" si="26"/>
        <v>0</v>
      </c>
      <c r="AZ21" s="242"/>
      <c r="BA21" s="285"/>
      <c r="BB21" s="234">
        <f t="shared" si="27"/>
        <v>0</v>
      </c>
      <c r="BC21" s="235">
        <f t="shared" si="28"/>
        <v>0</v>
      </c>
      <c r="BD21" s="236">
        <f t="shared" si="29"/>
        <v>2.5</v>
      </c>
      <c r="BE21" s="237">
        <f t="shared" si="30"/>
        <v>0</v>
      </c>
      <c r="BF21" s="241">
        <v>6.5</v>
      </c>
      <c r="BG21" s="242"/>
      <c r="BH21" s="285"/>
      <c r="BI21" s="228">
        <f t="shared" si="31"/>
        <v>3.25</v>
      </c>
      <c r="BJ21" s="229">
        <f t="shared" si="32"/>
        <v>0</v>
      </c>
      <c r="BK21" s="236">
        <f t="shared" si="33"/>
        <v>3.25</v>
      </c>
      <c r="BL21" s="237">
        <f t="shared" si="33"/>
        <v>0</v>
      </c>
      <c r="BM21" s="239">
        <f t="shared" si="34"/>
        <v>2.0892857142857144</v>
      </c>
      <c r="BN21" s="240">
        <f t="shared" si="35"/>
        <v>0</v>
      </c>
      <c r="BO21" s="273"/>
      <c r="BP21" s="274"/>
      <c r="BQ21" s="140"/>
      <c r="BR21" s="228">
        <f t="shared" si="36"/>
        <v>0</v>
      </c>
      <c r="BS21" s="229">
        <f t="shared" si="37"/>
        <v>0</v>
      </c>
      <c r="BT21" s="282"/>
      <c r="BU21" s="283"/>
      <c r="BV21" s="285"/>
      <c r="BW21" s="228">
        <f t="shared" si="38"/>
        <v>0</v>
      </c>
      <c r="BX21" s="229">
        <f t="shared" si="39"/>
        <v>0</v>
      </c>
      <c r="BY21" s="282"/>
      <c r="BZ21" s="283"/>
      <c r="CA21" s="285"/>
      <c r="CB21" s="228">
        <f t="shared" si="40"/>
        <v>0</v>
      </c>
      <c r="CC21" s="229">
        <f t="shared" si="41"/>
        <v>0</v>
      </c>
      <c r="CD21" s="297">
        <f t="shared" si="42"/>
        <v>0</v>
      </c>
      <c r="CE21" s="233">
        <f t="shared" si="43"/>
        <v>0</v>
      </c>
      <c r="CF21" s="282">
        <v>0</v>
      </c>
      <c r="CG21" s="283"/>
      <c r="CH21" s="285"/>
      <c r="CI21" s="228">
        <f t="shared" si="44"/>
        <v>0</v>
      </c>
      <c r="CJ21" s="229">
        <f t="shared" si="45"/>
        <v>0</v>
      </c>
      <c r="CK21" s="230"/>
      <c r="CL21" s="231"/>
      <c r="CM21" s="285"/>
      <c r="CN21" s="228">
        <f t="shared" si="46"/>
        <v>0</v>
      </c>
      <c r="CO21" s="229">
        <f t="shared" si="47"/>
        <v>0</v>
      </c>
      <c r="CP21" s="232">
        <f t="shared" si="48"/>
        <v>0</v>
      </c>
      <c r="CQ21" s="233">
        <f t="shared" si="49"/>
        <v>0</v>
      </c>
      <c r="CR21" s="230"/>
      <c r="CS21" s="231"/>
      <c r="CT21" s="285"/>
      <c r="CU21" s="228">
        <f t="shared" si="50"/>
        <v>0</v>
      </c>
      <c r="CV21" s="229">
        <f t="shared" si="51"/>
        <v>0</v>
      </c>
      <c r="CW21" s="232">
        <f t="shared" si="52"/>
        <v>0</v>
      </c>
      <c r="CX21" s="233">
        <f t="shared" si="52"/>
        <v>0</v>
      </c>
      <c r="CY21" s="231"/>
      <c r="CZ21" s="285"/>
      <c r="DA21" s="234">
        <f t="shared" si="53"/>
        <v>0</v>
      </c>
      <c r="DB21" s="235">
        <f t="shared" si="54"/>
        <v>0</v>
      </c>
      <c r="DC21" s="232">
        <f t="shared" si="55"/>
        <v>0</v>
      </c>
      <c r="DD21" s="233">
        <f t="shared" si="55"/>
        <v>0</v>
      </c>
      <c r="DE21" s="65">
        <f t="shared" si="56"/>
        <v>0</v>
      </c>
      <c r="DF21" s="66">
        <f t="shared" si="57"/>
        <v>0</v>
      </c>
      <c r="DG21" s="31">
        <f t="shared" si="0"/>
        <v>2.0892857142857144</v>
      </c>
      <c r="DH21" s="32">
        <f t="shared" si="1"/>
        <v>0</v>
      </c>
      <c r="DI21" s="33">
        <f t="shared" si="2"/>
        <v>0</v>
      </c>
      <c r="DJ21" s="34">
        <f t="shared" si="3"/>
        <v>0</v>
      </c>
      <c r="DK21" s="67">
        <f t="shared" si="4"/>
        <v>1.0446428571428572</v>
      </c>
      <c r="DL21" s="35">
        <f t="shared" si="5"/>
        <v>0</v>
      </c>
      <c r="DM21" s="59">
        <f t="shared" si="6"/>
        <v>60</v>
      </c>
      <c r="DN21" s="43" t="s">
        <v>504</v>
      </c>
      <c r="DO21" s="44"/>
      <c r="DP21" s="50"/>
      <c r="DQ21" s="46"/>
    </row>
    <row r="22" spans="1:121" s="37" customFormat="1" ht="32.25" customHeight="1" thickBot="1">
      <c r="A22" s="49"/>
      <c r="B22" s="1">
        <f t="shared" si="59"/>
        <v>17</v>
      </c>
      <c r="C22" s="249" t="s">
        <v>138</v>
      </c>
      <c r="D22" s="249" t="s">
        <v>139</v>
      </c>
      <c r="E22" s="47" t="s">
        <v>347</v>
      </c>
      <c r="F22" s="135">
        <v>34738</v>
      </c>
      <c r="G22" s="136" t="s">
        <v>396</v>
      </c>
      <c r="H22" s="131">
        <v>10.39</v>
      </c>
      <c r="I22" s="132">
        <v>30</v>
      </c>
      <c r="J22" s="133">
        <v>7.52</v>
      </c>
      <c r="K22" s="134">
        <v>18</v>
      </c>
      <c r="L22" s="53">
        <f t="shared" si="7"/>
        <v>8.9550000000000001</v>
      </c>
      <c r="M22" s="58">
        <f t="shared" si="8"/>
        <v>48</v>
      </c>
      <c r="N22" s="222">
        <v>13</v>
      </c>
      <c r="O22" s="223">
        <v>7</v>
      </c>
      <c r="P22" s="140"/>
      <c r="Q22" s="228">
        <f t="shared" si="9"/>
        <v>10</v>
      </c>
      <c r="R22" s="229">
        <f t="shared" si="10"/>
        <v>5</v>
      </c>
      <c r="S22" s="241">
        <v>14.5</v>
      </c>
      <c r="T22" s="242">
        <v>5.5</v>
      </c>
      <c r="U22" s="285"/>
      <c r="V22" s="228">
        <f t="shared" si="11"/>
        <v>10</v>
      </c>
      <c r="W22" s="229">
        <f t="shared" si="12"/>
        <v>6</v>
      </c>
      <c r="X22" s="241">
        <v>11</v>
      </c>
      <c r="Y22" s="242">
        <v>6</v>
      </c>
      <c r="Z22" s="285"/>
      <c r="AA22" s="228">
        <f t="shared" si="13"/>
        <v>8.5</v>
      </c>
      <c r="AB22" s="229">
        <f t="shared" si="14"/>
        <v>0</v>
      </c>
      <c r="AC22" s="232">
        <f t="shared" si="15"/>
        <v>9.5</v>
      </c>
      <c r="AD22" s="233">
        <f t="shared" si="16"/>
        <v>11</v>
      </c>
      <c r="AE22" s="242">
        <v>8</v>
      </c>
      <c r="AF22" s="285"/>
      <c r="AG22" s="234">
        <f t="shared" si="17"/>
        <v>8</v>
      </c>
      <c r="AH22" s="235">
        <f t="shared" si="18"/>
        <v>0</v>
      </c>
      <c r="AI22" s="241">
        <v>12</v>
      </c>
      <c r="AJ22" s="242">
        <v>8.25</v>
      </c>
      <c r="AK22" s="285"/>
      <c r="AL22" s="228">
        <f t="shared" si="19"/>
        <v>10.125</v>
      </c>
      <c r="AM22" s="229">
        <f t="shared" si="20"/>
        <v>3</v>
      </c>
      <c r="AN22" s="241">
        <v>12.5</v>
      </c>
      <c r="AO22" s="242">
        <v>4</v>
      </c>
      <c r="AP22" s="285"/>
      <c r="AQ22" s="228">
        <f t="shared" si="21"/>
        <v>8.25</v>
      </c>
      <c r="AR22" s="229">
        <f t="shared" si="22"/>
        <v>0</v>
      </c>
      <c r="AS22" s="236">
        <f t="shared" si="23"/>
        <v>8.9499999999999993</v>
      </c>
      <c r="AT22" s="237">
        <f t="shared" si="24"/>
        <v>3</v>
      </c>
      <c r="AU22" s="241">
        <v>17</v>
      </c>
      <c r="AV22" s="242">
        <v>7</v>
      </c>
      <c r="AW22" s="285"/>
      <c r="AX22" s="228">
        <f t="shared" si="25"/>
        <v>12</v>
      </c>
      <c r="AY22" s="229">
        <f t="shared" si="26"/>
        <v>4</v>
      </c>
      <c r="AZ22" s="242">
        <v>12.5</v>
      </c>
      <c r="BA22" s="285"/>
      <c r="BB22" s="234">
        <f t="shared" si="27"/>
        <v>12.5</v>
      </c>
      <c r="BC22" s="235">
        <f t="shared" si="28"/>
        <v>1</v>
      </c>
      <c r="BD22" s="236">
        <f t="shared" si="29"/>
        <v>12.25</v>
      </c>
      <c r="BE22" s="237">
        <f t="shared" si="30"/>
        <v>5</v>
      </c>
      <c r="BF22" s="241">
        <v>13.25</v>
      </c>
      <c r="BG22" s="242">
        <v>7</v>
      </c>
      <c r="BH22" s="285"/>
      <c r="BI22" s="228">
        <f t="shared" si="31"/>
        <v>10.125</v>
      </c>
      <c r="BJ22" s="229">
        <f t="shared" si="32"/>
        <v>1</v>
      </c>
      <c r="BK22" s="236">
        <f t="shared" si="33"/>
        <v>10.125</v>
      </c>
      <c r="BL22" s="237">
        <f t="shared" si="33"/>
        <v>1</v>
      </c>
      <c r="BM22" s="239">
        <f t="shared" si="34"/>
        <v>9.7410714285714288</v>
      </c>
      <c r="BN22" s="240">
        <f t="shared" si="35"/>
        <v>20</v>
      </c>
      <c r="BO22" s="271">
        <v>14</v>
      </c>
      <c r="BP22" s="272">
        <v>6.5</v>
      </c>
      <c r="BQ22" s="140"/>
      <c r="BR22" s="228">
        <f t="shared" si="36"/>
        <v>10.25</v>
      </c>
      <c r="BS22" s="229">
        <f t="shared" si="37"/>
        <v>6</v>
      </c>
      <c r="BT22" s="241">
        <v>15.5</v>
      </c>
      <c r="BU22" s="242">
        <v>12.5</v>
      </c>
      <c r="BV22" s="285"/>
      <c r="BW22" s="228">
        <f t="shared" si="38"/>
        <v>14</v>
      </c>
      <c r="BX22" s="229">
        <f t="shared" si="39"/>
        <v>6</v>
      </c>
      <c r="BY22" s="241">
        <v>12</v>
      </c>
      <c r="BZ22" s="242">
        <v>3</v>
      </c>
      <c r="CA22" s="285"/>
      <c r="CB22" s="228">
        <f t="shared" si="40"/>
        <v>7.5</v>
      </c>
      <c r="CC22" s="229">
        <f t="shared" si="41"/>
        <v>0</v>
      </c>
      <c r="CD22" s="297">
        <f t="shared" si="42"/>
        <v>11.2</v>
      </c>
      <c r="CE22" s="233">
        <f t="shared" si="43"/>
        <v>16</v>
      </c>
      <c r="CF22" s="241">
        <v>14</v>
      </c>
      <c r="CG22" s="242">
        <v>10</v>
      </c>
      <c r="CH22" s="285"/>
      <c r="CI22" s="228">
        <f t="shared" si="44"/>
        <v>12</v>
      </c>
      <c r="CJ22" s="229">
        <f t="shared" si="45"/>
        <v>5</v>
      </c>
      <c r="CK22" s="230">
        <v>14</v>
      </c>
      <c r="CL22" s="231">
        <v>14.5</v>
      </c>
      <c r="CM22" s="285"/>
      <c r="CN22" s="228">
        <f t="shared" si="46"/>
        <v>14.25</v>
      </c>
      <c r="CO22" s="229">
        <f t="shared" si="47"/>
        <v>5</v>
      </c>
      <c r="CP22" s="232">
        <f t="shared" si="48"/>
        <v>13.125</v>
      </c>
      <c r="CQ22" s="233">
        <f t="shared" si="49"/>
        <v>10</v>
      </c>
      <c r="CR22" s="230">
        <v>15</v>
      </c>
      <c r="CS22" s="231">
        <v>10.25</v>
      </c>
      <c r="CT22" s="285"/>
      <c r="CU22" s="228">
        <f t="shared" si="50"/>
        <v>12.625</v>
      </c>
      <c r="CV22" s="229">
        <f t="shared" si="51"/>
        <v>3</v>
      </c>
      <c r="CW22" s="232">
        <f t="shared" si="52"/>
        <v>12.625</v>
      </c>
      <c r="CX22" s="233">
        <f t="shared" si="52"/>
        <v>3</v>
      </c>
      <c r="CY22" s="231">
        <v>11</v>
      </c>
      <c r="CZ22" s="285"/>
      <c r="DA22" s="234">
        <f t="shared" si="53"/>
        <v>11</v>
      </c>
      <c r="DB22" s="235">
        <f t="shared" si="54"/>
        <v>1</v>
      </c>
      <c r="DC22" s="232">
        <f t="shared" si="55"/>
        <v>11</v>
      </c>
      <c r="DD22" s="233">
        <f t="shared" si="55"/>
        <v>1</v>
      </c>
      <c r="DE22" s="65">
        <f t="shared" si="56"/>
        <v>12.0625</v>
      </c>
      <c r="DF22" s="66">
        <f t="shared" si="57"/>
        <v>30</v>
      </c>
      <c r="DG22" s="31">
        <f t="shared" si="0"/>
        <v>9.7410714285714288</v>
      </c>
      <c r="DH22" s="32">
        <f t="shared" si="1"/>
        <v>30</v>
      </c>
      <c r="DI22" s="33">
        <f t="shared" si="2"/>
        <v>12.0625</v>
      </c>
      <c r="DJ22" s="34">
        <f t="shared" si="3"/>
        <v>30</v>
      </c>
      <c r="DK22" s="67">
        <f t="shared" si="4"/>
        <v>10.901785714285715</v>
      </c>
      <c r="DL22" s="35">
        <f t="shared" si="5"/>
        <v>60</v>
      </c>
      <c r="DM22" s="59">
        <f t="shared" si="6"/>
        <v>108</v>
      </c>
      <c r="DN22" s="43" t="str">
        <f t="shared" si="58"/>
        <v>ناجح(ة)بتأخير</v>
      </c>
      <c r="DP22" s="51"/>
      <c r="DQ22" s="46"/>
    </row>
    <row r="23" spans="1:121" s="37" customFormat="1" ht="32.25" customHeight="1" thickBot="1">
      <c r="A23" s="49"/>
      <c r="B23" s="1">
        <f t="shared" si="59"/>
        <v>18</v>
      </c>
      <c r="C23" s="249" t="s">
        <v>140</v>
      </c>
      <c r="D23" s="249" t="s">
        <v>141</v>
      </c>
      <c r="E23" s="47" t="s">
        <v>346</v>
      </c>
      <c r="F23" s="135">
        <v>35656</v>
      </c>
      <c r="G23" s="136" t="s">
        <v>397</v>
      </c>
      <c r="H23" s="131">
        <v>8.19</v>
      </c>
      <c r="I23" s="132">
        <v>20</v>
      </c>
      <c r="J23" s="133">
        <v>6.39</v>
      </c>
      <c r="K23" s="134">
        <v>13</v>
      </c>
      <c r="L23" s="53">
        <f t="shared" si="7"/>
        <v>7.2899999999999991</v>
      </c>
      <c r="M23" s="58">
        <f t="shared" si="8"/>
        <v>33</v>
      </c>
      <c r="N23" s="222">
        <v>13</v>
      </c>
      <c r="O23" s="223">
        <v>9</v>
      </c>
      <c r="P23" s="140"/>
      <c r="Q23" s="228">
        <f t="shared" si="9"/>
        <v>11</v>
      </c>
      <c r="R23" s="229">
        <f t="shared" si="10"/>
        <v>5</v>
      </c>
      <c r="S23" s="241">
        <v>12</v>
      </c>
      <c r="T23" s="242">
        <v>2</v>
      </c>
      <c r="U23" s="285"/>
      <c r="V23" s="228">
        <f t="shared" si="11"/>
        <v>7</v>
      </c>
      <c r="W23" s="229">
        <f t="shared" si="12"/>
        <v>0</v>
      </c>
      <c r="X23" s="241">
        <v>13</v>
      </c>
      <c r="Y23" s="242">
        <v>7</v>
      </c>
      <c r="Z23" s="285">
        <v>9.75</v>
      </c>
      <c r="AA23" s="228">
        <f t="shared" si="13"/>
        <v>11.375</v>
      </c>
      <c r="AB23" s="229">
        <f t="shared" si="14"/>
        <v>6</v>
      </c>
      <c r="AC23" s="232">
        <f t="shared" si="15"/>
        <v>9.7916666666666661</v>
      </c>
      <c r="AD23" s="233">
        <f t="shared" si="16"/>
        <v>11</v>
      </c>
      <c r="AE23" s="242">
        <v>4</v>
      </c>
      <c r="AF23" s="285"/>
      <c r="AG23" s="234">
        <f t="shared" si="17"/>
        <v>4</v>
      </c>
      <c r="AH23" s="235">
        <f t="shared" si="18"/>
        <v>0</v>
      </c>
      <c r="AI23" s="241">
        <v>16</v>
      </c>
      <c r="AJ23" s="242">
        <v>14.5</v>
      </c>
      <c r="AK23" s="285"/>
      <c r="AL23" s="228">
        <f t="shared" si="19"/>
        <v>15.25</v>
      </c>
      <c r="AM23" s="229">
        <f t="shared" si="20"/>
        <v>3</v>
      </c>
      <c r="AN23" s="241">
        <v>11</v>
      </c>
      <c r="AO23" s="242">
        <v>2</v>
      </c>
      <c r="AP23" s="285"/>
      <c r="AQ23" s="228">
        <f t="shared" si="21"/>
        <v>6.5</v>
      </c>
      <c r="AR23" s="229">
        <f t="shared" si="22"/>
        <v>0</v>
      </c>
      <c r="AS23" s="236">
        <f t="shared" si="23"/>
        <v>9.5</v>
      </c>
      <c r="AT23" s="237">
        <f t="shared" si="24"/>
        <v>3</v>
      </c>
      <c r="AU23" s="241">
        <v>16</v>
      </c>
      <c r="AV23" s="242">
        <v>2</v>
      </c>
      <c r="AW23" s="285"/>
      <c r="AX23" s="228">
        <f t="shared" si="25"/>
        <v>9</v>
      </c>
      <c r="AY23" s="229">
        <f t="shared" si="26"/>
        <v>0</v>
      </c>
      <c r="AZ23" s="242">
        <v>12</v>
      </c>
      <c r="BA23" s="285"/>
      <c r="BB23" s="234">
        <f t="shared" si="27"/>
        <v>12</v>
      </c>
      <c r="BC23" s="235">
        <f t="shared" si="28"/>
        <v>1</v>
      </c>
      <c r="BD23" s="236">
        <f t="shared" si="29"/>
        <v>10.5</v>
      </c>
      <c r="BE23" s="237">
        <f t="shared" si="30"/>
        <v>5</v>
      </c>
      <c r="BF23" s="241">
        <v>9</v>
      </c>
      <c r="BG23" s="242">
        <v>9</v>
      </c>
      <c r="BH23" s="285"/>
      <c r="BI23" s="228">
        <f t="shared" si="31"/>
        <v>9</v>
      </c>
      <c r="BJ23" s="229">
        <f t="shared" si="32"/>
        <v>0</v>
      </c>
      <c r="BK23" s="236">
        <f t="shared" si="33"/>
        <v>9</v>
      </c>
      <c r="BL23" s="237">
        <f t="shared" si="33"/>
        <v>0</v>
      </c>
      <c r="BM23" s="239">
        <f t="shared" si="34"/>
        <v>9.7321428571428577</v>
      </c>
      <c r="BN23" s="240">
        <f t="shared" si="35"/>
        <v>19</v>
      </c>
      <c r="BO23" s="271">
        <v>13.5</v>
      </c>
      <c r="BP23" s="272">
        <v>4.5</v>
      </c>
      <c r="BQ23" s="140">
        <v>6</v>
      </c>
      <c r="BR23" s="228">
        <f t="shared" si="36"/>
        <v>9.75</v>
      </c>
      <c r="BS23" s="229">
        <f t="shared" si="37"/>
        <v>0</v>
      </c>
      <c r="BT23" s="241">
        <v>15.5</v>
      </c>
      <c r="BU23" s="242">
        <v>7.5</v>
      </c>
      <c r="BV23" s="285"/>
      <c r="BW23" s="228">
        <f t="shared" si="38"/>
        <v>11.5</v>
      </c>
      <c r="BX23" s="229">
        <f t="shared" si="39"/>
        <v>6</v>
      </c>
      <c r="BY23" s="241">
        <v>10</v>
      </c>
      <c r="BZ23" s="242">
        <v>0</v>
      </c>
      <c r="CA23" s="285"/>
      <c r="CB23" s="228">
        <f t="shared" si="40"/>
        <v>5</v>
      </c>
      <c r="CC23" s="229">
        <f t="shared" si="41"/>
        <v>0</v>
      </c>
      <c r="CD23" s="297">
        <f t="shared" si="42"/>
        <v>9.5</v>
      </c>
      <c r="CE23" s="233">
        <f t="shared" si="43"/>
        <v>6</v>
      </c>
      <c r="CF23" s="241">
        <v>8</v>
      </c>
      <c r="CG23" s="242">
        <v>5.75</v>
      </c>
      <c r="CH23" s="285"/>
      <c r="CI23" s="228">
        <f t="shared" si="44"/>
        <v>6.875</v>
      </c>
      <c r="CJ23" s="229">
        <f t="shared" si="45"/>
        <v>0</v>
      </c>
      <c r="CK23" s="230">
        <v>15</v>
      </c>
      <c r="CL23" s="231">
        <v>10</v>
      </c>
      <c r="CM23" s="285"/>
      <c r="CN23" s="228">
        <f t="shared" si="46"/>
        <v>12.5</v>
      </c>
      <c r="CO23" s="229">
        <f t="shared" si="47"/>
        <v>5</v>
      </c>
      <c r="CP23" s="232">
        <f t="shared" si="48"/>
        <v>9.6875</v>
      </c>
      <c r="CQ23" s="233">
        <f t="shared" si="49"/>
        <v>5</v>
      </c>
      <c r="CR23" s="230">
        <v>14</v>
      </c>
      <c r="CS23" s="231">
        <v>5.5</v>
      </c>
      <c r="CT23" s="285">
        <v>13.5</v>
      </c>
      <c r="CU23" s="228">
        <f t="shared" si="50"/>
        <v>13.75</v>
      </c>
      <c r="CV23" s="229">
        <f t="shared" si="51"/>
        <v>3</v>
      </c>
      <c r="CW23" s="232">
        <f t="shared" si="52"/>
        <v>13.75</v>
      </c>
      <c r="CX23" s="233">
        <f t="shared" si="52"/>
        <v>3</v>
      </c>
      <c r="CY23" s="231">
        <v>8</v>
      </c>
      <c r="CZ23" s="285">
        <v>9.75</v>
      </c>
      <c r="DA23" s="234">
        <f t="shared" si="53"/>
        <v>9.75</v>
      </c>
      <c r="DB23" s="235">
        <f t="shared" si="54"/>
        <v>0</v>
      </c>
      <c r="DC23" s="232">
        <f t="shared" si="55"/>
        <v>9.75</v>
      </c>
      <c r="DD23" s="233">
        <f t="shared" si="55"/>
        <v>0</v>
      </c>
      <c r="DE23" s="65">
        <f t="shared" si="56"/>
        <v>10.291666666666666</v>
      </c>
      <c r="DF23" s="66">
        <f t="shared" si="57"/>
        <v>30</v>
      </c>
      <c r="DG23" s="31">
        <f t="shared" si="0"/>
        <v>9.7321428571428577</v>
      </c>
      <c r="DH23" s="32">
        <f t="shared" si="1"/>
        <v>30</v>
      </c>
      <c r="DI23" s="33">
        <f t="shared" si="2"/>
        <v>10.291666666666666</v>
      </c>
      <c r="DJ23" s="34">
        <f t="shared" si="3"/>
        <v>30</v>
      </c>
      <c r="DK23" s="67">
        <f t="shared" si="4"/>
        <v>10.011904761904763</v>
      </c>
      <c r="DL23" s="35">
        <f t="shared" si="5"/>
        <v>60</v>
      </c>
      <c r="DM23" s="59">
        <f t="shared" si="6"/>
        <v>93</v>
      </c>
      <c r="DN23" s="43" t="str">
        <f t="shared" si="58"/>
        <v>ناجح(ة)بتأخير</v>
      </c>
      <c r="DP23" s="51"/>
      <c r="DQ23" s="46"/>
    </row>
    <row r="24" spans="1:121" s="37" customFormat="1" ht="32.25" customHeight="1" thickBot="1">
      <c r="A24" s="49"/>
      <c r="B24" s="1">
        <f t="shared" si="59"/>
        <v>19</v>
      </c>
      <c r="C24" s="249" t="s">
        <v>142</v>
      </c>
      <c r="D24" s="249" t="s">
        <v>143</v>
      </c>
      <c r="E24" s="137" t="s">
        <v>398</v>
      </c>
      <c r="F24" s="135">
        <v>33108</v>
      </c>
      <c r="G24" s="136" t="s">
        <v>399</v>
      </c>
      <c r="H24" s="131">
        <v>7.27</v>
      </c>
      <c r="I24" s="132">
        <v>21</v>
      </c>
      <c r="J24" s="133">
        <v>4.13</v>
      </c>
      <c r="K24" s="134">
        <v>11</v>
      </c>
      <c r="L24" s="53">
        <f t="shared" si="7"/>
        <v>5.6999999999999993</v>
      </c>
      <c r="M24" s="58">
        <f t="shared" si="8"/>
        <v>32</v>
      </c>
      <c r="N24" s="224"/>
      <c r="O24" s="223">
        <v>1</v>
      </c>
      <c r="P24" s="140"/>
      <c r="Q24" s="228">
        <f t="shared" si="9"/>
        <v>0.5</v>
      </c>
      <c r="R24" s="229">
        <f t="shared" si="10"/>
        <v>0</v>
      </c>
      <c r="S24" s="243"/>
      <c r="T24" s="244"/>
      <c r="U24" s="285"/>
      <c r="V24" s="228">
        <f t="shared" si="11"/>
        <v>0</v>
      </c>
      <c r="W24" s="229">
        <f t="shared" si="12"/>
        <v>0</v>
      </c>
      <c r="X24" s="243"/>
      <c r="Y24" s="244"/>
      <c r="Z24" s="285"/>
      <c r="AA24" s="228">
        <f t="shared" si="13"/>
        <v>0</v>
      </c>
      <c r="AB24" s="229">
        <f t="shared" si="14"/>
        <v>0</v>
      </c>
      <c r="AC24" s="232">
        <f t="shared" si="15"/>
        <v>0.16666666666666666</v>
      </c>
      <c r="AD24" s="233">
        <f t="shared" si="16"/>
        <v>0</v>
      </c>
      <c r="AE24" s="242">
        <v>7</v>
      </c>
      <c r="AF24" s="285"/>
      <c r="AG24" s="234">
        <f t="shared" si="17"/>
        <v>7</v>
      </c>
      <c r="AH24" s="235">
        <f t="shared" si="18"/>
        <v>0</v>
      </c>
      <c r="AI24" s="241">
        <v>1</v>
      </c>
      <c r="AJ24" s="242">
        <v>1</v>
      </c>
      <c r="AK24" s="285"/>
      <c r="AL24" s="228">
        <f t="shared" si="19"/>
        <v>1</v>
      </c>
      <c r="AM24" s="229">
        <f t="shared" si="20"/>
        <v>0</v>
      </c>
      <c r="AN24" s="241"/>
      <c r="AO24" s="242">
        <v>0</v>
      </c>
      <c r="AP24" s="285"/>
      <c r="AQ24" s="228">
        <f t="shared" si="21"/>
        <v>0</v>
      </c>
      <c r="AR24" s="229">
        <f t="shared" si="22"/>
        <v>0</v>
      </c>
      <c r="AS24" s="236">
        <f t="shared" si="23"/>
        <v>1.8</v>
      </c>
      <c r="AT24" s="237">
        <f t="shared" si="24"/>
        <v>0</v>
      </c>
      <c r="AU24" s="247"/>
      <c r="AV24" s="248"/>
      <c r="AW24" s="285"/>
      <c r="AX24" s="228">
        <f t="shared" si="25"/>
        <v>0</v>
      </c>
      <c r="AY24" s="229">
        <f t="shared" si="26"/>
        <v>0</v>
      </c>
      <c r="AZ24" s="242">
        <v>0</v>
      </c>
      <c r="BA24" s="285"/>
      <c r="BB24" s="234">
        <f t="shared" si="27"/>
        <v>0</v>
      </c>
      <c r="BC24" s="235">
        <f t="shared" si="28"/>
        <v>0</v>
      </c>
      <c r="BD24" s="236">
        <f t="shared" si="29"/>
        <v>0</v>
      </c>
      <c r="BE24" s="237">
        <f t="shared" si="30"/>
        <v>0</v>
      </c>
      <c r="BF24" s="247"/>
      <c r="BG24" s="248"/>
      <c r="BH24" s="285"/>
      <c r="BI24" s="228">
        <f t="shared" si="31"/>
        <v>0</v>
      </c>
      <c r="BJ24" s="229">
        <f t="shared" si="32"/>
        <v>0</v>
      </c>
      <c r="BK24" s="236">
        <f t="shared" si="33"/>
        <v>0</v>
      </c>
      <c r="BL24" s="237">
        <f t="shared" si="33"/>
        <v>0</v>
      </c>
      <c r="BM24" s="239">
        <f t="shared" si="34"/>
        <v>0.7142857142857143</v>
      </c>
      <c r="BN24" s="240">
        <f t="shared" si="35"/>
        <v>0</v>
      </c>
      <c r="BO24" s="273"/>
      <c r="BP24" s="274"/>
      <c r="BQ24" s="140"/>
      <c r="BR24" s="228">
        <f t="shared" si="36"/>
        <v>0</v>
      </c>
      <c r="BS24" s="229">
        <f t="shared" si="37"/>
        <v>0</v>
      </c>
      <c r="BT24" s="282"/>
      <c r="BU24" s="283"/>
      <c r="BV24" s="285"/>
      <c r="BW24" s="228">
        <f t="shared" si="38"/>
        <v>0</v>
      </c>
      <c r="BX24" s="229">
        <f t="shared" si="39"/>
        <v>0</v>
      </c>
      <c r="BY24" s="282"/>
      <c r="BZ24" s="283"/>
      <c r="CA24" s="285"/>
      <c r="CB24" s="228">
        <f t="shared" si="40"/>
        <v>0</v>
      </c>
      <c r="CC24" s="229">
        <f t="shared" si="41"/>
        <v>0</v>
      </c>
      <c r="CD24" s="297">
        <f t="shared" si="42"/>
        <v>0</v>
      </c>
      <c r="CE24" s="233">
        <f t="shared" si="43"/>
        <v>0</v>
      </c>
      <c r="CF24" s="282">
        <v>0</v>
      </c>
      <c r="CG24" s="283"/>
      <c r="CH24" s="285"/>
      <c r="CI24" s="228">
        <f t="shared" si="44"/>
        <v>0</v>
      </c>
      <c r="CJ24" s="229">
        <f t="shared" si="45"/>
        <v>0</v>
      </c>
      <c r="CK24" s="230"/>
      <c r="CL24" s="231"/>
      <c r="CM24" s="285"/>
      <c r="CN24" s="228">
        <f t="shared" si="46"/>
        <v>0</v>
      </c>
      <c r="CO24" s="229">
        <f t="shared" si="47"/>
        <v>0</v>
      </c>
      <c r="CP24" s="232">
        <f t="shared" si="48"/>
        <v>0</v>
      </c>
      <c r="CQ24" s="233">
        <f t="shared" si="49"/>
        <v>0</v>
      </c>
      <c r="CR24" s="230"/>
      <c r="CS24" s="231"/>
      <c r="CT24" s="285"/>
      <c r="CU24" s="228">
        <f t="shared" si="50"/>
        <v>0</v>
      </c>
      <c r="CV24" s="229">
        <f t="shared" si="51"/>
        <v>0</v>
      </c>
      <c r="CW24" s="232">
        <f t="shared" si="52"/>
        <v>0</v>
      </c>
      <c r="CX24" s="233">
        <f t="shared" si="52"/>
        <v>0</v>
      </c>
      <c r="CY24" s="231"/>
      <c r="CZ24" s="285"/>
      <c r="DA24" s="234">
        <f t="shared" si="53"/>
        <v>0</v>
      </c>
      <c r="DB24" s="235">
        <f t="shared" si="54"/>
        <v>0</v>
      </c>
      <c r="DC24" s="232">
        <f t="shared" si="55"/>
        <v>0</v>
      </c>
      <c r="DD24" s="233">
        <f t="shared" si="55"/>
        <v>0</v>
      </c>
      <c r="DE24" s="65">
        <f t="shared" si="56"/>
        <v>0</v>
      </c>
      <c r="DF24" s="66">
        <f t="shared" si="57"/>
        <v>0</v>
      </c>
      <c r="DG24" s="31">
        <f t="shared" si="0"/>
        <v>0.7142857142857143</v>
      </c>
      <c r="DH24" s="32">
        <f t="shared" si="1"/>
        <v>0</v>
      </c>
      <c r="DI24" s="33">
        <f t="shared" si="2"/>
        <v>0</v>
      </c>
      <c r="DJ24" s="34">
        <f t="shared" si="3"/>
        <v>0</v>
      </c>
      <c r="DK24" s="67">
        <f t="shared" si="4"/>
        <v>0.35714285714285715</v>
      </c>
      <c r="DL24" s="35">
        <f t="shared" si="5"/>
        <v>0</v>
      </c>
      <c r="DM24" s="59">
        <f t="shared" si="6"/>
        <v>32</v>
      </c>
      <c r="DN24" s="43" t="s">
        <v>503</v>
      </c>
      <c r="DO24" s="44"/>
      <c r="DP24" s="50"/>
      <c r="DQ24" s="46"/>
    </row>
    <row r="25" spans="1:121" s="37" customFormat="1" ht="32.25" customHeight="1" thickBot="1">
      <c r="A25" s="49"/>
      <c r="B25" s="1">
        <f t="shared" si="59"/>
        <v>20</v>
      </c>
      <c r="C25" s="249" t="s">
        <v>144</v>
      </c>
      <c r="D25" s="249" t="s">
        <v>119</v>
      </c>
      <c r="E25" s="47" t="s">
        <v>348</v>
      </c>
      <c r="F25" s="135">
        <v>35203</v>
      </c>
      <c r="G25" s="136" t="s">
        <v>110</v>
      </c>
      <c r="H25" s="131">
        <v>9.44</v>
      </c>
      <c r="I25" s="132">
        <v>19</v>
      </c>
      <c r="J25" s="133">
        <v>8.18</v>
      </c>
      <c r="K25" s="134">
        <v>18</v>
      </c>
      <c r="L25" s="53">
        <f t="shared" si="7"/>
        <v>8.8099999999999987</v>
      </c>
      <c r="M25" s="58">
        <f t="shared" si="8"/>
        <v>37</v>
      </c>
      <c r="N25" s="224"/>
      <c r="O25" s="225"/>
      <c r="P25" s="140"/>
      <c r="Q25" s="228">
        <f t="shared" si="9"/>
        <v>0</v>
      </c>
      <c r="R25" s="229">
        <f t="shared" si="10"/>
        <v>0</v>
      </c>
      <c r="S25" s="243"/>
      <c r="T25" s="244"/>
      <c r="U25" s="285"/>
      <c r="V25" s="228">
        <f t="shared" si="11"/>
        <v>0</v>
      </c>
      <c r="W25" s="229">
        <f t="shared" si="12"/>
        <v>0</v>
      </c>
      <c r="X25" s="243"/>
      <c r="Y25" s="244"/>
      <c r="Z25" s="285"/>
      <c r="AA25" s="228">
        <f t="shared" si="13"/>
        <v>0</v>
      </c>
      <c r="AB25" s="229">
        <f t="shared" si="14"/>
        <v>0</v>
      </c>
      <c r="AC25" s="232">
        <f t="shared" si="15"/>
        <v>0</v>
      </c>
      <c r="AD25" s="233">
        <f t="shared" si="16"/>
        <v>0</v>
      </c>
      <c r="AE25" s="248"/>
      <c r="AF25" s="285"/>
      <c r="AG25" s="234">
        <f t="shared" si="17"/>
        <v>0</v>
      </c>
      <c r="AH25" s="235">
        <f t="shared" si="18"/>
        <v>0</v>
      </c>
      <c r="AI25" s="247"/>
      <c r="AJ25" s="248"/>
      <c r="AK25" s="285"/>
      <c r="AL25" s="228">
        <f t="shared" si="19"/>
        <v>0</v>
      </c>
      <c r="AM25" s="229">
        <f t="shared" si="20"/>
        <v>0</v>
      </c>
      <c r="AN25" s="247"/>
      <c r="AO25" s="248"/>
      <c r="AP25" s="285"/>
      <c r="AQ25" s="228">
        <f t="shared" si="21"/>
        <v>0</v>
      </c>
      <c r="AR25" s="229">
        <f t="shared" si="22"/>
        <v>0</v>
      </c>
      <c r="AS25" s="236">
        <f t="shared" si="23"/>
        <v>0</v>
      </c>
      <c r="AT25" s="237">
        <f t="shared" si="24"/>
        <v>0</v>
      </c>
      <c r="AU25" s="247"/>
      <c r="AV25" s="248"/>
      <c r="AW25" s="285"/>
      <c r="AX25" s="228">
        <f t="shared" si="25"/>
        <v>0</v>
      </c>
      <c r="AY25" s="229">
        <f t="shared" si="26"/>
        <v>0</v>
      </c>
      <c r="AZ25" s="248"/>
      <c r="BA25" s="285"/>
      <c r="BB25" s="234">
        <f t="shared" si="27"/>
        <v>0</v>
      </c>
      <c r="BC25" s="235">
        <f t="shared" si="28"/>
        <v>0</v>
      </c>
      <c r="BD25" s="236">
        <f t="shared" si="29"/>
        <v>0</v>
      </c>
      <c r="BE25" s="237">
        <f t="shared" si="30"/>
        <v>0</v>
      </c>
      <c r="BF25" s="247"/>
      <c r="BG25" s="248"/>
      <c r="BH25" s="285"/>
      <c r="BI25" s="228">
        <f t="shared" si="31"/>
        <v>0</v>
      </c>
      <c r="BJ25" s="229">
        <f t="shared" si="32"/>
        <v>0</v>
      </c>
      <c r="BK25" s="236">
        <f t="shared" si="33"/>
        <v>0</v>
      </c>
      <c r="BL25" s="237">
        <f t="shared" si="33"/>
        <v>0</v>
      </c>
      <c r="BM25" s="239">
        <f t="shared" si="34"/>
        <v>0</v>
      </c>
      <c r="BN25" s="240">
        <f t="shared" si="35"/>
        <v>0</v>
      </c>
      <c r="BO25" s="273"/>
      <c r="BP25" s="274"/>
      <c r="BQ25" s="140"/>
      <c r="BR25" s="228">
        <f t="shared" si="36"/>
        <v>0</v>
      </c>
      <c r="BS25" s="229">
        <f t="shared" si="37"/>
        <v>0</v>
      </c>
      <c r="BT25" s="282"/>
      <c r="BU25" s="283"/>
      <c r="BV25" s="285"/>
      <c r="BW25" s="228">
        <f t="shared" si="38"/>
        <v>0</v>
      </c>
      <c r="BX25" s="229">
        <f t="shared" si="39"/>
        <v>0</v>
      </c>
      <c r="BY25" s="282"/>
      <c r="BZ25" s="283"/>
      <c r="CA25" s="285"/>
      <c r="CB25" s="228">
        <f t="shared" si="40"/>
        <v>0</v>
      </c>
      <c r="CC25" s="229">
        <f t="shared" si="41"/>
        <v>0</v>
      </c>
      <c r="CD25" s="297">
        <f t="shared" si="42"/>
        <v>0</v>
      </c>
      <c r="CE25" s="233">
        <f t="shared" si="43"/>
        <v>0</v>
      </c>
      <c r="CF25" s="282">
        <v>0</v>
      </c>
      <c r="CG25" s="283"/>
      <c r="CH25" s="285"/>
      <c r="CI25" s="228">
        <f t="shared" si="44"/>
        <v>0</v>
      </c>
      <c r="CJ25" s="229">
        <f t="shared" si="45"/>
        <v>0</v>
      </c>
      <c r="CK25" s="230"/>
      <c r="CL25" s="231"/>
      <c r="CM25" s="285"/>
      <c r="CN25" s="228">
        <f t="shared" si="46"/>
        <v>0</v>
      </c>
      <c r="CO25" s="229">
        <f t="shared" si="47"/>
        <v>0</v>
      </c>
      <c r="CP25" s="232">
        <f t="shared" si="48"/>
        <v>0</v>
      </c>
      <c r="CQ25" s="233">
        <f t="shared" si="49"/>
        <v>0</v>
      </c>
      <c r="CR25" s="230"/>
      <c r="CS25" s="231"/>
      <c r="CT25" s="285"/>
      <c r="CU25" s="228">
        <f t="shared" si="50"/>
        <v>0</v>
      </c>
      <c r="CV25" s="229">
        <f t="shared" si="51"/>
        <v>0</v>
      </c>
      <c r="CW25" s="232">
        <f t="shared" si="52"/>
        <v>0</v>
      </c>
      <c r="CX25" s="233">
        <f t="shared" si="52"/>
        <v>0</v>
      </c>
      <c r="CY25" s="231"/>
      <c r="CZ25" s="285"/>
      <c r="DA25" s="234">
        <f t="shared" si="53"/>
        <v>0</v>
      </c>
      <c r="DB25" s="235">
        <f t="shared" si="54"/>
        <v>0</v>
      </c>
      <c r="DC25" s="232">
        <f t="shared" si="55"/>
        <v>0</v>
      </c>
      <c r="DD25" s="233">
        <f t="shared" si="55"/>
        <v>0</v>
      </c>
      <c r="DE25" s="65">
        <f t="shared" si="56"/>
        <v>0</v>
      </c>
      <c r="DF25" s="66">
        <f t="shared" si="57"/>
        <v>0</v>
      </c>
      <c r="DG25" s="31">
        <f t="shared" si="0"/>
        <v>0</v>
      </c>
      <c r="DH25" s="32">
        <f t="shared" si="1"/>
        <v>0</v>
      </c>
      <c r="DI25" s="33">
        <f t="shared" si="2"/>
        <v>0</v>
      </c>
      <c r="DJ25" s="34">
        <f t="shared" si="3"/>
        <v>0</v>
      </c>
      <c r="DK25" s="67">
        <f t="shared" si="4"/>
        <v>0</v>
      </c>
      <c r="DL25" s="35">
        <f t="shared" si="5"/>
        <v>0</v>
      </c>
      <c r="DM25" s="59">
        <f t="shared" si="6"/>
        <v>37</v>
      </c>
      <c r="DN25" s="43" t="s">
        <v>515</v>
      </c>
      <c r="DO25" s="44"/>
      <c r="DP25" s="50"/>
      <c r="DQ25" s="46"/>
    </row>
    <row r="26" spans="1:121" s="37" customFormat="1" ht="32.25" hidden="1" customHeight="1" thickBot="1">
      <c r="A26" s="49"/>
      <c r="B26" s="1">
        <f t="shared" si="59"/>
        <v>21</v>
      </c>
      <c r="C26" s="249"/>
      <c r="D26" s="249"/>
      <c r="E26" s="47" t="s">
        <v>349</v>
      </c>
      <c r="F26" s="135">
        <v>35633</v>
      </c>
      <c r="G26" s="52" t="s">
        <v>110</v>
      </c>
      <c r="H26" s="131">
        <v>10.02</v>
      </c>
      <c r="I26" s="132">
        <v>30</v>
      </c>
      <c r="J26" s="133">
        <v>10.77</v>
      </c>
      <c r="K26" s="134">
        <v>30</v>
      </c>
      <c r="L26" s="53">
        <f t="shared" si="7"/>
        <v>10.395</v>
      </c>
      <c r="M26" s="58">
        <f t="shared" si="8"/>
        <v>60</v>
      </c>
      <c r="N26" s="222">
        <v>13</v>
      </c>
      <c r="O26" s="223">
        <v>7</v>
      </c>
      <c r="P26" s="140"/>
      <c r="Q26" s="228">
        <f t="shared" si="9"/>
        <v>10</v>
      </c>
      <c r="R26" s="229">
        <f t="shared" si="10"/>
        <v>5</v>
      </c>
      <c r="S26" s="241">
        <v>16</v>
      </c>
      <c r="T26" s="242">
        <v>10.75</v>
      </c>
      <c r="U26" s="285"/>
      <c r="V26" s="228">
        <f t="shared" si="11"/>
        <v>13.375</v>
      </c>
      <c r="W26" s="229">
        <f t="shared" si="12"/>
        <v>6</v>
      </c>
      <c r="X26" s="241">
        <v>14.5</v>
      </c>
      <c r="Y26" s="242">
        <v>9.5</v>
      </c>
      <c r="Z26" s="285"/>
      <c r="AA26" s="228">
        <f t="shared" si="13"/>
        <v>12</v>
      </c>
      <c r="AB26" s="229">
        <f t="shared" si="14"/>
        <v>6</v>
      </c>
      <c r="AC26" s="232">
        <f t="shared" si="15"/>
        <v>11.791666666666666</v>
      </c>
      <c r="AD26" s="233">
        <f t="shared" si="16"/>
        <v>17</v>
      </c>
      <c r="AE26" s="242">
        <v>14.5</v>
      </c>
      <c r="AF26" s="285"/>
      <c r="AG26" s="234">
        <f t="shared" si="17"/>
        <v>14.5</v>
      </c>
      <c r="AH26" s="235">
        <f t="shared" si="18"/>
        <v>1</v>
      </c>
      <c r="AI26" s="241">
        <v>18.5</v>
      </c>
      <c r="AJ26" s="242">
        <v>14</v>
      </c>
      <c r="AK26" s="285"/>
      <c r="AL26" s="228">
        <f t="shared" si="19"/>
        <v>16.25</v>
      </c>
      <c r="AM26" s="229">
        <f t="shared" si="20"/>
        <v>3</v>
      </c>
      <c r="AN26" s="241">
        <v>15</v>
      </c>
      <c r="AO26" s="242">
        <v>11.25</v>
      </c>
      <c r="AP26" s="285"/>
      <c r="AQ26" s="228">
        <f t="shared" si="21"/>
        <v>13.125</v>
      </c>
      <c r="AR26" s="229">
        <f t="shared" si="22"/>
        <v>3</v>
      </c>
      <c r="AS26" s="236">
        <f t="shared" si="23"/>
        <v>14.65</v>
      </c>
      <c r="AT26" s="237">
        <f t="shared" si="24"/>
        <v>7</v>
      </c>
      <c r="AU26" s="241">
        <v>19.5</v>
      </c>
      <c r="AV26" s="242">
        <v>8</v>
      </c>
      <c r="AW26" s="285"/>
      <c r="AX26" s="228">
        <f t="shared" si="25"/>
        <v>13.75</v>
      </c>
      <c r="AY26" s="229">
        <f t="shared" si="26"/>
        <v>4</v>
      </c>
      <c r="AZ26" s="242">
        <v>17</v>
      </c>
      <c r="BA26" s="285"/>
      <c r="BB26" s="234">
        <f t="shared" si="27"/>
        <v>17</v>
      </c>
      <c r="BC26" s="235">
        <f t="shared" si="28"/>
        <v>1</v>
      </c>
      <c r="BD26" s="236">
        <f t="shared" si="29"/>
        <v>15.375</v>
      </c>
      <c r="BE26" s="237">
        <f t="shared" si="30"/>
        <v>5</v>
      </c>
      <c r="BF26" s="241">
        <v>12.75</v>
      </c>
      <c r="BG26" s="242">
        <v>8.5</v>
      </c>
      <c r="BH26" s="285"/>
      <c r="BI26" s="228">
        <f t="shared" si="31"/>
        <v>10.625</v>
      </c>
      <c r="BJ26" s="229">
        <f t="shared" si="32"/>
        <v>1</v>
      </c>
      <c r="BK26" s="236">
        <f t="shared" si="33"/>
        <v>10.625</v>
      </c>
      <c r="BL26" s="237">
        <f t="shared" si="33"/>
        <v>1</v>
      </c>
      <c r="BM26" s="239">
        <f t="shared" si="34"/>
        <v>13.241071428571429</v>
      </c>
      <c r="BN26" s="240">
        <f t="shared" si="35"/>
        <v>30</v>
      </c>
      <c r="BO26" s="138"/>
      <c r="BP26" s="139"/>
      <c r="BQ26" s="140"/>
      <c r="BR26" s="228">
        <f t="shared" si="36"/>
        <v>0</v>
      </c>
      <c r="BS26" s="229">
        <f t="shared" si="37"/>
        <v>0</v>
      </c>
      <c r="BT26" s="230"/>
      <c r="BU26" s="231"/>
      <c r="BV26" s="285"/>
      <c r="BW26" s="228">
        <f t="shared" si="38"/>
        <v>0</v>
      </c>
      <c r="BX26" s="229">
        <f t="shared" si="39"/>
        <v>0</v>
      </c>
      <c r="BY26" s="230"/>
      <c r="BZ26" s="231"/>
      <c r="CA26" s="285"/>
      <c r="CB26" s="228">
        <f t="shared" si="40"/>
        <v>0</v>
      </c>
      <c r="CC26" s="229">
        <f t="shared" si="41"/>
        <v>0</v>
      </c>
      <c r="CD26" s="297">
        <f t="shared" si="42"/>
        <v>0</v>
      </c>
      <c r="CE26" s="233">
        <f t="shared" si="43"/>
        <v>0</v>
      </c>
      <c r="CF26" s="230"/>
      <c r="CG26" s="231"/>
      <c r="CH26" s="285"/>
      <c r="CI26" s="228">
        <f t="shared" si="44"/>
        <v>0</v>
      </c>
      <c r="CJ26" s="229">
        <f t="shared" si="45"/>
        <v>0</v>
      </c>
      <c r="CK26" s="230"/>
      <c r="CL26" s="231"/>
      <c r="CM26" s="285"/>
      <c r="CN26" s="228">
        <f t="shared" si="46"/>
        <v>0</v>
      </c>
      <c r="CO26" s="229">
        <f t="shared" si="47"/>
        <v>0</v>
      </c>
      <c r="CP26" s="232">
        <f t="shared" si="48"/>
        <v>0</v>
      </c>
      <c r="CQ26" s="233">
        <f t="shared" si="49"/>
        <v>0</v>
      </c>
      <c r="CR26" s="230"/>
      <c r="CS26" s="231"/>
      <c r="CT26" s="285"/>
      <c r="CU26" s="228">
        <f t="shared" si="50"/>
        <v>0</v>
      </c>
      <c r="CV26" s="229">
        <f t="shared" si="51"/>
        <v>0</v>
      </c>
      <c r="CW26" s="232">
        <f t="shared" si="52"/>
        <v>0</v>
      </c>
      <c r="CX26" s="233">
        <f t="shared" si="52"/>
        <v>0</v>
      </c>
      <c r="CY26" s="231"/>
      <c r="CZ26" s="285"/>
      <c r="DA26" s="234">
        <f t="shared" si="53"/>
        <v>0</v>
      </c>
      <c r="DB26" s="235">
        <f t="shared" si="54"/>
        <v>0</v>
      </c>
      <c r="DC26" s="232">
        <f t="shared" si="55"/>
        <v>0</v>
      </c>
      <c r="DD26" s="233">
        <f t="shared" si="55"/>
        <v>0</v>
      </c>
      <c r="DE26" s="65">
        <f t="shared" si="56"/>
        <v>0</v>
      </c>
      <c r="DF26" s="66">
        <f t="shared" si="57"/>
        <v>0</v>
      </c>
      <c r="DG26" s="31">
        <f t="shared" si="0"/>
        <v>13.241071428571429</v>
      </c>
      <c r="DH26" s="32">
        <f t="shared" si="1"/>
        <v>30</v>
      </c>
      <c r="DI26" s="33">
        <f t="shared" si="2"/>
        <v>0</v>
      </c>
      <c r="DJ26" s="34">
        <f t="shared" si="3"/>
        <v>0</v>
      </c>
      <c r="DK26" s="67">
        <f t="shared" si="4"/>
        <v>6.6205357142857144</v>
      </c>
      <c r="DL26" s="35">
        <f t="shared" si="5"/>
        <v>30</v>
      </c>
      <c r="DM26" s="59">
        <f t="shared" si="6"/>
        <v>90</v>
      </c>
      <c r="DN26" s="43" t="str">
        <f t="shared" si="58"/>
        <v>ناجح(ة)بتأخير</v>
      </c>
      <c r="DO26" s="44"/>
      <c r="DP26" s="50"/>
      <c r="DQ26" s="46"/>
    </row>
    <row r="27" spans="1:121" s="37" customFormat="1" ht="32.25" customHeight="1" thickBot="1">
      <c r="A27" s="49"/>
      <c r="B27" s="1">
        <f t="shared" si="59"/>
        <v>22</v>
      </c>
      <c r="C27" s="249" t="s">
        <v>145</v>
      </c>
      <c r="D27" s="249" t="s">
        <v>146</v>
      </c>
      <c r="E27" s="45" t="s">
        <v>350</v>
      </c>
      <c r="F27" s="135">
        <v>35165</v>
      </c>
      <c r="G27" s="136" t="s">
        <v>110</v>
      </c>
      <c r="H27" s="131">
        <v>7.81</v>
      </c>
      <c r="I27" s="132">
        <v>21</v>
      </c>
      <c r="J27" s="133">
        <v>8.7799999999999994</v>
      </c>
      <c r="K27" s="134">
        <v>12</v>
      </c>
      <c r="L27" s="53">
        <f t="shared" si="7"/>
        <v>8.2949999999999999</v>
      </c>
      <c r="M27" s="58">
        <f t="shared" si="8"/>
        <v>33</v>
      </c>
      <c r="N27" s="222">
        <v>13</v>
      </c>
      <c r="O27" s="223">
        <v>1</v>
      </c>
      <c r="P27" s="140">
        <v>10</v>
      </c>
      <c r="Q27" s="228">
        <f t="shared" si="9"/>
        <v>11.5</v>
      </c>
      <c r="R27" s="229">
        <f t="shared" si="10"/>
        <v>5</v>
      </c>
      <c r="S27" s="241">
        <v>10</v>
      </c>
      <c r="T27" s="242">
        <v>0</v>
      </c>
      <c r="U27" s="285">
        <v>6</v>
      </c>
      <c r="V27" s="228">
        <f t="shared" si="11"/>
        <v>8</v>
      </c>
      <c r="W27" s="229">
        <f t="shared" si="12"/>
        <v>0</v>
      </c>
      <c r="X27" s="241">
        <v>11.5</v>
      </c>
      <c r="Y27" s="242">
        <v>3</v>
      </c>
      <c r="Z27" s="285">
        <v>5</v>
      </c>
      <c r="AA27" s="228">
        <f t="shared" si="13"/>
        <v>8.25</v>
      </c>
      <c r="AB27" s="229">
        <f t="shared" si="14"/>
        <v>0</v>
      </c>
      <c r="AC27" s="232">
        <f t="shared" si="15"/>
        <v>9.25</v>
      </c>
      <c r="AD27" s="233">
        <f t="shared" si="16"/>
        <v>5</v>
      </c>
      <c r="AE27" s="242">
        <v>1.5</v>
      </c>
      <c r="AF27" s="285">
        <v>8</v>
      </c>
      <c r="AG27" s="234">
        <f t="shared" si="17"/>
        <v>8</v>
      </c>
      <c r="AH27" s="235">
        <f t="shared" si="18"/>
        <v>0</v>
      </c>
      <c r="AI27" s="241">
        <v>12.5</v>
      </c>
      <c r="AJ27" s="242">
        <v>5.5</v>
      </c>
      <c r="AK27" s="285">
        <v>12.5</v>
      </c>
      <c r="AL27" s="228">
        <f t="shared" si="19"/>
        <v>12.5</v>
      </c>
      <c r="AM27" s="229">
        <f t="shared" si="20"/>
        <v>3</v>
      </c>
      <c r="AN27" s="241">
        <v>6.5</v>
      </c>
      <c r="AO27" s="242">
        <v>0</v>
      </c>
      <c r="AP27" s="285"/>
      <c r="AQ27" s="228">
        <f t="shared" si="21"/>
        <v>3.25</v>
      </c>
      <c r="AR27" s="229">
        <f t="shared" si="22"/>
        <v>0</v>
      </c>
      <c r="AS27" s="236">
        <f t="shared" si="23"/>
        <v>7.9</v>
      </c>
      <c r="AT27" s="237">
        <f t="shared" si="24"/>
        <v>3</v>
      </c>
      <c r="AU27" s="241">
        <v>1</v>
      </c>
      <c r="AV27" s="242">
        <v>2</v>
      </c>
      <c r="AW27" s="285"/>
      <c r="AX27" s="228">
        <f t="shared" si="25"/>
        <v>1.5</v>
      </c>
      <c r="AY27" s="229">
        <f t="shared" si="26"/>
        <v>0</v>
      </c>
      <c r="AZ27" s="242">
        <v>0</v>
      </c>
      <c r="BA27" s="285">
        <v>3.5</v>
      </c>
      <c r="BB27" s="234">
        <f t="shared" si="27"/>
        <v>3.5</v>
      </c>
      <c r="BC27" s="235">
        <f t="shared" si="28"/>
        <v>0</v>
      </c>
      <c r="BD27" s="236">
        <f t="shared" si="29"/>
        <v>2.5</v>
      </c>
      <c r="BE27" s="237">
        <f t="shared" si="30"/>
        <v>0</v>
      </c>
      <c r="BF27" s="241">
        <v>7.75</v>
      </c>
      <c r="BG27" s="242">
        <v>3</v>
      </c>
      <c r="BH27" s="285">
        <v>9.5</v>
      </c>
      <c r="BI27" s="228">
        <f t="shared" si="31"/>
        <v>8.625</v>
      </c>
      <c r="BJ27" s="229">
        <f t="shared" si="32"/>
        <v>0</v>
      </c>
      <c r="BK27" s="236">
        <f t="shared" si="33"/>
        <v>8.625</v>
      </c>
      <c r="BL27" s="237">
        <f t="shared" si="33"/>
        <v>0</v>
      </c>
      <c r="BM27" s="239">
        <f t="shared" si="34"/>
        <v>7.7589285714285712</v>
      </c>
      <c r="BN27" s="240">
        <f t="shared" si="35"/>
        <v>8</v>
      </c>
      <c r="BO27" s="271">
        <v>13</v>
      </c>
      <c r="BP27" s="272">
        <v>3</v>
      </c>
      <c r="BQ27" s="140"/>
      <c r="BR27" s="228">
        <f t="shared" si="36"/>
        <v>8</v>
      </c>
      <c r="BS27" s="229">
        <f t="shared" si="37"/>
        <v>0</v>
      </c>
      <c r="BT27" s="241">
        <v>15</v>
      </c>
      <c r="BU27" s="242">
        <v>13.5</v>
      </c>
      <c r="BV27" s="285"/>
      <c r="BW27" s="228">
        <f t="shared" si="38"/>
        <v>14.25</v>
      </c>
      <c r="BX27" s="229">
        <f t="shared" si="39"/>
        <v>6</v>
      </c>
      <c r="BY27" s="241">
        <v>5</v>
      </c>
      <c r="BZ27" s="242">
        <v>0</v>
      </c>
      <c r="CA27" s="285"/>
      <c r="CB27" s="228">
        <f t="shared" si="40"/>
        <v>2.5</v>
      </c>
      <c r="CC27" s="229">
        <f t="shared" si="41"/>
        <v>0</v>
      </c>
      <c r="CD27" s="297">
        <f t="shared" si="42"/>
        <v>9.4</v>
      </c>
      <c r="CE27" s="233">
        <f t="shared" si="43"/>
        <v>6</v>
      </c>
      <c r="CF27" s="241">
        <v>2</v>
      </c>
      <c r="CG27" s="242">
        <v>7.5</v>
      </c>
      <c r="CH27" s="285"/>
      <c r="CI27" s="228">
        <f t="shared" si="44"/>
        <v>4.75</v>
      </c>
      <c r="CJ27" s="229">
        <f t="shared" si="45"/>
        <v>0</v>
      </c>
      <c r="CK27" s="230">
        <v>10</v>
      </c>
      <c r="CL27" s="231">
        <v>0</v>
      </c>
      <c r="CM27" s="285">
        <v>0.5</v>
      </c>
      <c r="CN27" s="228">
        <f t="shared" si="46"/>
        <v>5.25</v>
      </c>
      <c r="CO27" s="229">
        <f t="shared" si="47"/>
        <v>0</v>
      </c>
      <c r="CP27" s="232">
        <f t="shared" si="48"/>
        <v>5</v>
      </c>
      <c r="CQ27" s="233">
        <f t="shared" si="49"/>
        <v>0</v>
      </c>
      <c r="CR27" s="230">
        <v>15</v>
      </c>
      <c r="CS27" s="231">
        <v>0.5</v>
      </c>
      <c r="CT27" s="285">
        <v>3</v>
      </c>
      <c r="CU27" s="228">
        <f t="shared" si="50"/>
        <v>9</v>
      </c>
      <c r="CV27" s="229">
        <f t="shared" si="51"/>
        <v>0</v>
      </c>
      <c r="CW27" s="232">
        <f t="shared" si="52"/>
        <v>9</v>
      </c>
      <c r="CX27" s="233">
        <f t="shared" si="52"/>
        <v>0</v>
      </c>
      <c r="CY27" s="231">
        <v>10</v>
      </c>
      <c r="CZ27" s="285"/>
      <c r="DA27" s="234">
        <f t="shared" si="53"/>
        <v>10</v>
      </c>
      <c r="DB27" s="235">
        <f t="shared" si="54"/>
        <v>1</v>
      </c>
      <c r="DC27" s="232">
        <f t="shared" si="55"/>
        <v>10</v>
      </c>
      <c r="DD27" s="233">
        <f t="shared" si="55"/>
        <v>1</v>
      </c>
      <c r="DE27" s="65">
        <f t="shared" si="56"/>
        <v>7.916666666666667</v>
      </c>
      <c r="DF27" s="66">
        <f t="shared" si="57"/>
        <v>7</v>
      </c>
      <c r="DG27" s="31">
        <f t="shared" si="0"/>
        <v>7.7589285714285712</v>
      </c>
      <c r="DH27" s="32">
        <f t="shared" si="1"/>
        <v>8</v>
      </c>
      <c r="DI27" s="33">
        <f t="shared" si="2"/>
        <v>7.916666666666667</v>
      </c>
      <c r="DJ27" s="34">
        <f t="shared" si="3"/>
        <v>7</v>
      </c>
      <c r="DK27" s="67">
        <f t="shared" si="4"/>
        <v>7.8377976190476186</v>
      </c>
      <c r="DL27" s="35">
        <f t="shared" si="5"/>
        <v>15</v>
      </c>
      <c r="DM27" s="59">
        <f t="shared" si="6"/>
        <v>48</v>
      </c>
      <c r="DN27" s="43" t="str">
        <f t="shared" si="58"/>
        <v>راسب(ة)</v>
      </c>
      <c r="DO27" s="44"/>
      <c r="DP27" s="50"/>
      <c r="DQ27" s="46"/>
    </row>
    <row r="28" spans="1:121" s="37" customFormat="1" ht="32.25" customHeight="1" thickBot="1">
      <c r="A28" s="49"/>
      <c r="B28" s="1">
        <f t="shared" si="59"/>
        <v>23</v>
      </c>
      <c r="C28" s="249" t="s">
        <v>147</v>
      </c>
      <c r="D28" s="249" t="s">
        <v>148</v>
      </c>
      <c r="E28" s="47" t="s">
        <v>400</v>
      </c>
      <c r="F28" s="135">
        <v>34942</v>
      </c>
      <c r="G28" s="136" t="s">
        <v>396</v>
      </c>
      <c r="H28" s="131">
        <v>10.16</v>
      </c>
      <c r="I28" s="132">
        <v>30</v>
      </c>
      <c r="J28" s="133">
        <v>9.85</v>
      </c>
      <c r="K28" s="134">
        <v>30</v>
      </c>
      <c r="L28" s="53">
        <f t="shared" si="7"/>
        <v>10.004999999999999</v>
      </c>
      <c r="M28" s="58">
        <f t="shared" si="8"/>
        <v>60</v>
      </c>
      <c r="N28" s="222">
        <v>10</v>
      </c>
      <c r="O28" s="223">
        <v>10</v>
      </c>
      <c r="P28" s="140"/>
      <c r="Q28" s="228">
        <f t="shared" si="9"/>
        <v>10</v>
      </c>
      <c r="R28" s="229">
        <f t="shared" si="10"/>
        <v>5</v>
      </c>
      <c r="S28" s="241">
        <v>13.5</v>
      </c>
      <c r="T28" s="242">
        <v>7.5</v>
      </c>
      <c r="U28" s="285"/>
      <c r="V28" s="228">
        <f t="shared" si="11"/>
        <v>10.5</v>
      </c>
      <c r="W28" s="229">
        <f t="shared" si="12"/>
        <v>6</v>
      </c>
      <c r="X28" s="241">
        <v>12</v>
      </c>
      <c r="Y28" s="242">
        <v>6</v>
      </c>
      <c r="Z28" s="285"/>
      <c r="AA28" s="228">
        <f t="shared" si="13"/>
        <v>9</v>
      </c>
      <c r="AB28" s="229">
        <f t="shared" si="14"/>
        <v>0</v>
      </c>
      <c r="AC28" s="232">
        <f t="shared" si="15"/>
        <v>9.8333333333333339</v>
      </c>
      <c r="AD28" s="233">
        <f t="shared" si="16"/>
        <v>11</v>
      </c>
      <c r="AE28" s="242">
        <v>8</v>
      </c>
      <c r="AF28" s="285"/>
      <c r="AG28" s="234">
        <f t="shared" si="17"/>
        <v>8</v>
      </c>
      <c r="AH28" s="235">
        <f t="shared" si="18"/>
        <v>0</v>
      </c>
      <c r="AI28" s="241">
        <v>8.75</v>
      </c>
      <c r="AJ28" s="242">
        <v>0</v>
      </c>
      <c r="AK28" s="285">
        <v>8.75</v>
      </c>
      <c r="AL28" s="228">
        <f t="shared" si="19"/>
        <v>8.75</v>
      </c>
      <c r="AM28" s="229">
        <f t="shared" si="20"/>
        <v>0</v>
      </c>
      <c r="AN28" s="241">
        <v>8</v>
      </c>
      <c r="AO28" s="242">
        <v>2.5</v>
      </c>
      <c r="AP28" s="285">
        <v>3</v>
      </c>
      <c r="AQ28" s="228">
        <f t="shared" si="21"/>
        <v>5.5</v>
      </c>
      <c r="AR28" s="229">
        <f t="shared" si="22"/>
        <v>0</v>
      </c>
      <c r="AS28" s="236">
        <f t="shared" si="23"/>
        <v>7.3</v>
      </c>
      <c r="AT28" s="237">
        <f t="shared" si="24"/>
        <v>0</v>
      </c>
      <c r="AU28" s="245"/>
      <c r="AV28" s="242">
        <v>3</v>
      </c>
      <c r="AW28" s="285">
        <v>4</v>
      </c>
      <c r="AX28" s="228">
        <f t="shared" si="25"/>
        <v>2</v>
      </c>
      <c r="AY28" s="229">
        <f t="shared" si="26"/>
        <v>0</v>
      </c>
      <c r="AZ28" s="242">
        <v>11.5</v>
      </c>
      <c r="BA28" s="285"/>
      <c r="BB28" s="234">
        <f t="shared" si="27"/>
        <v>11.5</v>
      </c>
      <c r="BC28" s="235">
        <f t="shared" si="28"/>
        <v>1</v>
      </c>
      <c r="BD28" s="236">
        <f t="shared" si="29"/>
        <v>6.75</v>
      </c>
      <c r="BE28" s="237">
        <f t="shared" si="30"/>
        <v>1</v>
      </c>
      <c r="BF28" s="245">
        <v>10.75</v>
      </c>
      <c r="BG28" s="246">
        <v>10.75</v>
      </c>
      <c r="BH28" s="285"/>
      <c r="BI28" s="228">
        <f t="shared" si="31"/>
        <v>10.75</v>
      </c>
      <c r="BJ28" s="229">
        <f t="shared" si="32"/>
        <v>1</v>
      </c>
      <c r="BK28" s="236">
        <f t="shared" si="33"/>
        <v>10.75</v>
      </c>
      <c r="BL28" s="237">
        <f t="shared" si="33"/>
        <v>1</v>
      </c>
      <c r="BM28" s="239">
        <f t="shared" si="34"/>
        <v>8.5535714285714288</v>
      </c>
      <c r="BN28" s="240">
        <f t="shared" si="35"/>
        <v>13</v>
      </c>
      <c r="BO28" s="271">
        <v>10.5</v>
      </c>
      <c r="BP28" s="272">
        <v>10.5</v>
      </c>
      <c r="BQ28" s="140"/>
      <c r="BR28" s="228">
        <f t="shared" si="36"/>
        <v>10.5</v>
      </c>
      <c r="BS28" s="229">
        <f t="shared" si="37"/>
        <v>6</v>
      </c>
      <c r="BT28" s="241">
        <v>12.5</v>
      </c>
      <c r="BU28" s="242">
        <v>12.5</v>
      </c>
      <c r="BV28" s="285"/>
      <c r="BW28" s="228">
        <f t="shared" si="38"/>
        <v>12.5</v>
      </c>
      <c r="BX28" s="229">
        <f t="shared" si="39"/>
        <v>6</v>
      </c>
      <c r="BY28" s="241">
        <v>2</v>
      </c>
      <c r="BZ28" s="242">
        <v>4.5</v>
      </c>
      <c r="CA28" s="285"/>
      <c r="CB28" s="228">
        <f t="shared" si="40"/>
        <v>3.25</v>
      </c>
      <c r="CC28" s="229">
        <f t="shared" si="41"/>
        <v>0</v>
      </c>
      <c r="CD28" s="297">
        <f t="shared" si="42"/>
        <v>9.85</v>
      </c>
      <c r="CE28" s="233">
        <f t="shared" si="43"/>
        <v>12</v>
      </c>
      <c r="CF28" s="300">
        <v>10.5</v>
      </c>
      <c r="CG28" s="301">
        <v>10.5</v>
      </c>
      <c r="CH28" s="285"/>
      <c r="CI28" s="228">
        <f t="shared" si="44"/>
        <v>10.5</v>
      </c>
      <c r="CJ28" s="229">
        <f t="shared" si="45"/>
        <v>5</v>
      </c>
      <c r="CK28" s="230">
        <v>12</v>
      </c>
      <c r="CL28" s="231">
        <v>2</v>
      </c>
      <c r="CM28" s="285"/>
      <c r="CN28" s="228">
        <f t="shared" si="46"/>
        <v>7</v>
      </c>
      <c r="CO28" s="229">
        <f t="shared" si="47"/>
        <v>0</v>
      </c>
      <c r="CP28" s="232">
        <f t="shared" si="48"/>
        <v>8.75</v>
      </c>
      <c r="CQ28" s="233">
        <f t="shared" si="49"/>
        <v>5</v>
      </c>
      <c r="CR28" s="230">
        <v>13.5</v>
      </c>
      <c r="CS28" s="231">
        <v>13.5</v>
      </c>
      <c r="CT28" s="285"/>
      <c r="CU28" s="228">
        <f t="shared" si="50"/>
        <v>13.5</v>
      </c>
      <c r="CV28" s="229">
        <f t="shared" si="51"/>
        <v>3</v>
      </c>
      <c r="CW28" s="232">
        <f t="shared" si="52"/>
        <v>13.5</v>
      </c>
      <c r="CX28" s="233">
        <f t="shared" si="52"/>
        <v>3</v>
      </c>
      <c r="CY28" s="231">
        <v>12.75</v>
      </c>
      <c r="CZ28" s="285"/>
      <c r="DA28" s="234">
        <f t="shared" si="53"/>
        <v>12.75</v>
      </c>
      <c r="DB28" s="235">
        <f t="shared" si="54"/>
        <v>1</v>
      </c>
      <c r="DC28" s="232">
        <f t="shared" si="55"/>
        <v>12.75</v>
      </c>
      <c r="DD28" s="233">
        <f t="shared" si="55"/>
        <v>1</v>
      </c>
      <c r="DE28" s="65">
        <f t="shared" si="56"/>
        <v>10.333333333333334</v>
      </c>
      <c r="DF28" s="66">
        <f t="shared" si="57"/>
        <v>30</v>
      </c>
      <c r="DG28" s="31">
        <f t="shared" si="0"/>
        <v>8.5535714285714288</v>
      </c>
      <c r="DH28" s="32">
        <f t="shared" si="1"/>
        <v>13</v>
      </c>
      <c r="DI28" s="33">
        <f t="shared" si="2"/>
        <v>10.333333333333334</v>
      </c>
      <c r="DJ28" s="34">
        <f t="shared" si="3"/>
        <v>30</v>
      </c>
      <c r="DK28" s="67">
        <f t="shared" si="4"/>
        <v>9.4434523809523814</v>
      </c>
      <c r="DL28" s="35">
        <f t="shared" si="5"/>
        <v>43</v>
      </c>
      <c r="DM28" s="59">
        <f t="shared" si="6"/>
        <v>103</v>
      </c>
      <c r="DN28" s="43" t="str">
        <f t="shared" si="58"/>
        <v>ناجح(ة)بتأخير</v>
      </c>
      <c r="DO28" s="44"/>
      <c r="DP28" s="50"/>
      <c r="DQ28" s="46"/>
    </row>
    <row r="29" spans="1:121" s="37" customFormat="1" ht="32.25" customHeight="1" thickBot="1">
      <c r="A29" s="49"/>
      <c r="B29" s="1">
        <f t="shared" si="59"/>
        <v>24</v>
      </c>
      <c r="C29" s="249" t="s">
        <v>498</v>
      </c>
      <c r="D29" s="249" t="s">
        <v>499</v>
      </c>
      <c r="E29" s="47" t="s">
        <v>401</v>
      </c>
      <c r="F29" s="135">
        <v>35673</v>
      </c>
      <c r="G29" s="136" t="s">
        <v>110</v>
      </c>
      <c r="H29" s="131">
        <v>6.13</v>
      </c>
      <c r="I29" s="132">
        <v>14</v>
      </c>
      <c r="J29" s="133">
        <v>5.73</v>
      </c>
      <c r="K29" s="134">
        <v>17</v>
      </c>
      <c r="L29" s="53">
        <f t="shared" si="7"/>
        <v>5.93</v>
      </c>
      <c r="M29" s="58">
        <f t="shared" si="8"/>
        <v>31</v>
      </c>
      <c r="N29" s="224"/>
      <c r="O29" s="225"/>
      <c r="P29" s="140"/>
      <c r="Q29" s="228">
        <f t="shared" si="9"/>
        <v>0</v>
      </c>
      <c r="R29" s="229">
        <f t="shared" si="10"/>
        <v>0</v>
      </c>
      <c r="S29" s="243"/>
      <c r="T29" s="244"/>
      <c r="U29" s="285"/>
      <c r="V29" s="228">
        <f t="shared" si="11"/>
        <v>0</v>
      </c>
      <c r="W29" s="229">
        <f t="shared" si="12"/>
        <v>0</v>
      </c>
      <c r="X29" s="245">
        <v>9</v>
      </c>
      <c r="Y29" s="246">
        <v>9</v>
      </c>
      <c r="Z29" s="285"/>
      <c r="AA29" s="228">
        <f t="shared" si="13"/>
        <v>9</v>
      </c>
      <c r="AB29" s="229">
        <f t="shared" si="14"/>
        <v>0</v>
      </c>
      <c r="AC29" s="232">
        <f t="shared" si="15"/>
        <v>3</v>
      </c>
      <c r="AD29" s="233">
        <f t="shared" si="16"/>
        <v>0</v>
      </c>
      <c r="AE29" s="248"/>
      <c r="AF29" s="285"/>
      <c r="AG29" s="234">
        <f t="shared" si="17"/>
        <v>0</v>
      </c>
      <c r="AH29" s="235">
        <f t="shared" si="18"/>
        <v>0</v>
      </c>
      <c r="AI29" s="247"/>
      <c r="AJ29" s="248"/>
      <c r="AK29" s="285"/>
      <c r="AL29" s="228">
        <f t="shared" si="19"/>
        <v>0</v>
      </c>
      <c r="AM29" s="229">
        <f t="shared" si="20"/>
        <v>0</v>
      </c>
      <c r="AN29" s="247"/>
      <c r="AO29" s="248"/>
      <c r="AP29" s="285"/>
      <c r="AQ29" s="228">
        <f t="shared" si="21"/>
        <v>0</v>
      </c>
      <c r="AR29" s="229">
        <f t="shared" si="22"/>
        <v>0</v>
      </c>
      <c r="AS29" s="236">
        <f t="shared" si="23"/>
        <v>0</v>
      </c>
      <c r="AT29" s="237">
        <f t="shared" si="24"/>
        <v>0</v>
      </c>
      <c r="AU29" s="247"/>
      <c r="AV29" s="248"/>
      <c r="AW29" s="285"/>
      <c r="AX29" s="228">
        <f t="shared" si="25"/>
        <v>0</v>
      </c>
      <c r="AY29" s="229">
        <f t="shared" si="26"/>
        <v>0</v>
      </c>
      <c r="AZ29" s="242"/>
      <c r="BA29" s="285"/>
      <c r="BB29" s="234">
        <f t="shared" si="27"/>
        <v>0</v>
      </c>
      <c r="BC29" s="235">
        <f t="shared" si="28"/>
        <v>0</v>
      </c>
      <c r="BD29" s="236">
        <f t="shared" si="29"/>
        <v>0</v>
      </c>
      <c r="BE29" s="237">
        <f t="shared" si="30"/>
        <v>0</v>
      </c>
      <c r="BF29" s="245">
        <v>10</v>
      </c>
      <c r="BG29" s="246">
        <v>10</v>
      </c>
      <c r="BH29" s="285"/>
      <c r="BI29" s="228">
        <f t="shared" si="31"/>
        <v>10</v>
      </c>
      <c r="BJ29" s="229">
        <f t="shared" si="32"/>
        <v>1</v>
      </c>
      <c r="BK29" s="236">
        <f t="shared" si="33"/>
        <v>10</v>
      </c>
      <c r="BL29" s="237">
        <f t="shared" si="33"/>
        <v>1</v>
      </c>
      <c r="BM29" s="239">
        <f t="shared" si="34"/>
        <v>2</v>
      </c>
      <c r="BN29" s="240">
        <f t="shared" si="35"/>
        <v>1</v>
      </c>
      <c r="BO29" s="273"/>
      <c r="BP29" s="274"/>
      <c r="BQ29" s="140"/>
      <c r="BR29" s="228">
        <f t="shared" si="36"/>
        <v>0</v>
      </c>
      <c r="BS29" s="229">
        <f t="shared" si="37"/>
        <v>0</v>
      </c>
      <c r="BT29" s="282"/>
      <c r="BU29" s="283"/>
      <c r="BV29" s="285"/>
      <c r="BW29" s="228">
        <f t="shared" si="38"/>
        <v>0</v>
      </c>
      <c r="BX29" s="229">
        <f t="shared" si="39"/>
        <v>0</v>
      </c>
      <c r="BY29" s="282">
        <v>0</v>
      </c>
      <c r="BZ29" s="283">
        <v>0</v>
      </c>
      <c r="CA29" s="285"/>
      <c r="CB29" s="228">
        <f t="shared" si="40"/>
        <v>0</v>
      </c>
      <c r="CC29" s="229">
        <f t="shared" si="41"/>
        <v>0</v>
      </c>
      <c r="CD29" s="297">
        <f t="shared" si="42"/>
        <v>0</v>
      </c>
      <c r="CE29" s="233">
        <f t="shared" si="43"/>
        <v>0</v>
      </c>
      <c r="CF29" s="282">
        <v>0</v>
      </c>
      <c r="CG29" s="283"/>
      <c r="CH29" s="285"/>
      <c r="CI29" s="228">
        <f t="shared" si="44"/>
        <v>0</v>
      </c>
      <c r="CJ29" s="229">
        <f t="shared" si="45"/>
        <v>0</v>
      </c>
      <c r="CK29" s="230"/>
      <c r="CL29" s="231"/>
      <c r="CM29" s="285"/>
      <c r="CN29" s="228">
        <f t="shared" si="46"/>
        <v>0</v>
      </c>
      <c r="CO29" s="229">
        <f t="shared" si="47"/>
        <v>0</v>
      </c>
      <c r="CP29" s="232">
        <f t="shared" si="48"/>
        <v>0</v>
      </c>
      <c r="CQ29" s="233">
        <f t="shared" si="49"/>
        <v>0</v>
      </c>
      <c r="CR29" s="230"/>
      <c r="CS29" s="231"/>
      <c r="CT29" s="285"/>
      <c r="CU29" s="228">
        <f t="shared" si="50"/>
        <v>0</v>
      </c>
      <c r="CV29" s="229">
        <f t="shared" si="51"/>
        <v>0</v>
      </c>
      <c r="CW29" s="232">
        <f t="shared" si="52"/>
        <v>0</v>
      </c>
      <c r="CX29" s="233">
        <f t="shared" si="52"/>
        <v>0</v>
      </c>
      <c r="CY29" s="231"/>
      <c r="CZ29" s="285"/>
      <c r="DA29" s="234">
        <f t="shared" si="53"/>
        <v>0</v>
      </c>
      <c r="DB29" s="235">
        <f t="shared" si="54"/>
        <v>0</v>
      </c>
      <c r="DC29" s="232">
        <f t="shared" si="55"/>
        <v>0</v>
      </c>
      <c r="DD29" s="233">
        <f t="shared" si="55"/>
        <v>0</v>
      </c>
      <c r="DE29" s="65">
        <f t="shared" si="56"/>
        <v>0</v>
      </c>
      <c r="DF29" s="66">
        <f t="shared" si="57"/>
        <v>0</v>
      </c>
      <c r="DG29" s="31">
        <f t="shared" si="0"/>
        <v>2</v>
      </c>
      <c r="DH29" s="32">
        <f t="shared" si="1"/>
        <v>1</v>
      </c>
      <c r="DI29" s="33">
        <f t="shared" si="2"/>
        <v>0</v>
      </c>
      <c r="DJ29" s="34">
        <f t="shared" si="3"/>
        <v>0</v>
      </c>
      <c r="DK29" s="67">
        <f t="shared" si="4"/>
        <v>1</v>
      </c>
      <c r="DL29" s="35">
        <f t="shared" si="5"/>
        <v>1</v>
      </c>
      <c r="DM29" s="59">
        <f t="shared" si="6"/>
        <v>32</v>
      </c>
      <c r="DN29" s="43" t="s">
        <v>516</v>
      </c>
      <c r="DO29" s="44"/>
      <c r="DP29" s="50"/>
      <c r="DQ29" s="46"/>
    </row>
    <row r="30" spans="1:121" s="37" customFormat="1" ht="32.25" customHeight="1" thickBot="1">
      <c r="A30" s="49"/>
      <c r="B30" s="1">
        <f t="shared" si="59"/>
        <v>25</v>
      </c>
      <c r="C30" s="249" t="s">
        <v>149</v>
      </c>
      <c r="D30" s="249" t="s">
        <v>150</v>
      </c>
      <c r="E30" s="47" t="s">
        <v>351</v>
      </c>
      <c r="F30" s="135">
        <v>34734</v>
      </c>
      <c r="G30" s="136" t="s">
        <v>402</v>
      </c>
      <c r="H30" s="131">
        <v>7.67</v>
      </c>
      <c r="I30" s="132">
        <v>16</v>
      </c>
      <c r="J30" s="133">
        <v>6.57</v>
      </c>
      <c r="K30" s="134">
        <v>16</v>
      </c>
      <c r="L30" s="53">
        <f t="shared" si="7"/>
        <v>7.12</v>
      </c>
      <c r="M30" s="58">
        <f t="shared" si="8"/>
        <v>32</v>
      </c>
      <c r="N30" s="222"/>
      <c r="O30" s="223">
        <v>1</v>
      </c>
      <c r="P30" s="140"/>
      <c r="Q30" s="228">
        <f t="shared" si="9"/>
        <v>0.5</v>
      </c>
      <c r="R30" s="229">
        <f t="shared" si="10"/>
        <v>0</v>
      </c>
      <c r="S30" s="241">
        <v>15</v>
      </c>
      <c r="T30" s="242">
        <v>8</v>
      </c>
      <c r="U30" s="285"/>
      <c r="V30" s="228">
        <f t="shared" si="11"/>
        <v>11.5</v>
      </c>
      <c r="W30" s="229">
        <f t="shared" si="12"/>
        <v>6</v>
      </c>
      <c r="X30" s="241">
        <v>11</v>
      </c>
      <c r="Y30" s="242">
        <v>2.5</v>
      </c>
      <c r="Z30" s="285"/>
      <c r="AA30" s="228">
        <f t="shared" si="13"/>
        <v>6.75</v>
      </c>
      <c r="AB30" s="229">
        <f t="shared" si="14"/>
        <v>0</v>
      </c>
      <c r="AC30" s="232">
        <f t="shared" si="15"/>
        <v>6.25</v>
      </c>
      <c r="AD30" s="233">
        <f t="shared" si="16"/>
        <v>6</v>
      </c>
      <c r="AE30" s="242">
        <v>9</v>
      </c>
      <c r="AF30" s="285"/>
      <c r="AG30" s="234">
        <f t="shared" si="17"/>
        <v>9</v>
      </c>
      <c r="AH30" s="235">
        <f t="shared" si="18"/>
        <v>0</v>
      </c>
      <c r="AI30" s="241">
        <v>2</v>
      </c>
      <c r="AJ30" s="242">
        <v>1</v>
      </c>
      <c r="AK30" s="285"/>
      <c r="AL30" s="228">
        <f t="shared" si="19"/>
        <v>1.5</v>
      </c>
      <c r="AM30" s="229">
        <f t="shared" si="20"/>
        <v>0</v>
      </c>
      <c r="AN30" s="241">
        <v>8.25</v>
      </c>
      <c r="AO30" s="242">
        <v>0</v>
      </c>
      <c r="AP30" s="285"/>
      <c r="AQ30" s="228">
        <f t="shared" si="21"/>
        <v>4.125</v>
      </c>
      <c r="AR30" s="229">
        <f t="shared" si="22"/>
        <v>0</v>
      </c>
      <c r="AS30" s="236">
        <f t="shared" si="23"/>
        <v>4.05</v>
      </c>
      <c r="AT30" s="237">
        <f t="shared" si="24"/>
        <v>0</v>
      </c>
      <c r="AU30" s="241">
        <v>3</v>
      </c>
      <c r="AV30" s="242">
        <v>4</v>
      </c>
      <c r="AW30" s="285"/>
      <c r="AX30" s="228">
        <f t="shared" si="25"/>
        <v>3.5</v>
      </c>
      <c r="AY30" s="229">
        <f t="shared" si="26"/>
        <v>0</v>
      </c>
      <c r="AZ30" s="242">
        <v>2</v>
      </c>
      <c r="BA30" s="285"/>
      <c r="BB30" s="234">
        <f t="shared" si="27"/>
        <v>2</v>
      </c>
      <c r="BC30" s="235">
        <f t="shared" si="28"/>
        <v>0</v>
      </c>
      <c r="BD30" s="236">
        <f t="shared" si="29"/>
        <v>2.75</v>
      </c>
      <c r="BE30" s="237">
        <f t="shared" si="30"/>
        <v>0</v>
      </c>
      <c r="BF30" s="241">
        <v>11.5</v>
      </c>
      <c r="BG30" s="242">
        <v>13.25</v>
      </c>
      <c r="BH30" s="285"/>
      <c r="BI30" s="228">
        <f t="shared" si="31"/>
        <v>12.375</v>
      </c>
      <c r="BJ30" s="229">
        <f t="shared" si="32"/>
        <v>1</v>
      </c>
      <c r="BK30" s="236">
        <f t="shared" si="33"/>
        <v>12.375</v>
      </c>
      <c r="BL30" s="237">
        <f t="shared" si="33"/>
        <v>1</v>
      </c>
      <c r="BM30" s="239">
        <f t="shared" si="34"/>
        <v>5.4017857142857144</v>
      </c>
      <c r="BN30" s="240">
        <f t="shared" si="35"/>
        <v>7</v>
      </c>
      <c r="BO30" s="271">
        <v>14</v>
      </c>
      <c r="BP30" s="272">
        <v>9</v>
      </c>
      <c r="BQ30" s="140"/>
      <c r="BR30" s="228">
        <f t="shared" si="36"/>
        <v>11.5</v>
      </c>
      <c r="BS30" s="229">
        <f t="shared" si="37"/>
        <v>6</v>
      </c>
      <c r="BT30" s="241">
        <v>13</v>
      </c>
      <c r="BU30" s="242">
        <v>8.5</v>
      </c>
      <c r="BV30" s="285"/>
      <c r="BW30" s="228">
        <f t="shared" si="38"/>
        <v>10.75</v>
      </c>
      <c r="BX30" s="229">
        <f t="shared" si="39"/>
        <v>6</v>
      </c>
      <c r="BY30" s="241">
        <v>4</v>
      </c>
      <c r="BZ30" s="242"/>
      <c r="CA30" s="285"/>
      <c r="CB30" s="228">
        <f t="shared" si="40"/>
        <v>2</v>
      </c>
      <c r="CC30" s="229">
        <f t="shared" si="41"/>
        <v>0</v>
      </c>
      <c r="CD30" s="297">
        <f t="shared" si="42"/>
        <v>9.3000000000000007</v>
      </c>
      <c r="CE30" s="233">
        <f t="shared" si="43"/>
        <v>12</v>
      </c>
      <c r="CF30" s="241">
        <v>0</v>
      </c>
      <c r="CG30" s="242">
        <v>4</v>
      </c>
      <c r="CH30" s="285"/>
      <c r="CI30" s="228">
        <f t="shared" si="44"/>
        <v>2</v>
      </c>
      <c r="CJ30" s="229">
        <f t="shared" si="45"/>
        <v>0</v>
      </c>
      <c r="CK30" s="230">
        <v>10</v>
      </c>
      <c r="CL30" s="231">
        <v>0</v>
      </c>
      <c r="CM30" s="285"/>
      <c r="CN30" s="228">
        <f t="shared" si="46"/>
        <v>5</v>
      </c>
      <c r="CO30" s="229">
        <f t="shared" si="47"/>
        <v>0</v>
      </c>
      <c r="CP30" s="232">
        <f t="shared" si="48"/>
        <v>3.5</v>
      </c>
      <c r="CQ30" s="233">
        <f t="shared" si="49"/>
        <v>0</v>
      </c>
      <c r="CR30" s="230">
        <v>14.5</v>
      </c>
      <c r="CS30" s="231">
        <v>0.5</v>
      </c>
      <c r="CT30" s="285"/>
      <c r="CU30" s="228">
        <f t="shared" si="50"/>
        <v>7.5</v>
      </c>
      <c r="CV30" s="229">
        <f t="shared" si="51"/>
        <v>0</v>
      </c>
      <c r="CW30" s="232">
        <f t="shared" si="52"/>
        <v>7.5</v>
      </c>
      <c r="CX30" s="233">
        <f t="shared" si="52"/>
        <v>0</v>
      </c>
      <c r="CY30" s="231">
        <v>7</v>
      </c>
      <c r="CZ30" s="285"/>
      <c r="DA30" s="234">
        <f t="shared" si="53"/>
        <v>7</v>
      </c>
      <c r="DB30" s="235">
        <f t="shared" si="54"/>
        <v>0</v>
      </c>
      <c r="DC30" s="232">
        <f t="shared" si="55"/>
        <v>7</v>
      </c>
      <c r="DD30" s="233">
        <f t="shared" si="55"/>
        <v>0</v>
      </c>
      <c r="DE30" s="65">
        <f t="shared" si="56"/>
        <v>6.875</v>
      </c>
      <c r="DF30" s="66">
        <f t="shared" si="57"/>
        <v>12</v>
      </c>
      <c r="DG30" s="31">
        <f t="shared" si="0"/>
        <v>5.4017857142857144</v>
      </c>
      <c r="DH30" s="32">
        <f t="shared" si="1"/>
        <v>7</v>
      </c>
      <c r="DI30" s="33">
        <f t="shared" si="2"/>
        <v>6.875</v>
      </c>
      <c r="DJ30" s="34">
        <f t="shared" si="3"/>
        <v>12</v>
      </c>
      <c r="DK30" s="67">
        <f t="shared" si="4"/>
        <v>6.1383928571428577</v>
      </c>
      <c r="DL30" s="35">
        <f t="shared" si="5"/>
        <v>19</v>
      </c>
      <c r="DM30" s="59">
        <f t="shared" si="6"/>
        <v>51</v>
      </c>
      <c r="DN30" s="43" t="str">
        <f t="shared" si="58"/>
        <v>راسب(ة)</v>
      </c>
      <c r="DO30" s="44"/>
      <c r="DP30" s="50"/>
      <c r="DQ30" s="46"/>
    </row>
    <row r="31" spans="1:121" s="37" customFormat="1" ht="32.25" customHeight="1" thickBot="1">
      <c r="A31" s="49"/>
      <c r="B31" s="1">
        <f t="shared" si="59"/>
        <v>26</v>
      </c>
      <c r="C31" s="249" t="s">
        <v>151</v>
      </c>
      <c r="D31" s="249" t="s">
        <v>152</v>
      </c>
      <c r="E31" s="137" t="s">
        <v>403</v>
      </c>
      <c r="F31" s="135">
        <v>36194</v>
      </c>
      <c r="G31" s="136" t="s">
        <v>404</v>
      </c>
      <c r="H31" s="131">
        <v>10</v>
      </c>
      <c r="I31" s="132">
        <v>30</v>
      </c>
      <c r="J31" s="133">
        <v>10</v>
      </c>
      <c r="K31" s="134">
        <v>30</v>
      </c>
      <c r="L31" s="53">
        <f t="shared" si="7"/>
        <v>10</v>
      </c>
      <c r="M31" s="58">
        <f t="shared" si="8"/>
        <v>60</v>
      </c>
      <c r="N31" s="222">
        <v>13</v>
      </c>
      <c r="O31" s="223">
        <v>9</v>
      </c>
      <c r="P31" s="140"/>
      <c r="Q31" s="228">
        <f t="shared" si="9"/>
        <v>11</v>
      </c>
      <c r="R31" s="229">
        <f t="shared" si="10"/>
        <v>5</v>
      </c>
      <c r="S31" s="241">
        <v>14.5</v>
      </c>
      <c r="T31" s="242">
        <v>10</v>
      </c>
      <c r="U31" s="285"/>
      <c r="V31" s="228">
        <f t="shared" si="11"/>
        <v>12.25</v>
      </c>
      <c r="W31" s="229">
        <f t="shared" si="12"/>
        <v>6</v>
      </c>
      <c r="X31" s="241">
        <v>12.5</v>
      </c>
      <c r="Y31" s="242">
        <v>7.5</v>
      </c>
      <c r="Z31" s="285"/>
      <c r="AA31" s="228">
        <f t="shared" si="13"/>
        <v>10</v>
      </c>
      <c r="AB31" s="229">
        <f t="shared" si="14"/>
        <v>6</v>
      </c>
      <c r="AC31" s="232">
        <f t="shared" si="15"/>
        <v>11.083333333333334</v>
      </c>
      <c r="AD31" s="233">
        <f t="shared" si="16"/>
        <v>17</v>
      </c>
      <c r="AE31" s="242">
        <v>13</v>
      </c>
      <c r="AF31" s="285"/>
      <c r="AG31" s="234">
        <f t="shared" si="17"/>
        <v>13</v>
      </c>
      <c r="AH31" s="235">
        <f t="shared" si="18"/>
        <v>1</v>
      </c>
      <c r="AI31" s="241">
        <v>13</v>
      </c>
      <c r="AJ31" s="242">
        <v>10.75</v>
      </c>
      <c r="AK31" s="285"/>
      <c r="AL31" s="228">
        <f t="shared" si="19"/>
        <v>11.875</v>
      </c>
      <c r="AM31" s="229">
        <f t="shared" si="20"/>
        <v>3</v>
      </c>
      <c r="AN31" s="241">
        <v>8</v>
      </c>
      <c r="AO31" s="242">
        <v>1.5</v>
      </c>
      <c r="AP31" s="285"/>
      <c r="AQ31" s="228">
        <f t="shared" si="21"/>
        <v>4.75</v>
      </c>
      <c r="AR31" s="229">
        <f t="shared" si="22"/>
        <v>0</v>
      </c>
      <c r="AS31" s="236">
        <f t="shared" si="23"/>
        <v>9.25</v>
      </c>
      <c r="AT31" s="237">
        <f t="shared" si="24"/>
        <v>4</v>
      </c>
      <c r="AU31" s="241">
        <v>17</v>
      </c>
      <c r="AV31" s="242">
        <v>12</v>
      </c>
      <c r="AW31" s="285"/>
      <c r="AX31" s="228">
        <f t="shared" si="25"/>
        <v>14.5</v>
      </c>
      <c r="AY31" s="229">
        <f t="shared" si="26"/>
        <v>4</v>
      </c>
      <c r="AZ31" s="242">
        <v>4.5</v>
      </c>
      <c r="BA31" s="285"/>
      <c r="BB31" s="234">
        <f t="shared" si="27"/>
        <v>4.5</v>
      </c>
      <c r="BC31" s="235">
        <f t="shared" si="28"/>
        <v>0</v>
      </c>
      <c r="BD31" s="236">
        <f t="shared" si="29"/>
        <v>9.5</v>
      </c>
      <c r="BE31" s="237">
        <f t="shared" si="30"/>
        <v>4</v>
      </c>
      <c r="BF31" s="241">
        <v>10.5</v>
      </c>
      <c r="BG31" s="242">
        <v>10</v>
      </c>
      <c r="BH31" s="285"/>
      <c r="BI31" s="228">
        <f t="shared" si="31"/>
        <v>10.25</v>
      </c>
      <c r="BJ31" s="229">
        <f t="shared" si="32"/>
        <v>1</v>
      </c>
      <c r="BK31" s="236">
        <f t="shared" si="33"/>
        <v>10.25</v>
      </c>
      <c r="BL31" s="237">
        <f t="shared" si="33"/>
        <v>1</v>
      </c>
      <c r="BM31" s="239">
        <f t="shared" si="34"/>
        <v>10.142857142857142</v>
      </c>
      <c r="BN31" s="240">
        <f t="shared" si="35"/>
        <v>30</v>
      </c>
      <c r="BO31" s="271">
        <v>14.5</v>
      </c>
      <c r="BP31" s="272">
        <v>12</v>
      </c>
      <c r="BQ31" s="140"/>
      <c r="BR31" s="228">
        <f t="shared" si="36"/>
        <v>13.25</v>
      </c>
      <c r="BS31" s="229">
        <f t="shared" si="37"/>
        <v>6</v>
      </c>
      <c r="BT31" s="241">
        <v>14.5</v>
      </c>
      <c r="BU31" s="242">
        <v>11</v>
      </c>
      <c r="BV31" s="285"/>
      <c r="BW31" s="228">
        <f t="shared" si="38"/>
        <v>12.75</v>
      </c>
      <c r="BX31" s="229">
        <f t="shared" si="39"/>
        <v>6</v>
      </c>
      <c r="BY31" s="241">
        <v>13</v>
      </c>
      <c r="BZ31" s="242">
        <v>4</v>
      </c>
      <c r="CA31" s="285"/>
      <c r="CB31" s="228">
        <f t="shared" si="40"/>
        <v>8.5</v>
      </c>
      <c r="CC31" s="229">
        <f t="shared" si="41"/>
        <v>0</v>
      </c>
      <c r="CD31" s="297">
        <f t="shared" si="42"/>
        <v>12.1</v>
      </c>
      <c r="CE31" s="233">
        <f t="shared" si="43"/>
        <v>16</v>
      </c>
      <c r="CF31" s="241">
        <v>11</v>
      </c>
      <c r="CG31" s="242">
        <v>9</v>
      </c>
      <c r="CH31" s="285"/>
      <c r="CI31" s="228">
        <f t="shared" si="44"/>
        <v>10</v>
      </c>
      <c r="CJ31" s="229">
        <f t="shared" si="45"/>
        <v>5</v>
      </c>
      <c r="CK31" s="230">
        <v>12</v>
      </c>
      <c r="CL31" s="231">
        <v>4.5</v>
      </c>
      <c r="CM31" s="285"/>
      <c r="CN31" s="228">
        <f t="shared" si="46"/>
        <v>8.25</v>
      </c>
      <c r="CO31" s="229">
        <f t="shared" si="47"/>
        <v>0</v>
      </c>
      <c r="CP31" s="232">
        <f t="shared" si="48"/>
        <v>9.125</v>
      </c>
      <c r="CQ31" s="233">
        <f t="shared" si="49"/>
        <v>5</v>
      </c>
      <c r="CR31" s="230">
        <v>16.5</v>
      </c>
      <c r="CS31" s="231">
        <v>2.75</v>
      </c>
      <c r="CT31" s="285"/>
      <c r="CU31" s="228">
        <f t="shared" si="50"/>
        <v>9.625</v>
      </c>
      <c r="CV31" s="229">
        <f t="shared" si="51"/>
        <v>0</v>
      </c>
      <c r="CW31" s="232">
        <f t="shared" si="52"/>
        <v>9.625</v>
      </c>
      <c r="CX31" s="233">
        <f t="shared" si="52"/>
        <v>0</v>
      </c>
      <c r="CY31" s="231">
        <v>12</v>
      </c>
      <c r="CZ31" s="285"/>
      <c r="DA31" s="234">
        <f t="shared" si="53"/>
        <v>12</v>
      </c>
      <c r="DB31" s="235">
        <f t="shared" si="54"/>
        <v>1</v>
      </c>
      <c r="DC31" s="232">
        <f t="shared" si="55"/>
        <v>12</v>
      </c>
      <c r="DD31" s="233">
        <f t="shared" si="55"/>
        <v>1</v>
      </c>
      <c r="DE31" s="65">
        <f t="shared" si="56"/>
        <v>10.6875</v>
      </c>
      <c r="DF31" s="66">
        <f t="shared" si="57"/>
        <v>30</v>
      </c>
      <c r="DG31" s="31">
        <f t="shared" si="0"/>
        <v>10.142857142857142</v>
      </c>
      <c r="DH31" s="32">
        <f t="shared" si="1"/>
        <v>30</v>
      </c>
      <c r="DI31" s="33">
        <f t="shared" si="2"/>
        <v>10.6875</v>
      </c>
      <c r="DJ31" s="34">
        <f t="shared" si="3"/>
        <v>30</v>
      </c>
      <c r="DK31" s="67">
        <f t="shared" si="4"/>
        <v>10.415178571428571</v>
      </c>
      <c r="DL31" s="35">
        <f t="shared" si="5"/>
        <v>60</v>
      </c>
      <c r="DM31" s="59">
        <f t="shared" si="6"/>
        <v>120</v>
      </c>
      <c r="DN31" s="43" t="str">
        <f t="shared" si="58"/>
        <v>ناجح(ة) دورة2</v>
      </c>
      <c r="DO31" s="44"/>
      <c r="DP31" s="50"/>
      <c r="DQ31" s="46"/>
    </row>
    <row r="32" spans="1:121" s="37" customFormat="1" ht="32.25" customHeight="1" thickBot="1">
      <c r="A32" s="49"/>
      <c r="B32" s="1">
        <f t="shared" si="59"/>
        <v>27</v>
      </c>
      <c r="C32" s="249" t="s">
        <v>153</v>
      </c>
      <c r="D32" s="249" t="s">
        <v>154</v>
      </c>
      <c r="E32" s="47" t="s">
        <v>405</v>
      </c>
      <c r="F32" s="135">
        <v>35205</v>
      </c>
      <c r="G32" s="136" t="s">
        <v>110</v>
      </c>
      <c r="H32" s="131">
        <v>10</v>
      </c>
      <c r="I32" s="132">
        <v>30</v>
      </c>
      <c r="J32" s="133">
        <v>10</v>
      </c>
      <c r="K32" s="134">
        <v>30</v>
      </c>
      <c r="L32" s="53">
        <f t="shared" si="7"/>
        <v>10</v>
      </c>
      <c r="M32" s="58">
        <f t="shared" si="8"/>
        <v>60</v>
      </c>
      <c r="N32" s="222">
        <v>10.5</v>
      </c>
      <c r="O32" s="223">
        <v>10.5</v>
      </c>
      <c r="P32" s="140"/>
      <c r="Q32" s="228">
        <f t="shared" si="9"/>
        <v>10.5</v>
      </c>
      <c r="R32" s="229">
        <f t="shared" si="10"/>
        <v>5</v>
      </c>
      <c r="S32" s="241">
        <v>11.75</v>
      </c>
      <c r="T32" s="242">
        <v>11.75</v>
      </c>
      <c r="U32" s="285"/>
      <c r="V32" s="228">
        <f t="shared" si="11"/>
        <v>11.75</v>
      </c>
      <c r="W32" s="229">
        <f t="shared" si="12"/>
        <v>6</v>
      </c>
      <c r="X32" s="241">
        <v>10.5</v>
      </c>
      <c r="Y32" s="242">
        <v>10.5</v>
      </c>
      <c r="Z32" s="285"/>
      <c r="AA32" s="228">
        <f t="shared" si="13"/>
        <v>10.5</v>
      </c>
      <c r="AB32" s="229">
        <f t="shared" si="14"/>
        <v>6</v>
      </c>
      <c r="AC32" s="232">
        <f t="shared" si="15"/>
        <v>10.916666666666666</v>
      </c>
      <c r="AD32" s="233">
        <f t="shared" si="16"/>
        <v>17</v>
      </c>
      <c r="AE32" s="242">
        <v>9</v>
      </c>
      <c r="AF32" s="285">
        <v>16</v>
      </c>
      <c r="AG32" s="234">
        <f t="shared" si="17"/>
        <v>16</v>
      </c>
      <c r="AH32" s="235">
        <f t="shared" si="18"/>
        <v>1</v>
      </c>
      <c r="AI32" s="241">
        <v>10</v>
      </c>
      <c r="AJ32" s="242">
        <v>10</v>
      </c>
      <c r="AK32" s="285"/>
      <c r="AL32" s="228">
        <f t="shared" si="19"/>
        <v>10</v>
      </c>
      <c r="AM32" s="229">
        <f t="shared" si="20"/>
        <v>3</v>
      </c>
      <c r="AN32" s="241">
        <v>8.75</v>
      </c>
      <c r="AO32" s="242">
        <v>1.25</v>
      </c>
      <c r="AP32" s="285">
        <v>7</v>
      </c>
      <c r="AQ32" s="228">
        <f t="shared" si="21"/>
        <v>7.875</v>
      </c>
      <c r="AR32" s="229">
        <f t="shared" si="22"/>
        <v>0</v>
      </c>
      <c r="AS32" s="236">
        <f t="shared" si="23"/>
        <v>10.35</v>
      </c>
      <c r="AT32" s="237">
        <f t="shared" si="24"/>
        <v>7</v>
      </c>
      <c r="AU32" s="245">
        <v>9</v>
      </c>
      <c r="AV32" s="242">
        <v>9</v>
      </c>
      <c r="AW32" s="285"/>
      <c r="AX32" s="228">
        <f t="shared" si="25"/>
        <v>9</v>
      </c>
      <c r="AY32" s="229">
        <f t="shared" si="26"/>
        <v>0</v>
      </c>
      <c r="AZ32" s="242">
        <v>11</v>
      </c>
      <c r="BA32" s="285"/>
      <c r="BB32" s="234">
        <f t="shared" si="27"/>
        <v>11</v>
      </c>
      <c r="BC32" s="235">
        <f t="shared" si="28"/>
        <v>1</v>
      </c>
      <c r="BD32" s="236">
        <f t="shared" si="29"/>
        <v>10</v>
      </c>
      <c r="BE32" s="237">
        <f t="shared" si="30"/>
        <v>5</v>
      </c>
      <c r="BF32" s="245">
        <v>12.75</v>
      </c>
      <c r="BG32" s="246">
        <v>12.75</v>
      </c>
      <c r="BH32" s="285"/>
      <c r="BI32" s="228">
        <f t="shared" si="31"/>
        <v>12.75</v>
      </c>
      <c r="BJ32" s="229">
        <f t="shared" si="32"/>
        <v>1</v>
      </c>
      <c r="BK32" s="236">
        <f t="shared" si="33"/>
        <v>12.75</v>
      </c>
      <c r="BL32" s="237">
        <f t="shared" si="33"/>
        <v>1</v>
      </c>
      <c r="BM32" s="239">
        <f t="shared" si="34"/>
        <v>10.714285714285714</v>
      </c>
      <c r="BN32" s="240">
        <f t="shared" si="35"/>
        <v>30</v>
      </c>
      <c r="BO32" s="271">
        <v>11.13</v>
      </c>
      <c r="BP32" s="272">
        <v>11.13</v>
      </c>
      <c r="BQ32" s="140"/>
      <c r="BR32" s="228">
        <f t="shared" si="36"/>
        <v>11.13</v>
      </c>
      <c r="BS32" s="229">
        <f t="shared" si="37"/>
        <v>6</v>
      </c>
      <c r="BT32" s="241">
        <v>11.5</v>
      </c>
      <c r="BU32" s="242">
        <v>11.5</v>
      </c>
      <c r="BV32" s="285"/>
      <c r="BW32" s="228">
        <f t="shared" si="38"/>
        <v>11.5</v>
      </c>
      <c r="BX32" s="229">
        <f t="shared" si="39"/>
        <v>6</v>
      </c>
      <c r="BY32" s="241">
        <v>6</v>
      </c>
      <c r="BZ32" s="242">
        <v>0</v>
      </c>
      <c r="CA32" s="285">
        <v>6</v>
      </c>
      <c r="CB32" s="228">
        <f t="shared" si="40"/>
        <v>6</v>
      </c>
      <c r="CC32" s="229">
        <f t="shared" si="41"/>
        <v>0</v>
      </c>
      <c r="CD32" s="297">
        <f t="shared" si="42"/>
        <v>10.252000000000001</v>
      </c>
      <c r="CE32" s="233">
        <f t="shared" si="43"/>
        <v>16</v>
      </c>
      <c r="CF32" s="241">
        <v>3</v>
      </c>
      <c r="CG32" s="242">
        <v>5.75</v>
      </c>
      <c r="CH32" s="285">
        <v>8</v>
      </c>
      <c r="CI32" s="228">
        <f t="shared" si="44"/>
        <v>5.5</v>
      </c>
      <c r="CJ32" s="229">
        <f t="shared" si="45"/>
        <v>0</v>
      </c>
      <c r="CK32" s="230">
        <v>13</v>
      </c>
      <c r="CL32" s="231">
        <v>5</v>
      </c>
      <c r="CM32" s="285">
        <v>5.5</v>
      </c>
      <c r="CN32" s="228">
        <f t="shared" si="46"/>
        <v>9.25</v>
      </c>
      <c r="CO32" s="229">
        <f t="shared" si="47"/>
        <v>0</v>
      </c>
      <c r="CP32" s="232">
        <f t="shared" si="48"/>
        <v>7.375</v>
      </c>
      <c r="CQ32" s="233">
        <f t="shared" si="49"/>
        <v>0</v>
      </c>
      <c r="CR32" s="230">
        <v>10</v>
      </c>
      <c r="CS32" s="231">
        <v>10</v>
      </c>
      <c r="CT32" s="285"/>
      <c r="CU32" s="228">
        <f t="shared" si="50"/>
        <v>10</v>
      </c>
      <c r="CV32" s="229">
        <f t="shared" si="51"/>
        <v>3</v>
      </c>
      <c r="CW32" s="232">
        <f t="shared" si="52"/>
        <v>10</v>
      </c>
      <c r="CX32" s="233">
        <f t="shared" si="52"/>
        <v>3</v>
      </c>
      <c r="CY32" s="231">
        <v>11</v>
      </c>
      <c r="CZ32" s="285"/>
      <c r="DA32" s="234">
        <f t="shared" si="53"/>
        <v>11</v>
      </c>
      <c r="DB32" s="235">
        <f t="shared" si="54"/>
        <v>1</v>
      </c>
      <c r="DC32" s="232">
        <f t="shared" si="55"/>
        <v>11</v>
      </c>
      <c r="DD32" s="233">
        <f t="shared" si="55"/>
        <v>1</v>
      </c>
      <c r="DE32" s="65">
        <f t="shared" si="56"/>
        <v>9.3133333333333344</v>
      </c>
      <c r="DF32" s="66">
        <f t="shared" si="57"/>
        <v>20</v>
      </c>
      <c r="DG32" s="31">
        <f t="shared" si="0"/>
        <v>10.714285714285714</v>
      </c>
      <c r="DH32" s="32">
        <f t="shared" si="1"/>
        <v>30</v>
      </c>
      <c r="DI32" s="33">
        <f t="shared" si="2"/>
        <v>9.3133333333333344</v>
      </c>
      <c r="DJ32" s="34">
        <f t="shared" si="3"/>
        <v>30</v>
      </c>
      <c r="DK32" s="67">
        <f t="shared" si="4"/>
        <v>10.013809523809524</v>
      </c>
      <c r="DL32" s="35">
        <f t="shared" si="5"/>
        <v>60</v>
      </c>
      <c r="DM32" s="59">
        <f t="shared" si="6"/>
        <v>120</v>
      </c>
      <c r="DN32" s="43" t="str">
        <f t="shared" si="58"/>
        <v>ناجح(ة) دورة2</v>
      </c>
      <c r="DO32" s="44"/>
      <c r="DP32" s="50"/>
      <c r="DQ32" s="46"/>
    </row>
    <row r="33" spans="1:121" s="37" customFormat="1" ht="32.25" customHeight="1" thickBot="1">
      <c r="A33" s="49"/>
      <c r="B33" s="1">
        <f t="shared" si="59"/>
        <v>28</v>
      </c>
      <c r="C33" s="249" t="s">
        <v>155</v>
      </c>
      <c r="D33" s="249" t="s">
        <v>156</v>
      </c>
      <c r="E33" s="47" t="s">
        <v>406</v>
      </c>
      <c r="F33" s="135">
        <v>34374</v>
      </c>
      <c r="G33" s="136" t="s">
        <v>402</v>
      </c>
      <c r="H33" s="131">
        <v>6.13</v>
      </c>
      <c r="I33" s="132">
        <v>16</v>
      </c>
      <c r="J33" s="133">
        <v>6.18</v>
      </c>
      <c r="K33" s="134">
        <v>15</v>
      </c>
      <c r="L33" s="53">
        <f t="shared" si="7"/>
        <v>6.1549999999999994</v>
      </c>
      <c r="M33" s="58">
        <f t="shared" si="8"/>
        <v>31</v>
      </c>
      <c r="N33" s="222">
        <v>8.5</v>
      </c>
      <c r="O33" s="223">
        <v>8.5</v>
      </c>
      <c r="P33" s="140"/>
      <c r="Q33" s="228">
        <f t="shared" si="9"/>
        <v>8.5</v>
      </c>
      <c r="R33" s="229">
        <f t="shared" si="10"/>
        <v>0</v>
      </c>
      <c r="S33" s="241">
        <v>12</v>
      </c>
      <c r="T33" s="242">
        <v>12</v>
      </c>
      <c r="U33" s="285"/>
      <c r="V33" s="228">
        <f t="shared" si="11"/>
        <v>12</v>
      </c>
      <c r="W33" s="229">
        <f t="shared" si="12"/>
        <v>6</v>
      </c>
      <c r="X33" s="245">
        <v>10</v>
      </c>
      <c r="Y33" s="246">
        <v>10</v>
      </c>
      <c r="Z33" s="285"/>
      <c r="AA33" s="228">
        <f t="shared" si="13"/>
        <v>10</v>
      </c>
      <c r="AB33" s="229">
        <f t="shared" si="14"/>
        <v>6</v>
      </c>
      <c r="AC33" s="232">
        <f t="shared" si="15"/>
        <v>10.166666666666666</v>
      </c>
      <c r="AD33" s="233">
        <f t="shared" si="16"/>
        <v>17</v>
      </c>
      <c r="AE33" s="242">
        <v>10</v>
      </c>
      <c r="AF33" s="285"/>
      <c r="AG33" s="234">
        <f t="shared" si="17"/>
        <v>10</v>
      </c>
      <c r="AH33" s="235">
        <f t="shared" si="18"/>
        <v>1</v>
      </c>
      <c r="AI33" s="241">
        <v>0</v>
      </c>
      <c r="AJ33" s="242">
        <v>0</v>
      </c>
      <c r="AK33" s="285"/>
      <c r="AL33" s="228">
        <f t="shared" si="19"/>
        <v>0</v>
      </c>
      <c r="AM33" s="229">
        <f t="shared" si="20"/>
        <v>0</v>
      </c>
      <c r="AN33" s="241">
        <v>8.75</v>
      </c>
      <c r="AO33" s="242">
        <v>2</v>
      </c>
      <c r="AP33" s="285"/>
      <c r="AQ33" s="228">
        <f t="shared" si="21"/>
        <v>5.375</v>
      </c>
      <c r="AR33" s="229">
        <f t="shared" si="22"/>
        <v>0</v>
      </c>
      <c r="AS33" s="236">
        <f t="shared" si="23"/>
        <v>4.1500000000000004</v>
      </c>
      <c r="AT33" s="237">
        <f t="shared" si="24"/>
        <v>1</v>
      </c>
      <c r="AU33" s="245">
        <v>0</v>
      </c>
      <c r="AV33" s="242">
        <v>3</v>
      </c>
      <c r="AW33" s="285"/>
      <c r="AX33" s="228">
        <f t="shared" si="25"/>
        <v>1.5</v>
      </c>
      <c r="AY33" s="229">
        <f t="shared" si="26"/>
        <v>0</v>
      </c>
      <c r="AZ33" s="242">
        <v>10.5</v>
      </c>
      <c r="BA33" s="285"/>
      <c r="BB33" s="234">
        <f t="shared" si="27"/>
        <v>10.5</v>
      </c>
      <c r="BC33" s="235">
        <f t="shared" si="28"/>
        <v>1</v>
      </c>
      <c r="BD33" s="236">
        <f t="shared" si="29"/>
        <v>6</v>
      </c>
      <c r="BE33" s="237">
        <f t="shared" si="30"/>
        <v>1</v>
      </c>
      <c r="BF33" s="245">
        <v>11.5</v>
      </c>
      <c r="BG33" s="246">
        <v>11.5</v>
      </c>
      <c r="BH33" s="285"/>
      <c r="BI33" s="228">
        <f t="shared" si="31"/>
        <v>11.5</v>
      </c>
      <c r="BJ33" s="229">
        <f t="shared" si="32"/>
        <v>1</v>
      </c>
      <c r="BK33" s="236">
        <f t="shared" si="33"/>
        <v>11.5</v>
      </c>
      <c r="BL33" s="237">
        <f t="shared" si="33"/>
        <v>1</v>
      </c>
      <c r="BM33" s="239">
        <f t="shared" si="34"/>
        <v>7.5178571428571432</v>
      </c>
      <c r="BN33" s="240">
        <f t="shared" si="35"/>
        <v>20</v>
      </c>
      <c r="BO33" s="271">
        <v>14</v>
      </c>
      <c r="BP33" s="272">
        <v>14</v>
      </c>
      <c r="BQ33" s="140"/>
      <c r="BR33" s="228">
        <f t="shared" si="36"/>
        <v>14</v>
      </c>
      <c r="BS33" s="229">
        <f t="shared" si="37"/>
        <v>6</v>
      </c>
      <c r="BT33" s="241">
        <v>11</v>
      </c>
      <c r="BU33" s="242">
        <v>11</v>
      </c>
      <c r="BV33" s="285"/>
      <c r="BW33" s="228">
        <f t="shared" si="38"/>
        <v>11</v>
      </c>
      <c r="BX33" s="229">
        <f t="shared" si="39"/>
        <v>6</v>
      </c>
      <c r="BY33" s="241">
        <v>4.5</v>
      </c>
      <c r="BZ33" s="242">
        <v>4.5</v>
      </c>
      <c r="CA33" s="285"/>
      <c r="CB33" s="228">
        <f t="shared" si="40"/>
        <v>4.5</v>
      </c>
      <c r="CC33" s="229">
        <f t="shared" si="41"/>
        <v>0</v>
      </c>
      <c r="CD33" s="297">
        <f t="shared" si="42"/>
        <v>10.9</v>
      </c>
      <c r="CE33" s="233">
        <f t="shared" si="43"/>
        <v>16</v>
      </c>
      <c r="CF33" s="300">
        <v>9.5</v>
      </c>
      <c r="CG33" s="301">
        <v>9.5</v>
      </c>
      <c r="CH33" s="285"/>
      <c r="CI33" s="228">
        <f t="shared" si="44"/>
        <v>9.5</v>
      </c>
      <c r="CJ33" s="229">
        <f t="shared" si="45"/>
        <v>0</v>
      </c>
      <c r="CK33" s="230">
        <v>8.25</v>
      </c>
      <c r="CL33" s="231">
        <v>8.25</v>
      </c>
      <c r="CM33" s="285"/>
      <c r="CN33" s="228">
        <f t="shared" si="46"/>
        <v>8.25</v>
      </c>
      <c r="CO33" s="229">
        <f t="shared" si="47"/>
        <v>0</v>
      </c>
      <c r="CP33" s="232">
        <f t="shared" si="48"/>
        <v>8.875</v>
      </c>
      <c r="CQ33" s="233">
        <f t="shared" si="49"/>
        <v>0</v>
      </c>
      <c r="CR33" s="230">
        <v>11</v>
      </c>
      <c r="CS33" s="231">
        <v>11</v>
      </c>
      <c r="CT33" s="285"/>
      <c r="CU33" s="228">
        <f t="shared" si="50"/>
        <v>11</v>
      </c>
      <c r="CV33" s="229">
        <f t="shared" si="51"/>
        <v>3</v>
      </c>
      <c r="CW33" s="232">
        <f t="shared" si="52"/>
        <v>11</v>
      </c>
      <c r="CX33" s="233">
        <f t="shared" si="52"/>
        <v>3</v>
      </c>
      <c r="CY33" s="231">
        <v>16</v>
      </c>
      <c r="CZ33" s="285"/>
      <c r="DA33" s="234">
        <f t="shared" si="53"/>
        <v>16</v>
      </c>
      <c r="DB33" s="235">
        <f t="shared" si="54"/>
        <v>1</v>
      </c>
      <c r="DC33" s="232">
        <f t="shared" si="55"/>
        <v>16</v>
      </c>
      <c r="DD33" s="233">
        <f t="shared" si="55"/>
        <v>1</v>
      </c>
      <c r="DE33" s="65">
        <f t="shared" si="56"/>
        <v>10.666666666666666</v>
      </c>
      <c r="DF33" s="66">
        <f t="shared" si="57"/>
        <v>30</v>
      </c>
      <c r="DG33" s="31">
        <f t="shared" si="0"/>
        <v>7.5178571428571432</v>
      </c>
      <c r="DH33" s="32">
        <f t="shared" si="1"/>
        <v>20</v>
      </c>
      <c r="DI33" s="33">
        <f t="shared" si="2"/>
        <v>10.666666666666666</v>
      </c>
      <c r="DJ33" s="34">
        <f t="shared" si="3"/>
        <v>30</v>
      </c>
      <c r="DK33" s="67">
        <f t="shared" si="4"/>
        <v>9.0922619047619051</v>
      </c>
      <c r="DL33" s="35">
        <f t="shared" si="5"/>
        <v>50</v>
      </c>
      <c r="DM33" s="59">
        <f t="shared" si="6"/>
        <v>81</v>
      </c>
      <c r="DN33" s="43" t="str">
        <f t="shared" si="58"/>
        <v>راسب(ة)</v>
      </c>
      <c r="DO33" s="44"/>
      <c r="DP33" s="51"/>
      <c r="DQ33" s="46"/>
    </row>
    <row r="34" spans="1:121" s="37" customFormat="1" ht="32.25" customHeight="1" thickBot="1">
      <c r="A34" s="49"/>
      <c r="B34" s="1">
        <f t="shared" si="59"/>
        <v>29</v>
      </c>
      <c r="C34" s="249" t="s">
        <v>157</v>
      </c>
      <c r="D34" s="249" t="s">
        <v>158</v>
      </c>
      <c r="E34" s="47" t="s">
        <v>352</v>
      </c>
      <c r="F34" s="135">
        <v>34511</v>
      </c>
      <c r="G34" s="136" t="s">
        <v>110</v>
      </c>
      <c r="H34" s="131">
        <v>5.69</v>
      </c>
      <c r="I34" s="132">
        <v>13</v>
      </c>
      <c r="J34" s="133">
        <v>7.97</v>
      </c>
      <c r="K34" s="134">
        <v>20</v>
      </c>
      <c r="L34" s="53">
        <f t="shared" si="7"/>
        <v>6.83</v>
      </c>
      <c r="M34" s="58">
        <f t="shared" si="8"/>
        <v>33</v>
      </c>
      <c r="N34" s="222">
        <v>13</v>
      </c>
      <c r="O34" s="223">
        <v>0</v>
      </c>
      <c r="P34" s="140">
        <v>13.75</v>
      </c>
      <c r="Q34" s="228">
        <f t="shared" si="9"/>
        <v>13.375</v>
      </c>
      <c r="R34" s="229">
        <f t="shared" si="10"/>
        <v>5</v>
      </c>
      <c r="S34" s="241">
        <v>14</v>
      </c>
      <c r="T34" s="242">
        <v>6.75</v>
      </c>
      <c r="U34" s="285"/>
      <c r="V34" s="228">
        <f t="shared" si="11"/>
        <v>10.375</v>
      </c>
      <c r="W34" s="229">
        <f t="shared" si="12"/>
        <v>6</v>
      </c>
      <c r="X34" s="241">
        <v>11.5</v>
      </c>
      <c r="Y34" s="242">
        <v>6.5</v>
      </c>
      <c r="Z34" s="285">
        <v>8.25</v>
      </c>
      <c r="AA34" s="228">
        <f t="shared" si="13"/>
        <v>9.875</v>
      </c>
      <c r="AB34" s="229">
        <f t="shared" si="14"/>
        <v>0</v>
      </c>
      <c r="AC34" s="232">
        <f t="shared" si="15"/>
        <v>11.208333333333334</v>
      </c>
      <c r="AD34" s="233">
        <f t="shared" si="16"/>
        <v>17</v>
      </c>
      <c r="AE34" s="242">
        <v>14</v>
      </c>
      <c r="AF34" s="285"/>
      <c r="AG34" s="234">
        <f t="shared" si="17"/>
        <v>14</v>
      </c>
      <c r="AH34" s="235">
        <f t="shared" si="18"/>
        <v>1</v>
      </c>
      <c r="AI34" s="241">
        <v>7</v>
      </c>
      <c r="AJ34" s="242">
        <v>0</v>
      </c>
      <c r="AK34" s="285">
        <v>9.75</v>
      </c>
      <c r="AL34" s="228">
        <f t="shared" si="19"/>
        <v>8.375</v>
      </c>
      <c r="AM34" s="229">
        <f t="shared" si="20"/>
        <v>0</v>
      </c>
      <c r="AN34" s="241">
        <v>9</v>
      </c>
      <c r="AO34" s="242">
        <v>1</v>
      </c>
      <c r="AP34" s="285">
        <v>4</v>
      </c>
      <c r="AQ34" s="228">
        <f t="shared" si="21"/>
        <v>6.5</v>
      </c>
      <c r="AR34" s="229">
        <f t="shared" si="22"/>
        <v>0</v>
      </c>
      <c r="AS34" s="236">
        <f t="shared" si="23"/>
        <v>8.75</v>
      </c>
      <c r="AT34" s="237">
        <f t="shared" si="24"/>
        <v>1</v>
      </c>
      <c r="AU34" s="241">
        <v>5</v>
      </c>
      <c r="AV34" s="242">
        <v>5</v>
      </c>
      <c r="AW34" s="285">
        <v>3.25</v>
      </c>
      <c r="AX34" s="228">
        <f t="shared" si="25"/>
        <v>5</v>
      </c>
      <c r="AY34" s="229">
        <f t="shared" si="26"/>
        <v>0</v>
      </c>
      <c r="AZ34" s="242">
        <v>13</v>
      </c>
      <c r="BA34" s="285"/>
      <c r="BB34" s="234">
        <f t="shared" si="27"/>
        <v>13</v>
      </c>
      <c r="BC34" s="235">
        <f t="shared" si="28"/>
        <v>1</v>
      </c>
      <c r="BD34" s="236">
        <f t="shared" si="29"/>
        <v>9</v>
      </c>
      <c r="BE34" s="237">
        <f t="shared" si="30"/>
        <v>1</v>
      </c>
      <c r="BF34" s="241">
        <v>12.25</v>
      </c>
      <c r="BG34" s="242">
        <v>10</v>
      </c>
      <c r="BH34" s="285"/>
      <c r="BI34" s="228">
        <f t="shared" si="31"/>
        <v>11.125</v>
      </c>
      <c r="BJ34" s="229">
        <f t="shared" si="32"/>
        <v>1</v>
      </c>
      <c r="BK34" s="236">
        <f t="shared" si="33"/>
        <v>11.125</v>
      </c>
      <c r="BL34" s="237">
        <f t="shared" si="33"/>
        <v>1</v>
      </c>
      <c r="BM34" s="239">
        <f t="shared" si="34"/>
        <v>10.008928571428571</v>
      </c>
      <c r="BN34" s="240">
        <f t="shared" si="35"/>
        <v>30</v>
      </c>
      <c r="BO34" s="271">
        <v>11.5</v>
      </c>
      <c r="BP34" s="272">
        <v>8</v>
      </c>
      <c r="BQ34" s="140"/>
      <c r="BR34" s="228">
        <f t="shared" si="36"/>
        <v>9.75</v>
      </c>
      <c r="BS34" s="229">
        <f t="shared" si="37"/>
        <v>0</v>
      </c>
      <c r="BT34" s="241">
        <v>11</v>
      </c>
      <c r="BU34" s="242">
        <v>11.5</v>
      </c>
      <c r="BV34" s="285"/>
      <c r="BW34" s="228">
        <f t="shared" si="38"/>
        <v>11.25</v>
      </c>
      <c r="BX34" s="229">
        <f t="shared" si="39"/>
        <v>6</v>
      </c>
      <c r="BY34" s="241">
        <v>3</v>
      </c>
      <c r="BZ34" s="242">
        <v>0</v>
      </c>
      <c r="CA34" s="285">
        <v>5</v>
      </c>
      <c r="CB34" s="228">
        <f t="shared" si="40"/>
        <v>4</v>
      </c>
      <c r="CC34" s="229">
        <f t="shared" si="41"/>
        <v>0</v>
      </c>
      <c r="CD34" s="297">
        <f t="shared" si="42"/>
        <v>9.1999999999999993</v>
      </c>
      <c r="CE34" s="233">
        <f t="shared" si="43"/>
        <v>6</v>
      </c>
      <c r="CF34" s="241">
        <v>11.5</v>
      </c>
      <c r="CG34" s="242">
        <v>8</v>
      </c>
      <c r="CH34" s="285">
        <v>8.5</v>
      </c>
      <c r="CI34" s="228">
        <f t="shared" si="44"/>
        <v>10</v>
      </c>
      <c r="CJ34" s="229">
        <f t="shared" si="45"/>
        <v>5</v>
      </c>
      <c r="CK34" s="230">
        <v>10</v>
      </c>
      <c r="CL34" s="231">
        <v>0.5</v>
      </c>
      <c r="CM34" s="285">
        <v>5</v>
      </c>
      <c r="CN34" s="228">
        <f t="shared" si="46"/>
        <v>7.5</v>
      </c>
      <c r="CO34" s="229">
        <f t="shared" si="47"/>
        <v>0</v>
      </c>
      <c r="CP34" s="232">
        <f t="shared" si="48"/>
        <v>8.75</v>
      </c>
      <c r="CQ34" s="233">
        <f t="shared" si="49"/>
        <v>5</v>
      </c>
      <c r="CR34" s="230">
        <v>16.5</v>
      </c>
      <c r="CS34" s="231">
        <v>7</v>
      </c>
      <c r="CT34" s="285"/>
      <c r="CU34" s="228">
        <f t="shared" si="50"/>
        <v>11.75</v>
      </c>
      <c r="CV34" s="229">
        <f t="shared" si="51"/>
        <v>3</v>
      </c>
      <c r="CW34" s="232">
        <f t="shared" si="52"/>
        <v>11.75</v>
      </c>
      <c r="CX34" s="233">
        <f t="shared" si="52"/>
        <v>3</v>
      </c>
      <c r="CY34" s="231">
        <v>5</v>
      </c>
      <c r="CZ34" s="285">
        <v>15.5</v>
      </c>
      <c r="DA34" s="234">
        <f t="shared" si="53"/>
        <v>15.5</v>
      </c>
      <c r="DB34" s="235">
        <f t="shared" si="54"/>
        <v>1</v>
      </c>
      <c r="DC34" s="232">
        <f t="shared" si="55"/>
        <v>15.5</v>
      </c>
      <c r="DD34" s="233">
        <f t="shared" si="55"/>
        <v>1</v>
      </c>
      <c r="DE34" s="65">
        <f t="shared" si="56"/>
        <v>10</v>
      </c>
      <c r="DF34" s="66">
        <f t="shared" si="57"/>
        <v>30</v>
      </c>
      <c r="DG34" s="31">
        <f t="shared" si="0"/>
        <v>10.008928571428571</v>
      </c>
      <c r="DH34" s="32">
        <f t="shared" si="1"/>
        <v>30</v>
      </c>
      <c r="DI34" s="33">
        <f t="shared" si="2"/>
        <v>10</v>
      </c>
      <c r="DJ34" s="34">
        <f t="shared" si="3"/>
        <v>30</v>
      </c>
      <c r="DK34" s="67">
        <f t="shared" si="4"/>
        <v>10.004464285714285</v>
      </c>
      <c r="DL34" s="35">
        <f t="shared" si="5"/>
        <v>60</v>
      </c>
      <c r="DM34" s="59">
        <f t="shared" si="6"/>
        <v>93</v>
      </c>
      <c r="DN34" s="43" t="str">
        <f t="shared" si="58"/>
        <v>ناجح(ة)بتأخير</v>
      </c>
      <c r="DO34" s="44"/>
      <c r="DP34" s="50"/>
      <c r="DQ34" s="46"/>
    </row>
    <row r="35" spans="1:121" s="37" customFormat="1" ht="32.25" customHeight="1" thickBot="1">
      <c r="A35" s="49"/>
      <c r="B35" s="1">
        <f t="shared" si="59"/>
        <v>30</v>
      </c>
      <c r="C35" s="249" t="s">
        <v>159</v>
      </c>
      <c r="D35" s="249" t="s">
        <v>160</v>
      </c>
      <c r="E35" s="47" t="s">
        <v>353</v>
      </c>
      <c r="F35" s="135">
        <v>35542</v>
      </c>
      <c r="G35" s="136" t="s">
        <v>110</v>
      </c>
      <c r="H35" s="131">
        <v>7.89</v>
      </c>
      <c r="I35" s="132">
        <v>21</v>
      </c>
      <c r="J35" s="133">
        <v>8.6300000000000008</v>
      </c>
      <c r="K35" s="134">
        <v>17</v>
      </c>
      <c r="L35" s="53">
        <f t="shared" si="7"/>
        <v>8.26</v>
      </c>
      <c r="M35" s="58">
        <f t="shared" si="8"/>
        <v>38</v>
      </c>
      <c r="N35" s="222">
        <v>15</v>
      </c>
      <c r="O35" s="223">
        <v>9</v>
      </c>
      <c r="P35" s="140"/>
      <c r="Q35" s="228">
        <f t="shared" si="9"/>
        <v>12</v>
      </c>
      <c r="R35" s="229">
        <f t="shared" si="10"/>
        <v>5</v>
      </c>
      <c r="S35" s="241">
        <v>12.5</v>
      </c>
      <c r="T35" s="242">
        <v>7.5</v>
      </c>
      <c r="U35" s="285"/>
      <c r="V35" s="228">
        <f t="shared" si="11"/>
        <v>10</v>
      </c>
      <c r="W35" s="229">
        <f t="shared" si="12"/>
        <v>6</v>
      </c>
      <c r="X35" s="241">
        <v>12</v>
      </c>
      <c r="Y35" s="242">
        <v>9</v>
      </c>
      <c r="Z35" s="285"/>
      <c r="AA35" s="228">
        <f t="shared" si="13"/>
        <v>10.5</v>
      </c>
      <c r="AB35" s="229">
        <f t="shared" si="14"/>
        <v>6</v>
      </c>
      <c r="AC35" s="232">
        <f t="shared" si="15"/>
        <v>10.833333333333334</v>
      </c>
      <c r="AD35" s="233">
        <f t="shared" si="16"/>
        <v>17</v>
      </c>
      <c r="AE35" s="242">
        <v>8</v>
      </c>
      <c r="AF35" s="285">
        <v>13.5</v>
      </c>
      <c r="AG35" s="234">
        <f t="shared" si="17"/>
        <v>13.5</v>
      </c>
      <c r="AH35" s="235">
        <f t="shared" si="18"/>
        <v>1</v>
      </c>
      <c r="AI35" s="241">
        <v>11</v>
      </c>
      <c r="AJ35" s="242">
        <v>10.25</v>
      </c>
      <c r="AK35" s="285"/>
      <c r="AL35" s="228">
        <f t="shared" si="19"/>
        <v>10.625</v>
      </c>
      <c r="AM35" s="229">
        <f t="shared" si="20"/>
        <v>3</v>
      </c>
      <c r="AN35" s="241">
        <v>7</v>
      </c>
      <c r="AO35" s="242">
        <v>2</v>
      </c>
      <c r="AP35" s="285">
        <v>4</v>
      </c>
      <c r="AQ35" s="228">
        <f t="shared" si="21"/>
        <v>5.5</v>
      </c>
      <c r="AR35" s="229">
        <f t="shared" si="22"/>
        <v>0</v>
      </c>
      <c r="AS35" s="236">
        <f t="shared" si="23"/>
        <v>9.15</v>
      </c>
      <c r="AT35" s="237">
        <f t="shared" si="24"/>
        <v>4</v>
      </c>
      <c r="AU35" s="241">
        <v>7</v>
      </c>
      <c r="AV35" s="242">
        <v>4</v>
      </c>
      <c r="AW35" s="285"/>
      <c r="AX35" s="228">
        <f t="shared" si="25"/>
        <v>5.5</v>
      </c>
      <c r="AY35" s="229">
        <f t="shared" si="26"/>
        <v>0</v>
      </c>
      <c r="AZ35" s="242">
        <v>14.5</v>
      </c>
      <c r="BA35" s="285"/>
      <c r="BB35" s="234">
        <f t="shared" si="27"/>
        <v>14.5</v>
      </c>
      <c r="BC35" s="235">
        <f t="shared" si="28"/>
        <v>1</v>
      </c>
      <c r="BD35" s="236">
        <f t="shared" si="29"/>
        <v>10</v>
      </c>
      <c r="BE35" s="237">
        <f t="shared" si="30"/>
        <v>5</v>
      </c>
      <c r="BF35" s="241">
        <v>9.5</v>
      </c>
      <c r="BG35" s="242">
        <v>7</v>
      </c>
      <c r="BH35" s="285">
        <v>9</v>
      </c>
      <c r="BI35" s="228">
        <f t="shared" si="31"/>
        <v>9.25</v>
      </c>
      <c r="BJ35" s="229">
        <f t="shared" si="32"/>
        <v>0</v>
      </c>
      <c r="BK35" s="236">
        <f t="shared" si="33"/>
        <v>9.25</v>
      </c>
      <c r="BL35" s="237">
        <f t="shared" si="33"/>
        <v>0</v>
      </c>
      <c r="BM35" s="239">
        <f t="shared" si="34"/>
        <v>10</v>
      </c>
      <c r="BN35" s="240">
        <f t="shared" si="35"/>
        <v>30</v>
      </c>
      <c r="BO35" s="271">
        <v>14</v>
      </c>
      <c r="BP35" s="272">
        <v>7</v>
      </c>
      <c r="BQ35" s="140"/>
      <c r="BR35" s="228">
        <f t="shared" si="36"/>
        <v>10.5</v>
      </c>
      <c r="BS35" s="229">
        <f t="shared" si="37"/>
        <v>6</v>
      </c>
      <c r="BT35" s="241">
        <v>14</v>
      </c>
      <c r="BU35" s="242">
        <v>8</v>
      </c>
      <c r="BV35" s="285"/>
      <c r="BW35" s="228">
        <f t="shared" si="38"/>
        <v>11</v>
      </c>
      <c r="BX35" s="229">
        <f t="shared" si="39"/>
        <v>6</v>
      </c>
      <c r="BY35" s="241">
        <v>9</v>
      </c>
      <c r="BZ35" s="242">
        <v>0</v>
      </c>
      <c r="CA35" s="285"/>
      <c r="CB35" s="228">
        <f t="shared" si="40"/>
        <v>4.5</v>
      </c>
      <c r="CC35" s="229">
        <f t="shared" si="41"/>
        <v>0</v>
      </c>
      <c r="CD35" s="297">
        <f t="shared" si="42"/>
        <v>9.5</v>
      </c>
      <c r="CE35" s="233">
        <f t="shared" si="43"/>
        <v>12</v>
      </c>
      <c r="CF35" s="241">
        <v>10.5</v>
      </c>
      <c r="CG35" s="242">
        <v>9.5</v>
      </c>
      <c r="CH35" s="285"/>
      <c r="CI35" s="228">
        <f t="shared" si="44"/>
        <v>10</v>
      </c>
      <c r="CJ35" s="229">
        <f t="shared" si="45"/>
        <v>5</v>
      </c>
      <c r="CK35" s="230">
        <v>11</v>
      </c>
      <c r="CL35" s="231">
        <v>14.5</v>
      </c>
      <c r="CM35" s="285"/>
      <c r="CN35" s="228">
        <f t="shared" si="46"/>
        <v>12.75</v>
      </c>
      <c r="CO35" s="229">
        <f t="shared" si="47"/>
        <v>5</v>
      </c>
      <c r="CP35" s="232">
        <f t="shared" si="48"/>
        <v>11.375</v>
      </c>
      <c r="CQ35" s="233">
        <f t="shared" si="49"/>
        <v>10</v>
      </c>
      <c r="CR35" s="230">
        <v>14.5</v>
      </c>
      <c r="CS35" s="231">
        <v>9</v>
      </c>
      <c r="CT35" s="285"/>
      <c r="CU35" s="228">
        <f t="shared" si="50"/>
        <v>11.75</v>
      </c>
      <c r="CV35" s="229">
        <f t="shared" si="51"/>
        <v>3</v>
      </c>
      <c r="CW35" s="232">
        <f t="shared" si="52"/>
        <v>11.75</v>
      </c>
      <c r="CX35" s="233">
        <f t="shared" si="52"/>
        <v>3</v>
      </c>
      <c r="CY35" s="231">
        <v>5</v>
      </c>
      <c r="CZ35" s="285"/>
      <c r="DA35" s="234">
        <f t="shared" si="53"/>
        <v>5</v>
      </c>
      <c r="DB35" s="235">
        <f t="shared" si="54"/>
        <v>0</v>
      </c>
      <c r="DC35" s="232">
        <f t="shared" si="55"/>
        <v>5</v>
      </c>
      <c r="DD35" s="233">
        <f t="shared" si="55"/>
        <v>0</v>
      </c>
      <c r="DE35" s="65">
        <f t="shared" si="56"/>
        <v>10.125</v>
      </c>
      <c r="DF35" s="66">
        <f t="shared" si="57"/>
        <v>30</v>
      </c>
      <c r="DG35" s="31">
        <f t="shared" si="0"/>
        <v>10</v>
      </c>
      <c r="DH35" s="32">
        <f t="shared" si="1"/>
        <v>30</v>
      </c>
      <c r="DI35" s="33">
        <f t="shared" si="2"/>
        <v>10.125</v>
      </c>
      <c r="DJ35" s="34">
        <f t="shared" si="3"/>
        <v>30</v>
      </c>
      <c r="DK35" s="67">
        <f t="shared" si="4"/>
        <v>10.0625</v>
      </c>
      <c r="DL35" s="35">
        <f t="shared" si="5"/>
        <v>60</v>
      </c>
      <c r="DM35" s="59">
        <f t="shared" si="6"/>
        <v>98</v>
      </c>
      <c r="DN35" s="43" t="str">
        <f t="shared" si="58"/>
        <v>ناجح(ة)بتأخير</v>
      </c>
      <c r="DP35" s="51"/>
      <c r="DQ35" s="46"/>
    </row>
    <row r="36" spans="1:121" s="37" customFormat="1" ht="32.25" customHeight="1" thickBot="1">
      <c r="A36" s="49"/>
      <c r="B36" s="1">
        <f t="shared" si="59"/>
        <v>31</v>
      </c>
      <c r="C36" s="249" t="s">
        <v>161</v>
      </c>
      <c r="D36" s="249" t="s">
        <v>162</v>
      </c>
      <c r="E36" s="47" t="s">
        <v>407</v>
      </c>
      <c r="F36" s="135">
        <v>34665</v>
      </c>
      <c r="G36" s="136" t="s">
        <v>110</v>
      </c>
      <c r="H36" s="131">
        <v>8.2799999999999994</v>
      </c>
      <c r="I36" s="132">
        <v>17</v>
      </c>
      <c r="J36" s="133">
        <v>6.32</v>
      </c>
      <c r="K36" s="134">
        <v>15</v>
      </c>
      <c r="L36" s="53">
        <f t="shared" si="7"/>
        <v>7.3</v>
      </c>
      <c r="M36" s="58">
        <f t="shared" si="8"/>
        <v>32</v>
      </c>
      <c r="N36" s="222">
        <v>13</v>
      </c>
      <c r="O36" s="223">
        <v>1</v>
      </c>
      <c r="P36" s="140">
        <v>10</v>
      </c>
      <c r="Q36" s="228">
        <f t="shared" si="9"/>
        <v>11.5</v>
      </c>
      <c r="R36" s="229">
        <f t="shared" si="10"/>
        <v>5</v>
      </c>
      <c r="S36" s="241">
        <v>14.5</v>
      </c>
      <c r="T36" s="242">
        <v>6.25</v>
      </c>
      <c r="U36" s="285"/>
      <c r="V36" s="228">
        <f t="shared" si="11"/>
        <v>10.375</v>
      </c>
      <c r="W36" s="229">
        <f t="shared" si="12"/>
        <v>6</v>
      </c>
      <c r="X36" s="241">
        <v>11.5</v>
      </c>
      <c r="Y36" s="242">
        <v>3</v>
      </c>
      <c r="Z36" s="285">
        <v>7</v>
      </c>
      <c r="AA36" s="228">
        <f t="shared" si="13"/>
        <v>9.25</v>
      </c>
      <c r="AB36" s="229">
        <f t="shared" si="14"/>
        <v>0</v>
      </c>
      <c r="AC36" s="232">
        <f t="shared" si="15"/>
        <v>10.375</v>
      </c>
      <c r="AD36" s="233">
        <f t="shared" si="16"/>
        <v>17</v>
      </c>
      <c r="AE36" s="242">
        <v>1.5</v>
      </c>
      <c r="AF36" s="285">
        <v>16</v>
      </c>
      <c r="AG36" s="234">
        <f t="shared" si="17"/>
        <v>16</v>
      </c>
      <c r="AH36" s="235">
        <f t="shared" si="18"/>
        <v>1</v>
      </c>
      <c r="AI36" s="241">
        <v>2</v>
      </c>
      <c r="AJ36" s="242"/>
      <c r="AK36" s="285">
        <v>8.5</v>
      </c>
      <c r="AL36" s="228">
        <f t="shared" si="19"/>
        <v>5.25</v>
      </c>
      <c r="AM36" s="229">
        <f t="shared" si="20"/>
        <v>0</v>
      </c>
      <c r="AN36" s="241">
        <v>12.5</v>
      </c>
      <c r="AO36" s="242">
        <v>3.5</v>
      </c>
      <c r="AP36" s="285">
        <v>7</v>
      </c>
      <c r="AQ36" s="228">
        <f t="shared" si="21"/>
        <v>9.75</v>
      </c>
      <c r="AR36" s="229">
        <f t="shared" si="22"/>
        <v>0</v>
      </c>
      <c r="AS36" s="236">
        <f t="shared" si="23"/>
        <v>9.1999999999999993</v>
      </c>
      <c r="AT36" s="237">
        <f t="shared" si="24"/>
        <v>1</v>
      </c>
      <c r="AU36" s="241">
        <v>12</v>
      </c>
      <c r="AV36" s="242">
        <v>2</v>
      </c>
      <c r="AW36" s="285">
        <v>5</v>
      </c>
      <c r="AX36" s="228">
        <f t="shared" si="25"/>
        <v>8.5</v>
      </c>
      <c r="AY36" s="229">
        <f t="shared" si="26"/>
        <v>0</v>
      </c>
      <c r="AZ36" s="242">
        <v>0</v>
      </c>
      <c r="BA36" s="285">
        <v>9.75</v>
      </c>
      <c r="BB36" s="234">
        <f t="shared" si="27"/>
        <v>9.75</v>
      </c>
      <c r="BC36" s="235">
        <f t="shared" si="28"/>
        <v>0</v>
      </c>
      <c r="BD36" s="236">
        <f t="shared" si="29"/>
        <v>9.125</v>
      </c>
      <c r="BE36" s="237">
        <f t="shared" si="30"/>
        <v>0</v>
      </c>
      <c r="BF36" s="241">
        <v>13.63</v>
      </c>
      <c r="BG36" s="242">
        <v>13.63</v>
      </c>
      <c r="BH36" s="285"/>
      <c r="BI36" s="228">
        <f t="shared" si="31"/>
        <v>13.63</v>
      </c>
      <c r="BJ36" s="229">
        <f t="shared" si="32"/>
        <v>1</v>
      </c>
      <c r="BK36" s="236">
        <f t="shared" si="33"/>
        <v>13.63</v>
      </c>
      <c r="BL36" s="237">
        <f t="shared" si="33"/>
        <v>1</v>
      </c>
      <c r="BM36" s="239">
        <f t="shared" si="34"/>
        <v>10.009285714285713</v>
      </c>
      <c r="BN36" s="240">
        <f t="shared" si="35"/>
        <v>30</v>
      </c>
      <c r="BO36" s="271">
        <v>13</v>
      </c>
      <c r="BP36" s="272">
        <v>10</v>
      </c>
      <c r="BQ36" s="140"/>
      <c r="BR36" s="228">
        <f t="shared" si="36"/>
        <v>11.5</v>
      </c>
      <c r="BS36" s="229">
        <f t="shared" si="37"/>
        <v>6</v>
      </c>
      <c r="BT36" s="241">
        <v>13</v>
      </c>
      <c r="BU36" s="242">
        <v>16.5</v>
      </c>
      <c r="BV36" s="285"/>
      <c r="BW36" s="228">
        <f t="shared" si="38"/>
        <v>14.75</v>
      </c>
      <c r="BX36" s="229">
        <f t="shared" si="39"/>
        <v>6</v>
      </c>
      <c r="BY36" s="241">
        <v>5</v>
      </c>
      <c r="BZ36" s="242">
        <v>0.5</v>
      </c>
      <c r="CA36" s="285">
        <v>5</v>
      </c>
      <c r="CB36" s="228">
        <f t="shared" si="40"/>
        <v>5</v>
      </c>
      <c r="CC36" s="229">
        <f t="shared" si="41"/>
        <v>0</v>
      </c>
      <c r="CD36" s="297">
        <f t="shared" si="42"/>
        <v>11.5</v>
      </c>
      <c r="CE36" s="233">
        <f t="shared" si="43"/>
        <v>16</v>
      </c>
      <c r="CF36" s="241">
        <v>5.5</v>
      </c>
      <c r="CG36" s="242">
        <v>10.5</v>
      </c>
      <c r="CH36" s="285"/>
      <c r="CI36" s="228">
        <f t="shared" si="44"/>
        <v>8</v>
      </c>
      <c r="CJ36" s="229">
        <f t="shared" si="45"/>
        <v>0</v>
      </c>
      <c r="CK36" s="230">
        <v>10</v>
      </c>
      <c r="CL36" s="231">
        <v>4.5</v>
      </c>
      <c r="CM36" s="285">
        <v>6</v>
      </c>
      <c r="CN36" s="228">
        <f t="shared" si="46"/>
        <v>8</v>
      </c>
      <c r="CO36" s="229">
        <f t="shared" si="47"/>
        <v>0</v>
      </c>
      <c r="CP36" s="232">
        <f t="shared" si="48"/>
        <v>8</v>
      </c>
      <c r="CQ36" s="233">
        <f t="shared" si="49"/>
        <v>0</v>
      </c>
      <c r="CR36" s="230">
        <v>12</v>
      </c>
      <c r="CS36" s="231">
        <v>8.75</v>
      </c>
      <c r="CT36" s="285"/>
      <c r="CU36" s="228">
        <f t="shared" si="50"/>
        <v>10.375</v>
      </c>
      <c r="CV36" s="229">
        <f t="shared" si="51"/>
        <v>3</v>
      </c>
      <c r="CW36" s="232">
        <f t="shared" si="52"/>
        <v>10.375</v>
      </c>
      <c r="CX36" s="233">
        <f t="shared" si="52"/>
        <v>3</v>
      </c>
      <c r="CY36" s="231">
        <v>10</v>
      </c>
      <c r="CZ36" s="285"/>
      <c r="DA36" s="234">
        <f t="shared" si="53"/>
        <v>10</v>
      </c>
      <c r="DB36" s="235">
        <f t="shared" si="54"/>
        <v>1</v>
      </c>
      <c r="DC36" s="232">
        <f t="shared" si="55"/>
        <v>10</v>
      </c>
      <c r="DD36" s="233">
        <f t="shared" si="55"/>
        <v>1</v>
      </c>
      <c r="DE36" s="65">
        <f t="shared" si="56"/>
        <v>10.020833333333334</v>
      </c>
      <c r="DF36" s="66">
        <f t="shared" si="57"/>
        <v>30</v>
      </c>
      <c r="DG36" s="31">
        <f t="shared" si="0"/>
        <v>10.009285714285713</v>
      </c>
      <c r="DH36" s="32">
        <f t="shared" si="1"/>
        <v>30</v>
      </c>
      <c r="DI36" s="33">
        <f t="shared" si="2"/>
        <v>10.020833333333334</v>
      </c>
      <c r="DJ36" s="34">
        <f t="shared" si="3"/>
        <v>30</v>
      </c>
      <c r="DK36" s="67">
        <f t="shared" si="4"/>
        <v>10.015059523809523</v>
      </c>
      <c r="DL36" s="35">
        <f t="shared" si="5"/>
        <v>60</v>
      </c>
      <c r="DM36" s="59">
        <f t="shared" si="6"/>
        <v>92</v>
      </c>
      <c r="DN36" s="43" t="str">
        <f t="shared" si="58"/>
        <v>ناجح(ة)بتأخير</v>
      </c>
      <c r="DO36" s="44"/>
      <c r="DP36" s="50"/>
      <c r="DQ36" s="46"/>
    </row>
    <row r="37" spans="1:121" s="37" customFormat="1" ht="32.25" customHeight="1" thickBot="1">
      <c r="A37" s="49"/>
      <c r="B37" s="1">
        <f t="shared" si="59"/>
        <v>32</v>
      </c>
      <c r="C37" s="249" t="s">
        <v>163</v>
      </c>
      <c r="D37" s="249" t="s">
        <v>164</v>
      </c>
      <c r="E37" s="47" t="s">
        <v>354</v>
      </c>
      <c r="F37" s="135">
        <v>35679</v>
      </c>
      <c r="G37" s="136" t="s">
        <v>397</v>
      </c>
      <c r="H37" s="131">
        <v>8.56</v>
      </c>
      <c r="I37" s="132">
        <v>16</v>
      </c>
      <c r="J37" s="133">
        <v>8.73</v>
      </c>
      <c r="K37" s="134">
        <v>17</v>
      </c>
      <c r="L37" s="53">
        <v>8.65</v>
      </c>
      <c r="M37" s="58">
        <f t="shared" si="8"/>
        <v>33</v>
      </c>
      <c r="N37" s="222">
        <v>13</v>
      </c>
      <c r="O37" s="223">
        <v>18</v>
      </c>
      <c r="P37" s="140"/>
      <c r="Q37" s="228">
        <f t="shared" si="9"/>
        <v>15.5</v>
      </c>
      <c r="R37" s="229">
        <f t="shared" si="10"/>
        <v>5</v>
      </c>
      <c r="S37" s="241">
        <v>12</v>
      </c>
      <c r="T37" s="242">
        <v>3.5</v>
      </c>
      <c r="U37" s="285"/>
      <c r="V37" s="228">
        <f t="shared" si="11"/>
        <v>7.75</v>
      </c>
      <c r="W37" s="229">
        <f t="shared" si="12"/>
        <v>0</v>
      </c>
      <c r="X37" s="241">
        <v>7</v>
      </c>
      <c r="Y37" s="242">
        <v>6.5</v>
      </c>
      <c r="Z37" s="285"/>
      <c r="AA37" s="228">
        <f t="shared" si="13"/>
        <v>6.75</v>
      </c>
      <c r="AB37" s="229">
        <f t="shared" si="14"/>
        <v>0</v>
      </c>
      <c r="AC37" s="232">
        <f t="shared" si="15"/>
        <v>10</v>
      </c>
      <c r="AD37" s="233">
        <f t="shared" si="16"/>
        <v>17</v>
      </c>
      <c r="AE37" s="242">
        <v>6</v>
      </c>
      <c r="AF37" s="285">
        <v>13.5</v>
      </c>
      <c r="AG37" s="234">
        <f t="shared" si="17"/>
        <v>13.5</v>
      </c>
      <c r="AH37" s="235">
        <f t="shared" si="18"/>
        <v>1</v>
      </c>
      <c r="AI37" s="241">
        <v>7</v>
      </c>
      <c r="AJ37" s="242">
        <v>3.5</v>
      </c>
      <c r="AK37" s="285">
        <v>7</v>
      </c>
      <c r="AL37" s="228">
        <f t="shared" si="19"/>
        <v>7</v>
      </c>
      <c r="AM37" s="229">
        <f t="shared" si="20"/>
        <v>0</v>
      </c>
      <c r="AN37" s="241">
        <v>8</v>
      </c>
      <c r="AO37" s="242">
        <v>1.5</v>
      </c>
      <c r="AP37" s="285">
        <v>5.5</v>
      </c>
      <c r="AQ37" s="228">
        <f t="shared" si="21"/>
        <v>6.75</v>
      </c>
      <c r="AR37" s="229">
        <f t="shared" si="22"/>
        <v>0</v>
      </c>
      <c r="AS37" s="236">
        <f t="shared" si="23"/>
        <v>8.1999999999999993</v>
      </c>
      <c r="AT37" s="237">
        <f t="shared" si="24"/>
        <v>1</v>
      </c>
      <c r="AU37" s="241">
        <v>6</v>
      </c>
      <c r="AV37" s="242">
        <v>2</v>
      </c>
      <c r="AW37" s="285">
        <v>6</v>
      </c>
      <c r="AX37" s="228">
        <f t="shared" si="25"/>
        <v>6</v>
      </c>
      <c r="AY37" s="229">
        <f t="shared" si="26"/>
        <v>0</v>
      </c>
      <c r="AZ37" s="242">
        <v>0</v>
      </c>
      <c r="BA37" s="285"/>
      <c r="BB37" s="234">
        <f t="shared" si="27"/>
        <v>0</v>
      </c>
      <c r="BC37" s="235">
        <f t="shared" si="28"/>
        <v>0</v>
      </c>
      <c r="BD37" s="236">
        <f t="shared" si="29"/>
        <v>3</v>
      </c>
      <c r="BE37" s="237">
        <f t="shared" si="30"/>
        <v>0</v>
      </c>
      <c r="BF37" s="241">
        <v>8</v>
      </c>
      <c r="BG37" s="242">
        <v>3.5</v>
      </c>
      <c r="BH37" s="285">
        <v>7.5</v>
      </c>
      <c r="BI37" s="228">
        <f t="shared" si="31"/>
        <v>7.75</v>
      </c>
      <c r="BJ37" s="229">
        <f t="shared" si="32"/>
        <v>0</v>
      </c>
      <c r="BK37" s="236">
        <f t="shared" si="33"/>
        <v>7.75</v>
      </c>
      <c r="BL37" s="237">
        <f t="shared" si="33"/>
        <v>0</v>
      </c>
      <c r="BM37" s="239">
        <f t="shared" si="34"/>
        <v>8.1964285714285712</v>
      </c>
      <c r="BN37" s="240">
        <f t="shared" si="35"/>
        <v>18</v>
      </c>
      <c r="BO37" s="271">
        <v>12.5</v>
      </c>
      <c r="BP37" s="272">
        <v>6</v>
      </c>
      <c r="BQ37" s="140"/>
      <c r="BR37" s="228">
        <f t="shared" si="36"/>
        <v>9.25</v>
      </c>
      <c r="BS37" s="229">
        <f t="shared" si="37"/>
        <v>0</v>
      </c>
      <c r="BT37" s="241">
        <v>12</v>
      </c>
      <c r="BU37" s="242">
        <v>5.5</v>
      </c>
      <c r="BV37" s="285">
        <v>10</v>
      </c>
      <c r="BW37" s="228">
        <f t="shared" si="38"/>
        <v>11</v>
      </c>
      <c r="BX37" s="229">
        <f t="shared" si="39"/>
        <v>6</v>
      </c>
      <c r="BY37" s="241">
        <v>9</v>
      </c>
      <c r="BZ37" s="242">
        <v>0</v>
      </c>
      <c r="CA37" s="285">
        <v>3</v>
      </c>
      <c r="CB37" s="228">
        <f t="shared" si="40"/>
        <v>6</v>
      </c>
      <c r="CC37" s="229">
        <f t="shared" si="41"/>
        <v>0</v>
      </c>
      <c r="CD37" s="297">
        <f t="shared" si="42"/>
        <v>9.3000000000000007</v>
      </c>
      <c r="CE37" s="233">
        <f t="shared" si="43"/>
        <v>6</v>
      </c>
      <c r="CF37" s="241">
        <v>3</v>
      </c>
      <c r="CG37" s="242">
        <v>5</v>
      </c>
      <c r="CH37" s="285"/>
      <c r="CI37" s="228">
        <f t="shared" si="44"/>
        <v>4</v>
      </c>
      <c r="CJ37" s="229">
        <f t="shared" si="45"/>
        <v>0</v>
      </c>
      <c r="CK37" s="230">
        <v>15</v>
      </c>
      <c r="CL37" s="231">
        <v>5.5</v>
      </c>
      <c r="CM37" s="285"/>
      <c r="CN37" s="228">
        <f t="shared" si="46"/>
        <v>10.25</v>
      </c>
      <c r="CO37" s="229">
        <f t="shared" si="47"/>
        <v>5</v>
      </c>
      <c r="CP37" s="232">
        <f t="shared" si="48"/>
        <v>7.125</v>
      </c>
      <c r="CQ37" s="233">
        <f t="shared" si="49"/>
        <v>5</v>
      </c>
      <c r="CR37" s="230">
        <v>16</v>
      </c>
      <c r="CS37" s="231">
        <v>0.5</v>
      </c>
      <c r="CT37" s="285">
        <v>6</v>
      </c>
      <c r="CU37" s="228">
        <f t="shared" si="50"/>
        <v>11</v>
      </c>
      <c r="CV37" s="229">
        <f t="shared" si="51"/>
        <v>3</v>
      </c>
      <c r="CW37" s="232">
        <f t="shared" si="52"/>
        <v>11</v>
      </c>
      <c r="CX37" s="233">
        <f t="shared" si="52"/>
        <v>3</v>
      </c>
      <c r="CY37" s="231">
        <v>8</v>
      </c>
      <c r="CZ37" s="285">
        <v>12</v>
      </c>
      <c r="DA37" s="234">
        <f t="shared" si="53"/>
        <v>12</v>
      </c>
      <c r="DB37" s="235">
        <f t="shared" si="54"/>
        <v>1</v>
      </c>
      <c r="DC37" s="232">
        <f t="shared" si="55"/>
        <v>12</v>
      </c>
      <c r="DD37" s="233">
        <f t="shared" si="55"/>
        <v>1</v>
      </c>
      <c r="DE37" s="65">
        <f t="shared" si="56"/>
        <v>9.0833333333333339</v>
      </c>
      <c r="DF37" s="66">
        <f t="shared" si="57"/>
        <v>15</v>
      </c>
      <c r="DG37" s="31">
        <f t="shared" si="0"/>
        <v>8.1964285714285712</v>
      </c>
      <c r="DH37" s="32">
        <f t="shared" si="1"/>
        <v>18</v>
      </c>
      <c r="DI37" s="33">
        <f t="shared" si="2"/>
        <v>9.0833333333333339</v>
      </c>
      <c r="DJ37" s="34">
        <f t="shared" si="3"/>
        <v>15</v>
      </c>
      <c r="DK37" s="67">
        <f t="shared" si="4"/>
        <v>8.6398809523809526</v>
      </c>
      <c r="DL37" s="35">
        <f t="shared" si="5"/>
        <v>33</v>
      </c>
      <c r="DM37" s="59">
        <f t="shared" si="6"/>
        <v>66</v>
      </c>
      <c r="DN37" s="43" t="str">
        <f t="shared" si="58"/>
        <v>راسب(ة)</v>
      </c>
      <c r="DO37" s="44"/>
      <c r="DP37" s="50"/>
      <c r="DQ37" s="46"/>
    </row>
    <row r="38" spans="1:121" s="37" customFormat="1" ht="32.25" customHeight="1" thickBot="1">
      <c r="A38" s="49"/>
      <c r="B38" s="1">
        <f t="shared" si="59"/>
        <v>33</v>
      </c>
      <c r="C38" s="249" t="s">
        <v>165</v>
      </c>
      <c r="D38" s="249" t="s">
        <v>166</v>
      </c>
      <c r="E38" s="47" t="s">
        <v>355</v>
      </c>
      <c r="F38" s="135">
        <v>34390</v>
      </c>
      <c r="G38" s="136" t="s">
        <v>393</v>
      </c>
      <c r="H38" s="131">
        <v>7.66</v>
      </c>
      <c r="I38" s="132">
        <v>17</v>
      </c>
      <c r="J38" s="133">
        <v>6.48</v>
      </c>
      <c r="K38" s="134">
        <v>15</v>
      </c>
      <c r="L38" s="53">
        <f t="shared" si="7"/>
        <v>7.07</v>
      </c>
      <c r="M38" s="58">
        <f t="shared" si="8"/>
        <v>32</v>
      </c>
      <c r="N38" s="222">
        <v>15</v>
      </c>
      <c r="O38" s="223">
        <v>7</v>
      </c>
      <c r="P38" s="140"/>
      <c r="Q38" s="228">
        <f t="shared" si="9"/>
        <v>11</v>
      </c>
      <c r="R38" s="229">
        <f t="shared" si="10"/>
        <v>5</v>
      </c>
      <c r="S38" s="241">
        <v>12</v>
      </c>
      <c r="T38" s="242">
        <v>4.5</v>
      </c>
      <c r="U38" s="285"/>
      <c r="V38" s="228">
        <f t="shared" si="11"/>
        <v>8.25</v>
      </c>
      <c r="W38" s="229">
        <f t="shared" si="12"/>
        <v>0</v>
      </c>
      <c r="X38" s="241">
        <v>7</v>
      </c>
      <c r="Y38" s="242">
        <v>3.5</v>
      </c>
      <c r="Z38" s="285">
        <v>10.5</v>
      </c>
      <c r="AA38" s="228">
        <f t="shared" si="13"/>
        <v>8.75</v>
      </c>
      <c r="AB38" s="229">
        <f t="shared" si="14"/>
        <v>0</v>
      </c>
      <c r="AC38" s="232">
        <f t="shared" si="15"/>
        <v>9.3333333333333339</v>
      </c>
      <c r="AD38" s="233">
        <f t="shared" si="16"/>
        <v>5</v>
      </c>
      <c r="AE38" s="242">
        <v>10</v>
      </c>
      <c r="AF38" s="285"/>
      <c r="AG38" s="234">
        <f t="shared" si="17"/>
        <v>10</v>
      </c>
      <c r="AH38" s="235">
        <f t="shared" si="18"/>
        <v>1</v>
      </c>
      <c r="AI38" s="241">
        <v>3.5</v>
      </c>
      <c r="AJ38" s="242">
        <v>2.5</v>
      </c>
      <c r="AK38" s="285">
        <v>3.5</v>
      </c>
      <c r="AL38" s="228">
        <f t="shared" si="19"/>
        <v>3.5</v>
      </c>
      <c r="AM38" s="229">
        <f t="shared" si="20"/>
        <v>0</v>
      </c>
      <c r="AN38" s="241">
        <v>7</v>
      </c>
      <c r="AO38" s="242">
        <v>0</v>
      </c>
      <c r="AP38" s="285"/>
      <c r="AQ38" s="228">
        <f t="shared" si="21"/>
        <v>3.5</v>
      </c>
      <c r="AR38" s="229">
        <f t="shared" si="22"/>
        <v>0</v>
      </c>
      <c r="AS38" s="236">
        <f t="shared" si="23"/>
        <v>4.8</v>
      </c>
      <c r="AT38" s="237">
        <f t="shared" si="24"/>
        <v>1</v>
      </c>
      <c r="AU38" s="241">
        <v>10</v>
      </c>
      <c r="AV38" s="242">
        <v>3</v>
      </c>
      <c r="AW38" s="285">
        <v>10</v>
      </c>
      <c r="AX38" s="228">
        <f t="shared" si="25"/>
        <v>10</v>
      </c>
      <c r="AY38" s="229">
        <f t="shared" si="26"/>
        <v>4</v>
      </c>
      <c r="AZ38" s="242">
        <v>6.5</v>
      </c>
      <c r="BA38" s="285"/>
      <c r="BB38" s="234">
        <f t="shared" si="27"/>
        <v>6.5</v>
      </c>
      <c r="BC38" s="235">
        <f t="shared" si="28"/>
        <v>0</v>
      </c>
      <c r="BD38" s="236">
        <f t="shared" si="29"/>
        <v>8.25</v>
      </c>
      <c r="BE38" s="237">
        <f t="shared" si="30"/>
        <v>4</v>
      </c>
      <c r="BF38" s="241">
        <v>9.75</v>
      </c>
      <c r="BG38" s="242">
        <v>8</v>
      </c>
      <c r="BH38" s="285">
        <v>9.5</v>
      </c>
      <c r="BI38" s="228">
        <f t="shared" si="31"/>
        <v>9.625</v>
      </c>
      <c r="BJ38" s="229">
        <f t="shared" si="32"/>
        <v>0</v>
      </c>
      <c r="BK38" s="236">
        <f t="shared" si="33"/>
        <v>9.625</v>
      </c>
      <c r="BL38" s="237">
        <f t="shared" si="33"/>
        <v>0</v>
      </c>
      <c r="BM38" s="239">
        <f t="shared" si="34"/>
        <v>7.5803571428571432</v>
      </c>
      <c r="BN38" s="240">
        <f t="shared" si="35"/>
        <v>10</v>
      </c>
      <c r="BO38" s="271">
        <v>12.5</v>
      </c>
      <c r="BP38" s="272">
        <v>5</v>
      </c>
      <c r="BQ38" s="140">
        <v>7.5</v>
      </c>
      <c r="BR38" s="228">
        <f t="shared" si="36"/>
        <v>10</v>
      </c>
      <c r="BS38" s="229">
        <f t="shared" si="37"/>
        <v>6</v>
      </c>
      <c r="BT38" s="241">
        <v>11.5</v>
      </c>
      <c r="BU38" s="242">
        <v>7</v>
      </c>
      <c r="BV38" s="285"/>
      <c r="BW38" s="228">
        <f t="shared" si="38"/>
        <v>9.25</v>
      </c>
      <c r="BX38" s="229">
        <f t="shared" si="39"/>
        <v>0</v>
      </c>
      <c r="BY38" s="241">
        <v>5</v>
      </c>
      <c r="BZ38" s="242">
        <v>0</v>
      </c>
      <c r="CA38" s="285">
        <v>3</v>
      </c>
      <c r="CB38" s="228">
        <f t="shared" si="40"/>
        <v>4</v>
      </c>
      <c r="CC38" s="229">
        <f t="shared" si="41"/>
        <v>0</v>
      </c>
      <c r="CD38" s="297">
        <f t="shared" si="42"/>
        <v>8.5</v>
      </c>
      <c r="CE38" s="233">
        <f t="shared" si="43"/>
        <v>6</v>
      </c>
      <c r="CF38" s="241">
        <v>6</v>
      </c>
      <c r="CG38" s="242">
        <v>7</v>
      </c>
      <c r="CH38" s="285"/>
      <c r="CI38" s="228">
        <f t="shared" si="44"/>
        <v>6.5</v>
      </c>
      <c r="CJ38" s="229">
        <f t="shared" si="45"/>
        <v>0</v>
      </c>
      <c r="CK38" s="230">
        <v>10</v>
      </c>
      <c r="CL38" s="231">
        <v>4</v>
      </c>
      <c r="CM38" s="285"/>
      <c r="CN38" s="228">
        <f t="shared" si="46"/>
        <v>7</v>
      </c>
      <c r="CO38" s="229">
        <f t="shared" si="47"/>
        <v>0</v>
      </c>
      <c r="CP38" s="232">
        <f t="shared" si="48"/>
        <v>6.75</v>
      </c>
      <c r="CQ38" s="233">
        <f t="shared" si="49"/>
        <v>0</v>
      </c>
      <c r="CR38" s="230">
        <v>14.5</v>
      </c>
      <c r="CS38" s="231">
        <v>1.25</v>
      </c>
      <c r="CT38" s="285">
        <v>3</v>
      </c>
      <c r="CU38" s="228">
        <f t="shared" si="50"/>
        <v>8.75</v>
      </c>
      <c r="CV38" s="229">
        <f t="shared" si="51"/>
        <v>0</v>
      </c>
      <c r="CW38" s="232">
        <f t="shared" si="52"/>
        <v>8.75</v>
      </c>
      <c r="CX38" s="233">
        <f t="shared" si="52"/>
        <v>0</v>
      </c>
      <c r="CY38" s="231">
        <v>8</v>
      </c>
      <c r="CZ38" s="285">
        <v>15</v>
      </c>
      <c r="DA38" s="234">
        <f t="shared" si="53"/>
        <v>15</v>
      </c>
      <c r="DB38" s="235">
        <f t="shared" si="54"/>
        <v>1</v>
      </c>
      <c r="DC38" s="232">
        <f t="shared" si="55"/>
        <v>15</v>
      </c>
      <c r="DD38" s="233">
        <f t="shared" si="55"/>
        <v>1</v>
      </c>
      <c r="DE38" s="65">
        <f t="shared" si="56"/>
        <v>8.5</v>
      </c>
      <c r="DF38" s="66">
        <f t="shared" si="57"/>
        <v>7</v>
      </c>
      <c r="DG38" s="31">
        <f t="shared" si="0"/>
        <v>7.5803571428571432</v>
      </c>
      <c r="DH38" s="32">
        <f t="shared" si="1"/>
        <v>10</v>
      </c>
      <c r="DI38" s="33">
        <f t="shared" si="2"/>
        <v>8.5</v>
      </c>
      <c r="DJ38" s="34">
        <f t="shared" si="3"/>
        <v>7</v>
      </c>
      <c r="DK38" s="67">
        <f t="shared" si="4"/>
        <v>8.0401785714285712</v>
      </c>
      <c r="DL38" s="35">
        <f t="shared" si="5"/>
        <v>17</v>
      </c>
      <c r="DM38" s="59">
        <f t="shared" si="6"/>
        <v>49</v>
      </c>
      <c r="DN38" s="43" t="str">
        <f t="shared" si="58"/>
        <v>راسب(ة)</v>
      </c>
      <c r="DO38" s="44"/>
      <c r="DP38" s="50"/>
      <c r="DQ38" s="46"/>
    </row>
    <row r="39" spans="1:121" s="37" customFormat="1" ht="32.25" customHeight="1" thickBot="1">
      <c r="A39" s="49"/>
      <c r="B39" s="1">
        <f t="shared" si="59"/>
        <v>34</v>
      </c>
      <c r="C39" s="249" t="s">
        <v>167</v>
      </c>
      <c r="D39" s="249" t="s">
        <v>168</v>
      </c>
      <c r="E39" s="47" t="s">
        <v>356</v>
      </c>
      <c r="F39" s="135">
        <v>35780</v>
      </c>
      <c r="G39" s="136" t="s">
        <v>408</v>
      </c>
      <c r="H39" s="131">
        <v>9.8000000000000007</v>
      </c>
      <c r="I39" s="132">
        <v>30</v>
      </c>
      <c r="J39" s="133">
        <v>10.199999999999999</v>
      </c>
      <c r="K39" s="134">
        <v>30</v>
      </c>
      <c r="L39" s="53">
        <f t="shared" si="7"/>
        <v>10</v>
      </c>
      <c r="M39" s="58">
        <f t="shared" si="8"/>
        <v>60</v>
      </c>
      <c r="N39" s="222">
        <v>13</v>
      </c>
      <c r="O39" s="223">
        <v>9</v>
      </c>
      <c r="P39" s="140"/>
      <c r="Q39" s="228">
        <f t="shared" si="9"/>
        <v>11</v>
      </c>
      <c r="R39" s="229">
        <f t="shared" si="10"/>
        <v>5</v>
      </c>
      <c r="S39" s="241">
        <v>11.5</v>
      </c>
      <c r="T39" s="242">
        <v>8.5</v>
      </c>
      <c r="U39" s="285"/>
      <c r="V39" s="228">
        <f t="shared" si="11"/>
        <v>10</v>
      </c>
      <c r="W39" s="229">
        <f t="shared" si="12"/>
        <v>6</v>
      </c>
      <c r="X39" s="241">
        <v>12.5</v>
      </c>
      <c r="Y39" s="242">
        <v>8</v>
      </c>
      <c r="Z39" s="285"/>
      <c r="AA39" s="228">
        <f t="shared" si="13"/>
        <v>10.25</v>
      </c>
      <c r="AB39" s="229">
        <f t="shared" si="14"/>
        <v>6</v>
      </c>
      <c r="AC39" s="232">
        <f t="shared" si="15"/>
        <v>10.416666666666666</v>
      </c>
      <c r="AD39" s="233">
        <f t="shared" si="16"/>
        <v>17</v>
      </c>
      <c r="AE39" s="242">
        <v>8</v>
      </c>
      <c r="AF39" s="285">
        <v>11</v>
      </c>
      <c r="AG39" s="234">
        <f t="shared" si="17"/>
        <v>11</v>
      </c>
      <c r="AH39" s="235">
        <f t="shared" si="18"/>
        <v>1</v>
      </c>
      <c r="AI39" s="241">
        <v>12.25</v>
      </c>
      <c r="AJ39" s="242">
        <v>5</v>
      </c>
      <c r="AK39" s="285">
        <v>12.25</v>
      </c>
      <c r="AL39" s="228">
        <f t="shared" si="19"/>
        <v>12.25</v>
      </c>
      <c r="AM39" s="229">
        <f t="shared" si="20"/>
        <v>3</v>
      </c>
      <c r="AN39" s="241">
        <v>8.75</v>
      </c>
      <c r="AO39" s="242">
        <v>0.5</v>
      </c>
      <c r="AP39" s="285">
        <v>7</v>
      </c>
      <c r="AQ39" s="228">
        <f t="shared" si="21"/>
        <v>7.875</v>
      </c>
      <c r="AR39" s="229">
        <f t="shared" si="22"/>
        <v>0</v>
      </c>
      <c r="AS39" s="236">
        <f t="shared" si="23"/>
        <v>10.25</v>
      </c>
      <c r="AT39" s="237">
        <f t="shared" si="24"/>
        <v>7</v>
      </c>
      <c r="AU39" s="241">
        <v>2</v>
      </c>
      <c r="AV39" s="242">
        <v>3</v>
      </c>
      <c r="AW39" s="285">
        <v>7</v>
      </c>
      <c r="AX39" s="228">
        <f t="shared" si="25"/>
        <v>4.5</v>
      </c>
      <c r="AY39" s="229">
        <f t="shared" si="26"/>
        <v>0</v>
      </c>
      <c r="AZ39" s="242">
        <v>6.5</v>
      </c>
      <c r="BA39" s="285">
        <v>12</v>
      </c>
      <c r="BB39" s="234">
        <f t="shared" si="27"/>
        <v>12</v>
      </c>
      <c r="BC39" s="235">
        <f t="shared" si="28"/>
        <v>1</v>
      </c>
      <c r="BD39" s="236">
        <f t="shared" si="29"/>
        <v>8.25</v>
      </c>
      <c r="BE39" s="237">
        <f t="shared" si="30"/>
        <v>1</v>
      </c>
      <c r="BF39" s="241">
        <v>10.75</v>
      </c>
      <c r="BG39" s="242">
        <v>5.5</v>
      </c>
      <c r="BH39" s="285">
        <v>8.75</v>
      </c>
      <c r="BI39" s="228">
        <f t="shared" si="31"/>
        <v>9.75</v>
      </c>
      <c r="BJ39" s="229">
        <f t="shared" si="32"/>
        <v>0</v>
      </c>
      <c r="BK39" s="236">
        <f t="shared" si="33"/>
        <v>9.75</v>
      </c>
      <c r="BL39" s="237">
        <f t="shared" si="33"/>
        <v>0</v>
      </c>
      <c r="BM39" s="239">
        <f t="shared" si="34"/>
        <v>10</v>
      </c>
      <c r="BN39" s="240">
        <f t="shared" si="35"/>
        <v>30</v>
      </c>
      <c r="BO39" s="271">
        <v>14</v>
      </c>
      <c r="BP39" s="272">
        <v>5.5</v>
      </c>
      <c r="BQ39" s="140">
        <v>10</v>
      </c>
      <c r="BR39" s="228">
        <f t="shared" si="36"/>
        <v>12</v>
      </c>
      <c r="BS39" s="229">
        <f t="shared" si="37"/>
        <v>6</v>
      </c>
      <c r="BT39" s="241">
        <v>11.5</v>
      </c>
      <c r="BU39" s="242">
        <v>11</v>
      </c>
      <c r="BV39" s="285"/>
      <c r="BW39" s="228">
        <f t="shared" si="38"/>
        <v>11.25</v>
      </c>
      <c r="BX39" s="229">
        <f t="shared" si="39"/>
        <v>6</v>
      </c>
      <c r="BY39" s="241">
        <v>10</v>
      </c>
      <c r="BZ39" s="242">
        <v>3</v>
      </c>
      <c r="CA39" s="285">
        <v>4.75</v>
      </c>
      <c r="CB39" s="228">
        <f t="shared" si="40"/>
        <v>7.375</v>
      </c>
      <c r="CC39" s="229">
        <f t="shared" si="41"/>
        <v>0</v>
      </c>
      <c r="CD39" s="297">
        <f t="shared" si="42"/>
        <v>10.775</v>
      </c>
      <c r="CE39" s="233">
        <f t="shared" si="43"/>
        <v>16</v>
      </c>
      <c r="CF39" s="241">
        <v>4</v>
      </c>
      <c r="CG39" s="242">
        <v>8.25</v>
      </c>
      <c r="CH39" s="285">
        <v>9.25</v>
      </c>
      <c r="CI39" s="228">
        <f t="shared" si="44"/>
        <v>6.625</v>
      </c>
      <c r="CJ39" s="229">
        <f t="shared" si="45"/>
        <v>0</v>
      </c>
      <c r="CK39" s="230">
        <v>10</v>
      </c>
      <c r="CL39" s="231">
        <v>5</v>
      </c>
      <c r="CM39" s="285">
        <v>12</v>
      </c>
      <c r="CN39" s="228">
        <f t="shared" si="46"/>
        <v>11</v>
      </c>
      <c r="CO39" s="229">
        <f t="shared" si="47"/>
        <v>5</v>
      </c>
      <c r="CP39" s="232">
        <f t="shared" si="48"/>
        <v>8.8125</v>
      </c>
      <c r="CQ39" s="233">
        <f t="shared" si="49"/>
        <v>5</v>
      </c>
      <c r="CR39" s="230">
        <v>15</v>
      </c>
      <c r="CS39" s="231">
        <v>5</v>
      </c>
      <c r="CT39" s="285"/>
      <c r="CU39" s="228">
        <f t="shared" si="50"/>
        <v>10</v>
      </c>
      <c r="CV39" s="229">
        <f t="shared" si="51"/>
        <v>3</v>
      </c>
      <c r="CW39" s="232">
        <f t="shared" si="52"/>
        <v>10</v>
      </c>
      <c r="CX39" s="233">
        <f t="shared" si="52"/>
        <v>3</v>
      </c>
      <c r="CY39" s="231">
        <v>11</v>
      </c>
      <c r="CZ39" s="285"/>
      <c r="DA39" s="234">
        <f t="shared" si="53"/>
        <v>11</v>
      </c>
      <c r="DB39" s="235">
        <f t="shared" si="54"/>
        <v>1</v>
      </c>
      <c r="DC39" s="232">
        <f t="shared" si="55"/>
        <v>11</v>
      </c>
      <c r="DD39" s="233">
        <f t="shared" si="55"/>
        <v>1</v>
      </c>
      <c r="DE39" s="65">
        <f t="shared" si="56"/>
        <v>10.010416666666666</v>
      </c>
      <c r="DF39" s="66">
        <f t="shared" si="57"/>
        <v>30</v>
      </c>
      <c r="DG39" s="31">
        <f t="shared" si="0"/>
        <v>10</v>
      </c>
      <c r="DH39" s="32">
        <f t="shared" si="1"/>
        <v>30</v>
      </c>
      <c r="DI39" s="33">
        <f t="shared" si="2"/>
        <v>10.010416666666666</v>
      </c>
      <c r="DJ39" s="34">
        <f t="shared" si="3"/>
        <v>30</v>
      </c>
      <c r="DK39" s="67">
        <f t="shared" si="4"/>
        <v>10.005208333333332</v>
      </c>
      <c r="DL39" s="35">
        <f t="shared" si="5"/>
        <v>60</v>
      </c>
      <c r="DM39" s="59">
        <f t="shared" si="6"/>
        <v>120</v>
      </c>
      <c r="DN39" s="43" t="str">
        <f t="shared" si="58"/>
        <v>ناجح(ة) دورة2</v>
      </c>
      <c r="DP39" s="51"/>
      <c r="DQ39" s="46"/>
    </row>
    <row r="40" spans="1:121" s="37" customFormat="1" ht="32.25" customHeight="1" thickBot="1">
      <c r="A40" s="49"/>
      <c r="B40" s="1">
        <f t="shared" si="59"/>
        <v>35</v>
      </c>
      <c r="C40" s="249" t="s">
        <v>169</v>
      </c>
      <c r="D40" s="249" t="s">
        <v>170</v>
      </c>
      <c r="E40" s="47" t="s">
        <v>357</v>
      </c>
      <c r="F40" s="135">
        <v>35137</v>
      </c>
      <c r="G40" s="136" t="s">
        <v>408</v>
      </c>
      <c r="H40" s="131">
        <v>8.17</v>
      </c>
      <c r="I40" s="132">
        <v>22</v>
      </c>
      <c r="J40" s="133">
        <v>6.05</v>
      </c>
      <c r="K40" s="134">
        <v>10</v>
      </c>
      <c r="L40" s="53">
        <f t="shared" si="7"/>
        <v>7.1099999999999994</v>
      </c>
      <c r="M40" s="58">
        <f t="shared" si="8"/>
        <v>32</v>
      </c>
      <c r="N40" s="222">
        <v>13</v>
      </c>
      <c r="O40" s="223">
        <v>9</v>
      </c>
      <c r="P40" s="140"/>
      <c r="Q40" s="228">
        <f t="shared" si="9"/>
        <v>11</v>
      </c>
      <c r="R40" s="229">
        <f t="shared" si="10"/>
        <v>5</v>
      </c>
      <c r="S40" s="241">
        <v>14.5</v>
      </c>
      <c r="T40" s="242">
        <v>12.5</v>
      </c>
      <c r="U40" s="285"/>
      <c r="V40" s="228">
        <f t="shared" si="11"/>
        <v>13.5</v>
      </c>
      <c r="W40" s="229">
        <f t="shared" si="12"/>
        <v>6</v>
      </c>
      <c r="X40" s="241">
        <v>10</v>
      </c>
      <c r="Y40" s="242">
        <v>6.5</v>
      </c>
      <c r="Z40" s="285"/>
      <c r="AA40" s="228">
        <f t="shared" si="13"/>
        <v>8.25</v>
      </c>
      <c r="AB40" s="229">
        <f t="shared" si="14"/>
        <v>0</v>
      </c>
      <c r="AC40" s="232">
        <f t="shared" si="15"/>
        <v>10.916666666666666</v>
      </c>
      <c r="AD40" s="233">
        <f t="shared" si="16"/>
        <v>17</v>
      </c>
      <c r="AE40" s="242">
        <v>10</v>
      </c>
      <c r="AF40" s="285"/>
      <c r="AG40" s="234">
        <f t="shared" si="17"/>
        <v>10</v>
      </c>
      <c r="AH40" s="235">
        <f t="shared" si="18"/>
        <v>1</v>
      </c>
      <c r="AI40" s="241">
        <v>3</v>
      </c>
      <c r="AJ40" s="242">
        <v>1.5</v>
      </c>
      <c r="AK40" s="285"/>
      <c r="AL40" s="228">
        <f t="shared" si="19"/>
        <v>2.25</v>
      </c>
      <c r="AM40" s="229">
        <f t="shared" si="20"/>
        <v>0</v>
      </c>
      <c r="AN40" s="241">
        <v>8.5</v>
      </c>
      <c r="AO40" s="242">
        <v>1.5</v>
      </c>
      <c r="AP40" s="285"/>
      <c r="AQ40" s="228">
        <f t="shared" si="21"/>
        <v>5</v>
      </c>
      <c r="AR40" s="229">
        <f t="shared" si="22"/>
        <v>0</v>
      </c>
      <c r="AS40" s="236">
        <f t="shared" si="23"/>
        <v>4.9000000000000004</v>
      </c>
      <c r="AT40" s="237">
        <f t="shared" si="24"/>
        <v>1</v>
      </c>
      <c r="AU40" s="241">
        <v>16</v>
      </c>
      <c r="AV40" s="242">
        <v>7</v>
      </c>
      <c r="AW40" s="285"/>
      <c r="AX40" s="228">
        <f t="shared" si="25"/>
        <v>11.5</v>
      </c>
      <c r="AY40" s="229">
        <f t="shared" si="26"/>
        <v>4</v>
      </c>
      <c r="AZ40" s="242">
        <v>7.5</v>
      </c>
      <c r="BA40" s="285"/>
      <c r="BB40" s="234">
        <f t="shared" si="27"/>
        <v>7.5</v>
      </c>
      <c r="BC40" s="235">
        <f t="shared" si="28"/>
        <v>0</v>
      </c>
      <c r="BD40" s="236">
        <f t="shared" si="29"/>
        <v>9.5</v>
      </c>
      <c r="BE40" s="237">
        <f t="shared" si="30"/>
        <v>4</v>
      </c>
      <c r="BF40" s="241">
        <v>12</v>
      </c>
      <c r="BG40" s="242">
        <v>5.5</v>
      </c>
      <c r="BH40" s="285"/>
      <c r="BI40" s="228">
        <f t="shared" si="31"/>
        <v>8.75</v>
      </c>
      <c r="BJ40" s="229">
        <f t="shared" si="32"/>
        <v>0</v>
      </c>
      <c r="BK40" s="236">
        <f t="shared" si="33"/>
        <v>8.75</v>
      </c>
      <c r="BL40" s="237">
        <f t="shared" si="33"/>
        <v>0</v>
      </c>
      <c r="BM40" s="239">
        <f t="shared" si="34"/>
        <v>8.4107142857142865</v>
      </c>
      <c r="BN40" s="240">
        <f t="shared" si="35"/>
        <v>22</v>
      </c>
      <c r="BO40" s="273">
        <v>8</v>
      </c>
      <c r="BP40" s="274"/>
      <c r="BQ40" s="140"/>
      <c r="BR40" s="228">
        <f t="shared" si="36"/>
        <v>4</v>
      </c>
      <c r="BS40" s="229">
        <f t="shared" si="37"/>
        <v>0</v>
      </c>
      <c r="BT40" s="282"/>
      <c r="BU40" s="283"/>
      <c r="BV40" s="285"/>
      <c r="BW40" s="228">
        <f t="shared" si="38"/>
        <v>0</v>
      </c>
      <c r="BX40" s="229">
        <f t="shared" si="39"/>
        <v>0</v>
      </c>
      <c r="BY40" s="282"/>
      <c r="BZ40" s="283"/>
      <c r="CA40" s="285"/>
      <c r="CB40" s="228">
        <f t="shared" si="40"/>
        <v>0</v>
      </c>
      <c r="CC40" s="229">
        <f t="shared" si="41"/>
        <v>0</v>
      </c>
      <c r="CD40" s="297">
        <f t="shared" si="42"/>
        <v>1.6</v>
      </c>
      <c r="CE40" s="233">
        <f t="shared" si="43"/>
        <v>0</v>
      </c>
      <c r="CF40" s="282">
        <v>0</v>
      </c>
      <c r="CG40" s="283"/>
      <c r="CH40" s="285"/>
      <c r="CI40" s="228">
        <f t="shared" si="44"/>
        <v>0</v>
      </c>
      <c r="CJ40" s="229">
        <f t="shared" si="45"/>
        <v>0</v>
      </c>
      <c r="CK40" s="230">
        <v>7</v>
      </c>
      <c r="CL40" s="231"/>
      <c r="CM40" s="285"/>
      <c r="CN40" s="228">
        <f t="shared" si="46"/>
        <v>3.5</v>
      </c>
      <c r="CO40" s="229">
        <f t="shared" si="47"/>
        <v>0</v>
      </c>
      <c r="CP40" s="232">
        <f t="shared" si="48"/>
        <v>1.75</v>
      </c>
      <c r="CQ40" s="233">
        <f t="shared" si="49"/>
        <v>0</v>
      </c>
      <c r="CR40" s="230"/>
      <c r="CS40" s="231"/>
      <c r="CT40" s="285"/>
      <c r="CU40" s="228">
        <f t="shared" si="50"/>
        <v>0</v>
      </c>
      <c r="CV40" s="229">
        <f t="shared" si="51"/>
        <v>0</v>
      </c>
      <c r="CW40" s="232">
        <f t="shared" si="52"/>
        <v>0</v>
      </c>
      <c r="CX40" s="233">
        <f t="shared" si="52"/>
        <v>0</v>
      </c>
      <c r="CY40" s="231"/>
      <c r="CZ40" s="285"/>
      <c r="DA40" s="234">
        <f t="shared" si="53"/>
        <v>0</v>
      </c>
      <c r="DB40" s="235">
        <f t="shared" si="54"/>
        <v>0</v>
      </c>
      <c r="DC40" s="232">
        <f t="shared" si="55"/>
        <v>0</v>
      </c>
      <c r="DD40" s="233">
        <f t="shared" si="55"/>
        <v>0</v>
      </c>
      <c r="DE40" s="65">
        <f t="shared" si="56"/>
        <v>1.25</v>
      </c>
      <c r="DF40" s="66">
        <f t="shared" si="57"/>
        <v>0</v>
      </c>
      <c r="DG40" s="31">
        <f t="shared" si="0"/>
        <v>8.4107142857142865</v>
      </c>
      <c r="DH40" s="32">
        <f t="shared" si="1"/>
        <v>22</v>
      </c>
      <c r="DI40" s="33">
        <f t="shared" si="2"/>
        <v>1.25</v>
      </c>
      <c r="DJ40" s="34">
        <f t="shared" si="3"/>
        <v>0</v>
      </c>
      <c r="DK40" s="67">
        <f t="shared" si="4"/>
        <v>4.8303571428571432</v>
      </c>
      <c r="DL40" s="35">
        <f t="shared" si="5"/>
        <v>22</v>
      </c>
      <c r="DM40" s="59">
        <f t="shared" si="6"/>
        <v>54</v>
      </c>
      <c r="DN40" s="43" t="str">
        <f t="shared" si="58"/>
        <v>راسب(ة)</v>
      </c>
      <c r="DP40" s="51"/>
      <c r="DQ40" s="46"/>
    </row>
    <row r="41" spans="1:121" s="37" customFormat="1" ht="32.25" customHeight="1" thickBot="1">
      <c r="A41" s="49"/>
      <c r="B41" s="1">
        <f t="shared" si="59"/>
        <v>36</v>
      </c>
      <c r="C41" s="249" t="s">
        <v>171</v>
      </c>
      <c r="D41" s="249" t="s">
        <v>172</v>
      </c>
      <c r="E41" s="137" t="s">
        <v>409</v>
      </c>
      <c r="F41" s="135">
        <v>34772</v>
      </c>
      <c r="G41" s="136" t="s">
        <v>110</v>
      </c>
      <c r="H41" s="131">
        <v>10.06</v>
      </c>
      <c r="I41" s="132">
        <v>30</v>
      </c>
      <c r="J41" s="133">
        <v>4.95</v>
      </c>
      <c r="K41" s="134">
        <v>10</v>
      </c>
      <c r="L41" s="53">
        <f t="shared" si="7"/>
        <v>7.5050000000000008</v>
      </c>
      <c r="M41" s="58">
        <f t="shared" si="8"/>
        <v>40</v>
      </c>
      <c r="N41" s="222">
        <v>15</v>
      </c>
      <c r="O41" s="223">
        <v>8</v>
      </c>
      <c r="P41" s="140"/>
      <c r="Q41" s="228">
        <f t="shared" si="9"/>
        <v>11.5</v>
      </c>
      <c r="R41" s="229">
        <f t="shared" si="10"/>
        <v>5</v>
      </c>
      <c r="S41" s="241">
        <v>10</v>
      </c>
      <c r="T41" s="242">
        <v>10</v>
      </c>
      <c r="U41" s="285"/>
      <c r="V41" s="228">
        <f t="shared" si="11"/>
        <v>10</v>
      </c>
      <c r="W41" s="229">
        <f t="shared" si="12"/>
        <v>6</v>
      </c>
      <c r="X41" s="241">
        <v>11.5</v>
      </c>
      <c r="Y41" s="242">
        <v>7</v>
      </c>
      <c r="Z41" s="285"/>
      <c r="AA41" s="228">
        <f t="shared" si="13"/>
        <v>9.25</v>
      </c>
      <c r="AB41" s="229">
        <f t="shared" si="14"/>
        <v>0</v>
      </c>
      <c r="AC41" s="232">
        <f t="shared" si="15"/>
        <v>10.25</v>
      </c>
      <c r="AD41" s="233">
        <f t="shared" si="16"/>
        <v>17</v>
      </c>
      <c r="AE41" s="242">
        <v>6.5</v>
      </c>
      <c r="AF41" s="285">
        <v>12</v>
      </c>
      <c r="AG41" s="234">
        <f t="shared" si="17"/>
        <v>12</v>
      </c>
      <c r="AH41" s="235">
        <f t="shared" si="18"/>
        <v>1</v>
      </c>
      <c r="AI41" s="241">
        <v>6.5</v>
      </c>
      <c r="AJ41" s="242">
        <v>4.5</v>
      </c>
      <c r="AK41" s="285">
        <v>6.5</v>
      </c>
      <c r="AL41" s="228">
        <f t="shared" si="19"/>
        <v>6.5</v>
      </c>
      <c r="AM41" s="229">
        <f t="shared" si="20"/>
        <v>0</v>
      </c>
      <c r="AN41" s="241">
        <v>8.5</v>
      </c>
      <c r="AO41" s="242">
        <v>0.5</v>
      </c>
      <c r="AP41" s="285">
        <v>3</v>
      </c>
      <c r="AQ41" s="228">
        <f t="shared" si="21"/>
        <v>5.75</v>
      </c>
      <c r="AR41" s="229">
        <f t="shared" si="22"/>
        <v>0</v>
      </c>
      <c r="AS41" s="236">
        <f t="shared" si="23"/>
        <v>7.3</v>
      </c>
      <c r="AT41" s="237">
        <f t="shared" si="24"/>
        <v>1</v>
      </c>
      <c r="AU41" s="245">
        <v>12</v>
      </c>
      <c r="AV41" s="242">
        <v>12</v>
      </c>
      <c r="AW41" s="285"/>
      <c r="AX41" s="228">
        <f t="shared" si="25"/>
        <v>12</v>
      </c>
      <c r="AY41" s="229">
        <f t="shared" si="26"/>
        <v>4</v>
      </c>
      <c r="AZ41" s="242">
        <v>3.5</v>
      </c>
      <c r="BA41" s="285"/>
      <c r="BB41" s="234">
        <f t="shared" si="27"/>
        <v>3.5</v>
      </c>
      <c r="BC41" s="235">
        <f t="shared" si="28"/>
        <v>0</v>
      </c>
      <c r="BD41" s="236">
        <f t="shared" si="29"/>
        <v>7.75</v>
      </c>
      <c r="BE41" s="237">
        <f t="shared" si="30"/>
        <v>4</v>
      </c>
      <c r="BF41" s="245">
        <v>11.75</v>
      </c>
      <c r="BG41" s="246">
        <v>11.75</v>
      </c>
      <c r="BH41" s="285"/>
      <c r="BI41" s="228">
        <f t="shared" si="31"/>
        <v>11.75</v>
      </c>
      <c r="BJ41" s="229">
        <f t="shared" si="32"/>
        <v>1</v>
      </c>
      <c r="BK41" s="236">
        <f t="shared" si="33"/>
        <v>11.75</v>
      </c>
      <c r="BL41" s="237">
        <f t="shared" si="33"/>
        <v>1</v>
      </c>
      <c r="BM41" s="239">
        <f t="shared" si="34"/>
        <v>8.9464285714285712</v>
      </c>
      <c r="BN41" s="240">
        <f t="shared" si="35"/>
        <v>23</v>
      </c>
      <c r="BO41" s="271">
        <v>14</v>
      </c>
      <c r="BP41" s="272">
        <v>5</v>
      </c>
      <c r="BQ41" s="140">
        <v>10</v>
      </c>
      <c r="BR41" s="228">
        <f t="shared" si="36"/>
        <v>12</v>
      </c>
      <c r="BS41" s="229">
        <f t="shared" si="37"/>
        <v>6</v>
      </c>
      <c r="BT41" s="241">
        <v>12</v>
      </c>
      <c r="BU41" s="242">
        <v>9.5</v>
      </c>
      <c r="BV41" s="285"/>
      <c r="BW41" s="228">
        <f t="shared" si="38"/>
        <v>10.75</v>
      </c>
      <c r="BX41" s="229">
        <f t="shared" si="39"/>
        <v>6</v>
      </c>
      <c r="BY41" s="241">
        <v>10</v>
      </c>
      <c r="BZ41" s="242">
        <v>5</v>
      </c>
      <c r="CA41" s="285">
        <v>5</v>
      </c>
      <c r="CB41" s="228">
        <f t="shared" si="40"/>
        <v>7.5</v>
      </c>
      <c r="CC41" s="229">
        <f t="shared" si="41"/>
        <v>0</v>
      </c>
      <c r="CD41" s="297">
        <f t="shared" si="42"/>
        <v>10.6</v>
      </c>
      <c r="CE41" s="233">
        <f t="shared" si="43"/>
        <v>16</v>
      </c>
      <c r="CF41" s="241">
        <v>5.5</v>
      </c>
      <c r="CG41" s="242">
        <v>7</v>
      </c>
      <c r="CH41" s="285"/>
      <c r="CI41" s="228">
        <f t="shared" si="44"/>
        <v>6.25</v>
      </c>
      <c r="CJ41" s="229">
        <f t="shared" si="45"/>
        <v>0</v>
      </c>
      <c r="CK41" s="230">
        <v>10.5</v>
      </c>
      <c r="CL41" s="231">
        <v>0</v>
      </c>
      <c r="CM41" s="285">
        <v>8</v>
      </c>
      <c r="CN41" s="228">
        <f t="shared" si="46"/>
        <v>9.25</v>
      </c>
      <c r="CO41" s="229">
        <f t="shared" si="47"/>
        <v>0</v>
      </c>
      <c r="CP41" s="232">
        <f t="shared" si="48"/>
        <v>7.75</v>
      </c>
      <c r="CQ41" s="233">
        <f t="shared" si="49"/>
        <v>0</v>
      </c>
      <c r="CR41" s="230">
        <v>13.5</v>
      </c>
      <c r="CS41" s="231">
        <v>2.75</v>
      </c>
      <c r="CT41" s="285">
        <v>9.5</v>
      </c>
      <c r="CU41" s="228">
        <f t="shared" si="50"/>
        <v>11.5</v>
      </c>
      <c r="CV41" s="229">
        <f t="shared" si="51"/>
        <v>3</v>
      </c>
      <c r="CW41" s="232">
        <f t="shared" si="52"/>
        <v>11.5</v>
      </c>
      <c r="CX41" s="233">
        <f t="shared" si="52"/>
        <v>3</v>
      </c>
      <c r="CY41" s="231">
        <v>10</v>
      </c>
      <c r="CZ41" s="285"/>
      <c r="DA41" s="234">
        <f t="shared" si="53"/>
        <v>10</v>
      </c>
      <c r="DB41" s="235">
        <f t="shared" si="54"/>
        <v>1</v>
      </c>
      <c r="DC41" s="232">
        <f t="shared" si="55"/>
        <v>10</v>
      </c>
      <c r="DD41" s="233">
        <f t="shared" si="55"/>
        <v>1</v>
      </c>
      <c r="DE41" s="65">
        <f t="shared" si="56"/>
        <v>9.75</v>
      </c>
      <c r="DF41" s="66">
        <f t="shared" si="57"/>
        <v>20</v>
      </c>
      <c r="DG41" s="31">
        <f t="shared" si="0"/>
        <v>8.9464285714285712</v>
      </c>
      <c r="DH41" s="32">
        <f t="shared" si="1"/>
        <v>23</v>
      </c>
      <c r="DI41" s="33">
        <f t="shared" si="2"/>
        <v>9.75</v>
      </c>
      <c r="DJ41" s="34">
        <f t="shared" si="3"/>
        <v>20</v>
      </c>
      <c r="DK41" s="67">
        <f t="shared" si="4"/>
        <v>9.3482142857142847</v>
      </c>
      <c r="DL41" s="35">
        <f t="shared" si="5"/>
        <v>43</v>
      </c>
      <c r="DM41" s="59">
        <f t="shared" si="6"/>
        <v>83</v>
      </c>
      <c r="DN41" s="43" t="str">
        <f t="shared" si="58"/>
        <v>راسب(ة)</v>
      </c>
      <c r="DO41" s="44"/>
      <c r="DP41" s="50"/>
      <c r="DQ41" s="46"/>
    </row>
    <row r="42" spans="1:121" s="37" customFormat="1" ht="32.25" customHeight="1" thickBot="1">
      <c r="A42" s="49"/>
      <c r="B42" s="1">
        <f t="shared" si="59"/>
        <v>37</v>
      </c>
      <c r="C42" s="249" t="s">
        <v>173</v>
      </c>
      <c r="D42" s="249" t="s">
        <v>174</v>
      </c>
      <c r="E42" s="45" t="s">
        <v>410</v>
      </c>
      <c r="F42" s="135">
        <v>32956</v>
      </c>
      <c r="G42" s="136" t="s">
        <v>110</v>
      </c>
      <c r="H42" s="131">
        <v>9.61</v>
      </c>
      <c r="I42" s="132">
        <v>25</v>
      </c>
      <c r="J42" s="133">
        <v>6.63</v>
      </c>
      <c r="K42" s="134">
        <v>15</v>
      </c>
      <c r="L42" s="53">
        <f t="shared" si="7"/>
        <v>8.1199999999999992</v>
      </c>
      <c r="M42" s="58">
        <f t="shared" si="8"/>
        <v>40</v>
      </c>
      <c r="N42" s="222">
        <v>13</v>
      </c>
      <c r="O42" s="223">
        <v>13</v>
      </c>
      <c r="P42" s="140"/>
      <c r="Q42" s="228">
        <f t="shared" si="9"/>
        <v>13</v>
      </c>
      <c r="R42" s="229">
        <f t="shared" si="10"/>
        <v>5</v>
      </c>
      <c r="S42" s="241">
        <v>9</v>
      </c>
      <c r="T42" s="242">
        <v>3.5</v>
      </c>
      <c r="U42" s="285"/>
      <c r="V42" s="228">
        <f t="shared" si="11"/>
        <v>6.25</v>
      </c>
      <c r="W42" s="229">
        <f t="shared" si="12"/>
        <v>0</v>
      </c>
      <c r="X42" s="241">
        <v>7</v>
      </c>
      <c r="Y42" s="242">
        <v>3.75</v>
      </c>
      <c r="Z42" s="285"/>
      <c r="AA42" s="228">
        <f t="shared" si="13"/>
        <v>5.375</v>
      </c>
      <c r="AB42" s="229">
        <f t="shared" si="14"/>
        <v>0</v>
      </c>
      <c r="AC42" s="232">
        <f t="shared" si="15"/>
        <v>8.2083333333333339</v>
      </c>
      <c r="AD42" s="233">
        <f t="shared" si="16"/>
        <v>5</v>
      </c>
      <c r="AE42" s="242">
        <v>6.5</v>
      </c>
      <c r="AF42" s="285"/>
      <c r="AG42" s="234">
        <f t="shared" si="17"/>
        <v>6.5</v>
      </c>
      <c r="AH42" s="235">
        <f t="shared" si="18"/>
        <v>0</v>
      </c>
      <c r="AI42" s="241">
        <v>3</v>
      </c>
      <c r="AJ42" s="242">
        <v>3</v>
      </c>
      <c r="AK42" s="285"/>
      <c r="AL42" s="228">
        <f t="shared" si="19"/>
        <v>3</v>
      </c>
      <c r="AM42" s="229">
        <f t="shared" si="20"/>
        <v>0</v>
      </c>
      <c r="AN42" s="241">
        <v>8</v>
      </c>
      <c r="AO42" s="242">
        <v>0</v>
      </c>
      <c r="AP42" s="285"/>
      <c r="AQ42" s="228">
        <f t="shared" si="21"/>
        <v>4</v>
      </c>
      <c r="AR42" s="229">
        <f t="shared" si="22"/>
        <v>0</v>
      </c>
      <c r="AS42" s="236">
        <f t="shared" si="23"/>
        <v>4.0999999999999996</v>
      </c>
      <c r="AT42" s="237">
        <f t="shared" si="24"/>
        <v>0</v>
      </c>
      <c r="AU42" s="245">
        <v>1</v>
      </c>
      <c r="AV42" s="242">
        <v>1</v>
      </c>
      <c r="AW42" s="285">
        <v>6</v>
      </c>
      <c r="AX42" s="228">
        <f t="shared" si="25"/>
        <v>3.5</v>
      </c>
      <c r="AY42" s="229">
        <f t="shared" si="26"/>
        <v>0</v>
      </c>
      <c r="AZ42" s="242">
        <v>12</v>
      </c>
      <c r="BA42" s="285"/>
      <c r="BB42" s="234">
        <f t="shared" si="27"/>
        <v>12</v>
      </c>
      <c r="BC42" s="235">
        <f t="shared" si="28"/>
        <v>1</v>
      </c>
      <c r="BD42" s="236">
        <f t="shared" si="29"/>
        <v>7.75</v>
      </c>
      <c r="BE42" s="237">
        <f t="shared" si="30"/>
        <v>1</v>
      </c>
      <c r="BF42" s="245">
        <v>10.5</v>
      </c>
      <c r="BG42" s="246">
        <v>10.5</v>
      </c>
      <c r="BH42" s="285"/>
      <c r="BI42" s="228">
        <f t="shared" si="31"/>
        <v>10.5</v>
      </c>
      <c r="BJ42" s="229">
        <f t="shared" si="32"/>
        <v>1</v>
      </c>
      <c r="BK42" s="236">
        <f t="shared" si="33"/>
        <v>10.5</v>
      </c>
      <c r="BL42" s="237">
        <f t="shared" si="33"/>
        <v>1</v>
      </c>
      <c r="BM42" s="239">
        <f t="shared" si="34"/>
        <v>6.8392857142857144</v>
      </c>
      <c r="BN42" s="240">
        <f t="shared" si="35"/>
        <v>7</v>
      </c>
      <c r="BO42" s="271">
        <v>14.5</v>
      </c>
      <c r="BP42" s="272">
        <v>5</v>
      </c>
      <c r="BQ42" s="140">
        <v>15</v>
      </c>
      <c r="BR42" s="228">
        <f t="shared" si="36"/>
        <v>14.75</v>
      </c>
      <c r="BS42" s="229">
        <f t="shared" si="37"/>
        <v>6</v>
      </c>
      <c r="BT42" s="241">
        <v>10</v>
      </c>
      <c r="BU42" s="242">
        <v>10</v>
      </c>
      <c r="BV42" s="285"/>
      <c r="BW42" s="228">
        <f t="shared" si="38"/>
        <v>10</v>
      </c>
      <c r="BX42" s="229">
        <f t="shared" si="39"/>
        <v>6</v>
      </c>
      <c r="BY42" s="241">
        <v>5</v>
      </c>
      <c r="BZ42" s="242">
        <v>0</v>
      </c>
      <c r="CA42" s="285">
        <v>3</v>
      </c>
      <c r="CB42" s="228">
        <f t="shared" si="40"/>
        <v>4</v>
      </c>
      <c r="CC42" s="229">
        <f t="shared" si="41"/>
        <v>0</v>
      </c>
      <c r="CD42" s="297">
        <f t="shared" si="42"/>
        <v>10.7</v>
      </c>
      <c r="CE42" s="233">
        <f t="shared" si="43"/>
        <v>16</v>
      </c>
      <c r="CF42" s="300">
        <v>10</v>
      </c>
      <c r="CG42" s="301">
        <v>10</v>
      </c>
      <c r="CH42" s="285"/>
      <c r="CI42" s="228">
        <f t="shared" si="44"/>
        <v>10</v>
      </c>
      <c r="CJ42" s="229">
        <f t="shared" si="45"/>
        <v>5</v>
      </c>
      <c r="CK42" s="230">
        <v>11</v>
      </c>
      <c r="CL42" s="231">
        <v>0.5</v>
      </c>
      <c r="CM42" s="285">
        <v>3</v>
      </c>
      <c r="CN42" s="228">
        <f t="shared" si="46"/>
        <v>7</v>
      </c>
      <c r="CO42" s="229">
        <f t="shared" si="47"/>
        <v>0</v>
      </c>
      <c r="CP42" s="232">
        <f t="shared" si="48"/>
        <v>8.5</v>
      </c>
      <c r="CQ42" s="233">
        <f t="shared" si="49"/>
        <v>5</v>
      </c>
      <c r="CR42" s="230">
        <v>14.5</v>
      </c>
      <c r="CS42" s="231">
        <v>5.25</v>
      </c>
      <c r="CT42" s="285">
        <v>11</v>
      </c>
      <c r="CU42" s="228">
        <f t="shared" si="50"/>
        <v>12.75</v>
      </c>
      <c r="CV42" s="229">
        <f t="shared" si="51"/>
        <v>3</v>
      </c>
      <c r="CW42" s="232">
        <f t="shared" si="52"/>
        <v>12.75</v>
      </c>
      <c r="CX42" s="233">
        <f t="shared" si="52"/>
        <v>3</v>
      </c>
      <c r="CY42" s="231">
        <v>10</v>
      </c>
      <c r="CZ42" s="285"/>
      <c r="DA42" s="234">
        <f t="shared" si="53"/>
        <v>10</v>
      </c>
      <c r="DB42" s="235">
        <f t="shared" si="54"/>
        <v>1</v>
      </c>
      <c r="DC42" s="232">
        <f t="shared" si="55"/>
        <v>10</v>
      </c>
      <c r="DD42" s="233">
        <f t="shared" si="55"/>
        <v>1</v>
      </c>
      <c r="DE42" s="65">
        <f t="shared" si="56"/>
        <v>10.25</v>
      </c>
      <c r="DF42" s="66">
        <f t="shared" si="57"/>
        <v>30</v>
      </c>
      <c r="DG42" s="31">
        <f t="shared" si="0"/>
        <v>6.8392857142857144</v>
      </c>
      <c r="DH42" s="32">
        <f t="shared" si="1"/>
        <v>7</v>
      </c>
      <c r="DI42" s="33">
        <f t="shared" si="2"/>
        <v>10.25</v>
      </c>
      <c r="DJ42" s="34">
        <f t="shared" si="3"/>
        <v>30</v>
      </c>
      <c r="DK42" s="67">
        <f t="shared" si="4"/>
        <v>8.5446428571428577</v>
      </c>
      <c r="DL42" s="35">
        <f t="shared" si="5"/>
        <v>37</v>
      </c>
      <c r="DM42" s="59">
        <f t="shared" si="6"/>
        <v>77</v>
      </c>
      <c r="DN42" s="43" t="str">
        <f t="shared" si="58"/>
        <v>راسب(ة)</v>
      </c>
      <c r="DP42" s="51"/>
      <c r="DQ42" s="46"/>
    </row>
    <row r="43" spans="1:121" s="37" customFormat="1" ht="32.25" hidden="1" customHeight="1" thickBot="1">
      <c r="A43" s="49"/>
      <c r="B43" s="1">
        <f t="shared" si="59"/>
        <v>38</v>
      </c>
      <c r="C43" s="249"/>
      <c r="D43" s="249"/>
      <c r="E43" s="47"/>
      <c r="F43" s="135"/>
      <c r="G43" s="136"/>
      <c r="H43" s="131"/>
      <c r="I43" s="132"/>
      <c r="J43" s="133"/>
      <c r="K43" s="134"/>
      <c r="L43" s="53"/>
      <c r="M43" s="58"/>
      <c r="N43" s="138"/>
      <c r="O43" s="139"/>
      <c r="P43" s="140"/>
      <c r="Q43" s="54">
        <f t="shared" si="9"/>
        <v>0</v>
      </c>
      <c r="R43" s="57">
        <f t="shared" si="10"/>
        <v>0</v>
      </c>
      <c r="S43" s="138"/>
      <c r="T43" s="139"/>
      <c r="U43" s="140"/>
      <c r="V43" s="54">
        <f t="shared" si="11"/>
        <v>0</v>
      </c>
      <c r="W43" s="57">
        <f t="shared" si="12"/>
        <v>0</v>
      </c>
      <c r="X43" s="138"/>
      <c r="Y43" s="139"/>
      <c r="Z43" s="140"/>
      <c r="AA43" s="54">
        <f t="shared" si="13"/>
        <v>0</v>
      </c>
      <c r="AB43" s="57">
        <f t="shared" si="14"/>
        <v>0</v>
      </c>
      <c r="AC43" s="55">
        <f t="shared" si="15"/>
        <v>0</v>
      </c>
      <c r="AD43" s="56">
        <f t="shared" si="16"/>
        <v>0</v>
      </c>
      <c r="AE43" s="139"/>
      <c r="AF43" s="140"/>
      <c r="AG43" s="42">
        <f t="shared" si="17"/>
        <v>0</v>
      </c>
      <c r="AH43" s="39">
        <f t="shared" si="18"/>
        <v>0</v>
      </c>
      <c r="AI43" s="138"/>
      <c r="AJ43" s="139"/>
      <c r="AK43" s="140"/>
      <c r="AL43" s="54">
        <f t="shared" si="19"/>
        <v>0</v>
      </c>
      <c r="AM43" s="57">
        <f t="shared" si="20"/>
        <v>0</v>
      </c>
      <c r="AN43" s="138"/>
      <c r="AO43" s="139"/>
      <c r="AP43" s="140"/>
      <c r="AQ43" s="54">
        <f t="shared" si="21"/>
        <v>0</v>
      </c>
      <c r="AR43" s="57">
        <f t="shared" si="22"/>
        <v>0</v>
      </c>
      <c r="AS43" s="40">
        <f t="shared" si="23"/>
        <v>0</v>
      </c>
      <c r="AT43" s="41">
        <f t="shared" si="24"/>
        <v>0</v>
      </c>
      <c r="AU43" s="138"/>
      <c r="AV43" s="139"/>
      <c r="AW43" s="140"/>
      <c r="AX43" s="54">
        <f t="shared" si="25"/>
        <v>0</v>
      </c>
      <c r="AY43" s="57">
        <f t="shared" si="26"/>
        <v>0</v>
      </c>
      <c r="AZ43" s="139"/>
      <c r="BA43" s="140"/>
      <c r="BB43" s="42">
        <f t="shared" si="27"/>
        <v>0</v>
      </c>
      <c r="BC43" s="39">
        <f t="shared" si="28"/>
        <v>0</v>
      </c>
      <c r="BD43" s="40">
        <f t="shared" si="29"/>
        <v>0</v>
      </c>
      <c r="BE43" s="41">
        <f t="shared" si="30"/>
        <v>0</v>
      </c>
      <c r="BF43" s="138"/>
      <c r="BG43" s="139"/>
      <c r="BH43" s="140"/>
      <c r="BI43" s="54">
        <f t="shared" si="31"/>
        <v>0</v>
      </c>
      <c r="BJ43" s="57">
        <f t="shared" si="32"/>
        <v>0</v>
      </c>
      <c r="BK43" s="61">
        <f t="shared" si="33"/>
        <v>0</v>
      </c>
      <c r="BL43" s="41">
        <f t="shared" si="33"/>
        <v>0</v>
      </c>
      <c r="BM43" s="63">
        <f t="shared" si="34"/>
        <v>0</v>
      </c>
      <c r="BN43" s="64">
        <f t="shared" si="35"/>
        <v>0</v>
      </c>
      <c r="BO43" s="138"/>
      <c r="BP43" s="139"/>
      <c r="BQ43" s="140"/>
      <c r="BR43" s="54">
        <f t="shared" si="36"/>
        <v>0</v>
      </c>
      <c r="BS43" s="57">
        <f t="shared" si="37"/>
        <v>0</v>
      </c>
      <c r="BT43" s="138"/>
      <c r="BU43" s="139"/>
      <c r="BV43" s="140"/>
      <c r="BW43" s="54">
        <f t="shared" si="38"/>
        <v>0</v>
      </c>
      <c r="BX43" s="57">
        <f t="shared" si="39"/>
        <v>0</v>
      </c>
      <c r="BY43" s="138"/>
      <c r="BZ43" s="139"/>
      <c r="CA43" s="140"/>
      <c r="CB43" s="54">
        <f t="shared" si="40"/>
        <v>0</v>
      </c>
      <c r="CC43" s="57">
        <f t="shared" si="41"/>
        <v>0</v>
      </c>
      <c r="CD43" s="62">
        <f t="shared" si="42"/>
        <v>0</v>
      </c>
      <c r="CE43" s="56">
        <f t="shared" si="43"/>
        <v>0</v>
      </c>
      <c r="CF43" s="138"/>
      <c r="CG43" s="139"/>
      <c r="CH43" s="140"/>
      <c r="CI43" s="54">
        <f t="shared" si="44"/>
        <v>0</v>
      </c>
      <c r="CJ43" s="57">
        <f t="shared" si="45"/>
        <v>0</v>
      </c>
      <c r="CK43" s="138"/>
      <c r="CL43" s="139"/>
      <c r="CM43" s="140"/>
      <c r="CN43" s="54">
        <f t="shared" si="46"/>
        <v>0</v>
      </c>
      <c r="CO43" s="57">
        <f t="shared" si="47"/>
        <v>0</v>
      </c>
      <c r="CP43" s="55">
        <f t="shared" si="48"/>
        <v>0</v>
      </c>
      <c r="CQ43" s="56">
        <f t="shared" si="49"/>
        <v>0</v>
      </c>
      <c r="CR43" s="138"/>
      <c r="CS43" s="139"/>
      <c r="CT43" s="140"/>
      <c r="CU43" s="54">
        <f t="shared" si="50"/>
        <v>0</v>
      </c>
      <c r="CV43" s="57">
        <f t="shared" si="51"/>
        <v>0</v>
      </c>
      <c r="CW43" s="55">
        <f t="shared" si="52"/>
        <v>0</v>
      </c>
      <c r="CX43" s="56">
        <f t="shared" si="52"/>
        <v>0</v>
      </c>
      <c r="CY43" s="139"/>
      <c r="CZ43" s="140"/>
      <c r="DA43" s="42">
        <f t="shared" si="53"/>
        <v>0</v>
      </c>
      <c r="DB43" s="39">
        <f t="shared" si="54"/>
        <v>0</v>
      </c>
      <c r="DC43" s="55">
        <f t="shared" si="55"/>
        <v>0</v>
      </c>
      <c r="DD43" s="56">
        <f t="shared" si="55"/>
        <v>0</v>
      </c>
      <c r="DE43" s="65">
        <f t="shared" si="56"/>
        <v>0</v>
      </c>
      <c r="DF43" s="66">
        <f t="shared" si="57"/>
        <v>0</v>
      </c>
      <c r="DG43" s="31">
        <f t="shared" si="0"/>
        <v>0</v>
      </c>
      <c r="DH43" s="32">
        <f t="shared" si="1"/>
        <v>0</v>
      </c>
      <c r="DI43" s="33">
        <f t="shared" si="2"/>
        <v>0</v>
      </c>
      <c r="DJ43" s="34">
        <f t="shared" si="3"/>
        <v>0</v>
      </c>
      <c r="DK43" s="67">
        <f t="shared" si="4"/>
        <v>0</v>
      </c>
      <c r="DL43" s="35">
        <f t="shared" si="5"/>
        <v>0</v>
      </c>
      <c r="DM43" s="59">
        <f t="shared" si="6"/>
        <v>0</v>
      </c>
      <c r="DN43" s="43" t="str">
        <f t="shared" si="58"/>
        <v>راسب(ة)</v>
      </c>
      <c r="DO43" s="44"/>
      <c r="DP43" s="50"/>
      <c r="DQ43" s="46"/>
    </row>
    <row r="44" spans="1:121" s="37" customFormat="1" ht="32.25" hidden="1" customHeight="1" thickBot="1">
      <c r="A44" s="49"/>
      <c r="B44" s="1">
        <f t="shared" si="59"/>
        <v>39</v>
      </c>
      <c r="C44" s="129"/>
      <c r="D44" s="129"/>
      <c r="E44" s="47"/>
      <c r="F44" s="135"/>
      <c r="G44" s="136"/>
      <c r="H44" s="131"/>
      <c r="I44" s="132"/>
      <c r="J44" s="133"/>
      <c r="K44" s="134"/>
      <c r="L44" s="53"/>
      <c r="M44" s="58"/>
      <c r="N44" s="138"/>
      <c r="O44" s="139"/>
      <c r="P44" s="140"/>
      <c r="Q44" s="54">
        <f t="shared" si="9"/>
        <v>0</v>
      </c>
      <c r="R44" s="57">
        <f t="shared" si="10"/>
        <v>0</v>
      </c>
      <c r="S44" s="138"/>
      <c r="T44" s="139"/>
      <c r="U44" s="140"/>
      <c r="V44" s="54">
        <f t="shared" si="11"/>
        <v>0</v>
      </c>
      <c r="W44" s="57">
        <f t="shared" si="12"/>
        <v>0</v>
      </c>
      <c r="X44" s="138"/>
      <c r="Y44" s="139"/>
      <c r="Z44" s="140"/>
      <c r="AA44" s="54">
        <f t="shared" si="13"/>
        <v>0</v>
      </c>
      <c r="AB44" s="57">
        <f t="shared" si="14"/>
        <v>0</v>
      </c>
      <c r="AC44" s="55">
        <f t="shared" si="15"/>
        <v>0</v>
      </c>
      <c r="AD44" s="56">
        <f t="shared" si="16"/>
        <v>0</v>
      </c>
      <c r="AE44" s="139"/>
      <c r="AF44" s="140"/>
      <c r="AG44" s="42">
        <f t="shared" si="17"/>
        <v>0</v>
      </c>
      <c r="AH44" s="39">
        <f t="shared" si="18"/>
        <v>0</v>
      </c>
      <c r="AI44" s="138"/>
      <c r="AJ44" s="139"/>
      <c r="AK44" s="140"/>
      <c r="AL44" s="54">
        <f t="shared" si="19"/>
        <v>0</v>
      </c>
      <c r="AM44" s="57">
        <f t="shared" si="20"/>
        <v>0</v>
      </c>
      <c r="AN44" s="138"/>
      <c r="AO44" s="139"/>
      <c r="AP44" s="140"/>
      <c r="AQ44" s="54">
        <f t="shared" si="21"/>
        <v>0</v>
      </c>
      <c r="AR44" s="57">
        <f t="shared" si="22"/>
        <v>0</v>
      </c>
      <c r="AS44" s="40">
        <f t="shared" si="23"/>
        <v>0</v>
      </c>
      <c r="AT44" s="41">
        <f t="shared" si="24"/>
        <v>0</v>
      </c>
      <c r="AU44" s="138"/>
      <c r="AV44" s="139"/>
      <c r="AW44" s="140"/>
      <c r="AX44" s="54">
        <f t="shared" si="25"/>
        <v>0</v>
      </c>
      <c r="AY44" s="57">
        <f t="shared" si="26"/>
        <v>0</v>
      </c>
      <c r="AZ44" s="139"/>
      <c r="BA44" s="140"/>
      <c r="BB44" s="42">
        <f t="shared" si="27"/>
        <v>0</v>
      </c>
      <c r="BC44" s="39">
        <f t="shared" si="28"/>
        <v>0</v>
      </c>
      <c r="BD44" s="40">
        <f t="shared" si="29"/>
        <v>0</v>
      </c>
      <c r="BE44" s="41">
        <f t="shared" si="30"/>
        <v>0</v>
      </c>
      <c r="BF44" s="138"/>
      <c r="BG44" s="139"/>
      <c r="BH44" s="140"/>
      <c r="BI44" s="54">
        <f t="shared" si="31"/>
        <v>0</v>
      </c>
      <c r="BJ44" s="57">
        <f t="shared" si="32"/>
        <v>0</v>
      </c>
      <c r="BK44" s="61">
        <f t="shared" si="33"/>
        <v>0</v>
      </c>
      <c r="BL44" s="41">
        <f t="shared" si="33"/>
        <v>0</v>
      </c>
      <c r="BM44" s="63">
        <f t="shared" si="34"/>
        <v>0</v>
      </c>
      <c r="BN44" s="64">
        <f t="shared" si="35"/>
        <v>0</v>
      </c>
      <c r="BO44" s="138"/>
      <c r="BP44" s="139"/>
      <c r="BQ44" s="140"/>
      <c r="BR44" s="54">
        <f t="shared" si="36"/>
        <v>0</v>
      </c>
      <c r="BS44" s="57">
        <f t="shared" si="37"/>
        <v>0</v>
      </c>
      <c r="BT44" s="138"/>
      <c r="BU44" s="139"/>
      <c r="BV44" s="140"/>
      <c r="BW44" s="54">
        <f t="shared" si="38"/>
        <v>0</v>
      </c>
      <c r="BX44" s="57">
        <f t="shared" si="39"/>
        <v>0</v>
      </c>
      <c r="BY44" s="138"/>
      <c r="BZ44" s="139"/>
      <c r="CA44" s="140"/>
      <c r="CB44" s="54">
        <f t="shared" si="40"/>
        <v>0</v>
      </c>
      <c r="CC44" s="57">
        <f t="shared" si="41"/>
        <v>0</v>
      </c>
      <c r="CD44" s="62">
        <f t="shared" si="42"/>
        <v>0</v>
      </c>
      <c r="CE44" s="56">
        <f t="shared" si="43"/>
        <v>0</v>
      </c>
      <c r="CF44" s="138"/>
      <c r="CG44" s="139"/>
      <c r="CH44" s="140"/>
      <c r="CI44" s="54">
        <f t="shared" si="44"/>
        <v>0</v>
      </c>
      <c r="CJ44" s="57">
        <f t="shared" si="45"/>
        <v>0</v>
      </c>
      <c r="CK44" s="138"/>
      <c r="CL44" s="139"/>
      <c r="CM44" s="140"/>
      <c r="CN44" s="54">
        <f t="shared" si="46"/>
        <v>0</v>
      </c>
      <c r="CO44" s="57">
        <f t="shared" si="47"/>
        <v>0</v>
      </c>
      <c r="CP44" s="55">
        <f t="shared" si="48"/>
        <v>0</v>
      </c>
      <c r="CQ44" s="56">
        <f t="shared" si="49"/>
        <v>0</v>
      </c>
      <c r="CR44" s="138"/>
      <c r="CS44" s="139"/>
      <c r="CT44" s="140"/>
      <c r="CU44" s="54">
        <f t="shared" si="50"/>
        <v>0</v>
      </c>
      <c r="CV44" s="57">
        <f t="shared" si="51"/>
        <v>0</v>
      </c>
      <c r="CW44" s="55">
        <f t="shared" si="52"/>
        <v>0</v>
      </c>
      <c r="CX44" s="56">
        <f t="shared" si="52"/>
        <v>0</v>
      </c>
      <c r="CY44" s="139"/>
      <c r="CZ44" s="140"/>
      <c r="DA44" s="42">
        <f t="shared" si="53"/>
        <v>0</v>
      </c>
      <c r="DB44" s="39">
        <f t="shared" si="54"/>
        <v>0</v>
      </c>
      <c r="DC44" s="55">
        <f t="shared" si="55"/>
        <v>0</v>
      </c>
      <c r="DD44" s="56">
        <f t="shared" si="55"/>
        <v>0</v>
      </c>
      <c r="DE44" s="65">
        <f t="shared" si="56"/>
        <v>0</v>
      </c>
      <c r="DF44" s="66">
        <f t="shared" si="57"/>
        <v>0</v>
      </c>
      <c r="DG44" s="31">
        <f t="shared" si="0"/>
        <v>0</v>
      </c>
      <c r="DH44" s="32">
        <f t="shared" si="1"/>
        <v>0</v>
      </c>
      <c r="DI44" s="33">
        <f t="shared" si="2"/>
        <v>0</v>
      </c>
      <c r="DJ44" s="34">
        <f t="shared" si="3"/>
        <v>0</v>
      </c>
      <c r="DK44" s="67">
        <f t="shared" si="4"/>
        <v>0</v>
      </c>
      <c r="DL44" s="35">
        <f t="shared" si="5"/>
        <v>0</v>
      </c>
      <c r="DM44" s="59">
        <f t="shared" si="6"/>
        <v>0</v>
      </c>
      <c r="DN44" s="43" t="str">
        <f t="shared" si="58"/>
        <v>راسب(ة)</v>
      </c>
      <c r="DO44" s="44"/>
      <c r="DP44" s="50"/>
      <c r="DQ44" s="46"/>
    </row>
    <row r="45" spans="1:121" s="37" customFormat="1" ht="32.25" hidden="1" customHeight="1" thickBot="1">
      <c r="A45" s="49"/>
      <c r="B45" s="1">
        <f t="shared" si="59"/>
        <v>40</v>
      </c>
      <c r="C45" s="129"/>
      <c r="D45" s="129"/>
      <c r="E45" s="47"/>
      <c r="F45" s="135"/>
      <c r="G45" s="136"/>
      <c r="H45" s="131"/>
      <c r="I45" s="132"/>
      <c r="J45" s="133"/>
      <c r="K45" s="134"/>
      <c r="L45" s="53"/>
      <c r="M45" s="58"/>
      <c r="N45" s="138"/>
      <c r="O45" s="139"/>
      <c r="P45" s="140"/>
      <c r="Q45" s="54">
        <f t="shared" si="9"/>
        <v>0</v>
      </c>
      <c r="R45" s="57">
        <f t="shared" si="10"/>
        <v>0</v>
      </c>
      <c r="S45" s="138"/>
      <c r="T45" s="139"/>
      <c r="U45" s="140"/>
      <c r="V45" s="54">
        <f t="shared" si="11"/>
        <v>0</v>
      </c>
      <c r="W45" s="57">
        <f t="shared" si="12"/>
        <v>0</v>
      </c>
      <c r="X45" s="138"/>
      <c r="Y45" s="139"/>
      <c r="Z45" s="140"/>
      <c r="AA45" s="54">
        <f t="shared" si="13"/>
        <v>0</v>
      </c>
      <c r="AB45" s="57">
        <f t="shared" si="14"/>
        <v>0</v>
      </c>
      <c r="AC45" s="55">
        <f t="shared" si="15"/>
        <v>0</v>
      </c>
      <c r="AD45" s="56">
        <f t="shared" si="16"/>
        <v>0</v>
      </c>
      <c r="AE45" s="139"/>
      <c r="AF45" s="140"/>
      <c r="AG45" s="42">
        <f t="shared" si="17"/>
        <v>0</v>
      </c>
      <c r="AH45" s="39">
        <f t="shared" si="18"/>
        <v>0</v>
      </c>
      <c r="AI45" s="138"/>
      <c r="AJ45" s="139"/>
      <c r="AK45" s="140"/>
      <c r="AL45" s="54">
        <f t="shared" si="19"/>
        <v>0</v>
      </c>
      <c r="AM45" s="57">
        <f t="shared" si="20"/>
        <v>0</v>
      </c>
      <c r="AN45" s="138"/>
      <c r="AO45" s="139"/>
      <c r="AP45" s="140"/>
      <c r="AQ45" s="54">
        <f t="shared" si="21"/>
        <v>0</v>
      </c>
      <c r="AR45" s="57">
        <f t="shared" si="22"/>
        <v>0</v>
      </c>
      <c r="AS45" s="40">
        <f t="shared" si="23"/>
        <v>0</v>
      </c>
      <c r="AT45" s="41">
        <f t="shared" si="24"/>
        <v>0</v>
      </c>
      <c r="AU45" s="138"/>
      <c r="AV45" s="139"/>
      <c r="AW45" s="140"/>
      <c r="AX45" s="54">
        <f t="shared" si="25"/>
        <v>0</v>
      </c>
      <c r="AY45" s="57">
        <f t="shared" si="26"/>
        <v>0</v>
      </c>
      <c r="AZ45" s="139"/>
      <c r="BA45" s="140"/>
      <c r="BB45" s="42">
        <f t="shared" si="27"/>
        <v>0</v>
      </c>
      <c r="BC45" s="39">
        <f t="shared" si="28"/>
        <v>0</v>
      </c>
      <c r="BD45" s="40">
        <f t="shared" si="29"/>
        <v>0</v>
      </c>
      <c r="BE45" s="41">
        <f t="shared" si="30"/>
        <v>0</v>
      </c>
      <c r="BF45" s="138"/>
      <c r="BG45" s="139"/>
      <c r="BH45" s="140"/>
      <c r="BI45" s="54">
        <f t="shared" si="31"/>
        <v>0</v>
      </c>
      <c r="BJ45" s="57">
        <f t="shared" si="32"/>
        <v>0</v>
      </c>
      <c r="BK45" s="61">
        <f t="shared" si="33"/>
        <v>0</v>
      </c>
      <c r="BL45" s="41">
        <f t="shared" si="33"/>
        <v>0</v>
      </c>
      <c r="BM45" s="63">
        <f t="shared" si="34"/>
        <v>0</v>
      </c>
      <c r="BN45" s="64">
        <f t="shared" si="35"/>
        <v>0</v>
      </c>
      <c r="BO45" s="138"/>
      <c r="BP45" s="139"/>
      <c r="BQ45" s="140"/>
      <c r="BR45" s="54">
        <f t="shared" si="36"/>
        <v>0</v>
      </c>
      <c r="BS45" s="57">
        <f t="shared" si="37"/>
        <v>0</v>
      </c>
      <c r="BT45" s="138"/>
      <c r="BU45" s="139"/>
      <c r="BV45" s="140"/>
      <c r="BW45" s="54">
        <f t="shared" si="38"/>
        <v>0</v>
      </c>
      <c r="BX45" s="57">
        <f t="shared" si="39"/>
        <v>0</v>
      </c>
      <c r="BY45" s="138"/>
      <c r="BZ45" s="139"/>
      <c r="CA45" s="140"/>
      <c r="CB45" s="54">
        <f t="shared" si="40"/>
        <v>0</v>
      </c>
      <c r="CC45" s="57">
        <f t="shared" si="41"/>
        <v>0</v>
      </c>
      <c r="CD45" s="62">
        <f t="shared" si="42"/>
        <v>0</v>
      </c>
      <c r="CE45" s="56">
        <f t="shared" si="43"/>
        <v>0</v>
      </c>
      <c r="CF45" s="138"/>
      <c r="CG45" s="139"/>
      <c r="CH45" s="140"/>
      <c r="CI45" s="54">
        <f t="shared" si="44"/>
        <v>0</v>
      </c>
      <c r="CJ45" s="57">
        <f t="shared" si="45"/>
        <v>0</v>
      </c>
      <c r="CK45" s="138"/>
      <c r="CL45" s="139"/>
      <c r="CM45" s="140"/>
      <c r="CN45" s="54">
        <f t="shared" si="46"/>
        <v>0</v>
      </c>
      <c r="CO45" s="57">
        <f t="shared" si="47"/>
        <v>0</v>
      </c>
      <c r="CP45" s="55">
        <f t="shared" si="48"/>
        <v>0</v>
      </c>
      <c r="CQ45" s="56">
        <f t="shared" si="49"/>
        <v>0</v>
      </c>
      <c r="CR45" s="138"/>
      <c r="CS45" s="139"/>
      <c r="CT45" s="140"/>
      <c r="CU45" s="54">
        <f t="shared" si="50"/>
        <v>0</v>
      </c>
      <c r="CV45" s="57">
        <f t="shared" si="51"/>
        <v>0</v>
      </c>
      <c r="CW45" s="55">
        <f t="shared" si="52"/>
        <v>0</v>
      </c>
      <c r="CX45" s="56">
        <f t="shared" si="52"/>
        <v>0</v>
      </c>
      <c r="CY45" s="139"/>
      <c r="CZ45" s="140"/>
      <c r="DA45" s="42">
        <f t="shared" si="53"/>
        <v>0</v>
      </c>
      <c r="DB45" s="39">
        <f t="shared" si="54"/>
        <v>0</v>
      </c>
      <c r="DC45" s="55">
        <f t="shared" si="55"/>
        <v>0</v>
      </c>
      <c r="DD45" s="56">
        <f t="shared" si="55"/>
        <v>0</v>
      </c>
      <c r="DE45" s="65">
        <f t="shared" si="56"/>
        <v>0</v>
      </c>
      <c r="DF45" s="66">
        <f t="shared" si="57"/>
        <v>0</v>
      </c>
      <c r="DG45" s="31">
        <f t="shared" si="0"/>
        <v>0</v>
      </c>
      <c r="DH45" s="32">
        <f t="shared" si="1"/>
        <v>0</v>
      </c>
      <c r="DI45" s="33">
        <f t="shared" si="2"/>
        <v>0</v>
      </c>
      <c r="DJ45" s="34">
        <f t="shared" si="3"/>
        <v>0</v>
      </c>
      <c r="DK45" s="67">
        <f t="shared" si="4"/>
        <v>0</v>
      </c>
      <c r="DL45" s="35">
        <f t="shared" si="5"/>
        <v>0</v>
      </c>
      <c r="DM45" s="59">
        <f t="shared" si="6"/>
        <v>0</v>
      </c>
      <c r="DN45" s="43" t="str">
        <f t="shared" si="58"/>
        <v>راسب(ة)</v>
      </c>
      <c r="DO45" s="44"/>
      <c r="DP45" s="50"/>
      <c r="DQ45" s="46"/>
    </row>
    <row r="46" spans="1:121" s="37" customFormat="1" ht="32.25" hidden="1" customHeight="1" thickBot="1">
      <c r="A46" s="49"/>
      <c r="B46" s="1">
        <f t="shared" si="59"/>
        <v>41</v>
      </c>
      <c r="C46" s="129"/>
      <c r="D46" s="129"/>
      <c r="E46" s="47"/>
      <c r="F46" s="135"/>
      <c r="G46" s="136"/>
      <c r="H46" s="131"/>
      <c r="I46" s="132"/>
      <c r="J46" s="133"/>
      <c r="K46" s="134"/>
      <c r="L46" s="53"/>
      <c r="M46" s="58"/>
      <c r="N46" s="138"/>
      <c r="O46" s="139"/>
      <c r="P46" s="140"/>
      <c r="Q46" s="54">
        <f t="shared" si="9"/>
        <v>0</v>
      </c>
      <c r="R46" s="57">
        <f t="shared" si="10"/>
        <v>0</v>
      </c>
      <c r="S46" s="138"/>
      <c r="T46" s="139"/>
      <c r="U46" s="140"/>
      <c r="V46" s="54">
        <f t="shared" si="11"/>
        <v>0</v>
      </c>
      <c r="W46" s="57">
        <f t="shared" si="12"/>
        <v>0</v>
      </c>
      <c r="X46" s="138"/>
      <c r="Y46" s="139"/>
      <c r="Z46" s="140"/>
      <c r="AA46" s="54">
        <f t="shared" si="13"/>
        <v>0</v>
      </c>
      <c r="AB46" s="57">
        <f t="shared" si="14"/>
        <v>0</v>
      </c>
      <c r="AC46" s="55">
        <f t="shared" si="15"/>
        <v>0</v>
      </c>
      <c r="AD46" s="56">
        <f t="shared" si="16"/>
        <v>0</v>
      </c>
      <c r="AE46" s="139"/>
      <c r="AF46" s="140"/>
      <c r="AG46" s="42">
        <f t="shared" si="17"/>
        <v>0</v>
      </c>
      <c r="AH46" s="39">
        <f t="shared" si="18"/>
        <v>0</v>
      </c>
      <c r="AI46" s="138"/>
      <c r="AJ46" s="139"/>
      <c r="AK46" s="140"/>
      <c r="AL46" s="54">
        <f t="shared" si="19"/>
        <v>0</v>
      </c>
      <c r="AM46" s="57">
        <f t="shared" si="20"/>
        <v>0</v>
      </c>
      <c r="AN46" s="138"/>
      <c r="AO46" s="139"/>
      <c r="AP46" s="140"/>
      <c r="AQ46" s="54">
        <f t="shared" si="21"/>
        <v>0</v>
      </c>
      <c r="AR46" s="57">
        <f t="shared" si="22"/>
        <v>0</v>
      </c>
      <c r="AS46" s="40">
        <f t="shared" si="23"/>
        <v>0</v>
      </c>
      <c r="AT46" s="41">
        <f t="shared" si="24"/>
        <v>0</v>
      </c>
      <c r="AU46" s="138"/>
      <c r="AV46" s="139"/>
      <c r="AW46" s="140"/>
      <c r="AX46" s="54">
        <f t="shared" si="25"/>
        <v>0</v>
      </c>
      <c r="AY46" s="57">
        <f t="shared" si="26"/>
        <v>0</v>
      </c>
      <c r="AZ46" s="139"/>
      <c r="BA46" s="140"/>
      <c r="BB46" s="42">
        <f t="shared" si="27"/>
        <v>0</v>
      </c>
      <c r="BC46" s="39">
        <f t="shared" si="28"/>
        <v>0</v>
      </c>
      <c r="BD46" s="40">
        <f t="shared" si="29"/>
        <v>0</v>
      </c>
      <c r="BE46" s="41">
        <f t="shared" si="30"/>
        <v>0</v>
      </c>
      <c r="BF46" s="138"/>
      <c r="BG46" s="139"/>
      <c r="BH46" s="140"/>
      <c r="BI46" s="54">
        <f t="shared" si="31"/>
        <v>0</v>
      </c>
      <c r="BJ46" s="57">
        <f t="shared" si="32"/>
        <v>0</v>
      </c>
      <c r="BK46" s="61">
        <f t="shared" si="33"/>
        <v>0</v>
      </c>
      <c r="BL46" s="41">
        <f t="shared" si="33"/>
        <v>0</v>
      </c>
      <c r="BM46" s="63">
        <f t="shared" si="34"/>
        <v>0</v>
      </c>
      <c r="BN46" s="64">
        <f t="shared" si="35"/>
        <v>0</v>
      </c>
      <c r="BO46" s="138"/>
      <c r="BP46" s="139"/>
      <c r="BQ46" s="140"/>
      <c r="BR46" s="54">
        <f t="shared" si="36"/>
        <v>0</v>
      </c>
      <c r="BS46" s="57">
        <f t="shared" si="37"/>
        <v>0</v>
      </c>
      <c r="BT46" s="138"/>
      <c r="BU46" s="139"/>
      <c r="BV46" s="140"/>
      <c r="BW46" s="54">
        <f t="shared" si="38"/>
        <v>0</v>
      </c>
      <c r="BX46" s="57">
        <f t="shared" si="39"/>
        <v>0</v>
      </c>
      <c r="BY46" s="138"/>
      <c r="BZ46" s="139"/>
      <c r="CA46" s="140"/>
      <c r="CB46" s="54">
        <f t="shared" si="40"/>
        <v>0</v>
      </c>
      <c r="CC46" s="57">
        <f t="shared" si="41"/>
        <v>0</v>
      </c>
      <c r="CD46" s="62">
        <f t="shared" si="42"/>
        <v>0</v>
      </c>
      <c r="CE46" s="56">
        <f t="shared" si="43"/>
        <v>0</v>
      </c>
      <c r="CF46" s="138"/>
      <c r="CG46" s="139"/>
      <c r="CH46" s="140"/>
      <c r="CI46" s="54">
        <f t="shared" si="44"/>
        <v>0</v>
      </c>
      <c r="CJ46" s="57">
        <f t="shared" si="45"/>
        <v>0</v>
      </c>
      <c r="CK46" s="138"/>
      <c r="CL46" s="139"/>
      <c r="CM46" s="140"/>
      <c r="CN46" s="54">
        <f t="shared" si="46"/>
        <v>0</v>
      </c>
      <c r="CO46" s="57">
        <f t="shared" si="47"/>
        <v>0</v>
      </c>
      <c r="CP46" s="55">
        <f t="shared" si="48"/>
        <v>0</v>
      </c>
      <c r="CQ46" s="56">
        <f t="shared" si="49"/>
        <v>0</v>
      </c>
      <c r="CR46" s="138"/>
      <c r="CS46" s="139"/>
      <c r="CT46" s="140"/>
      <c r="CU46" s="54">
        <f t="shared" si="50"/>
        <v>0</v>
      </c>
      <c r="CV46" s="57">
        <f t="shared" si="51"/>
        <v>0</v>
      </c>
      <c r="CW46" s="55">
        <f t="shared" si="52"/>
        <v>0</v>
      </c>
      <c r="CX46" s="56">
        <f t="shared" si="52"/>
        <v>0</v>
      </c>
      <c r="CY46" s="139"/>
      <c r="CZ46" s="140"/>
      <c r="DA46" s="42">
        <f t="shared" si="53"/>
        <v>0</v>
      </c>
      <c r="DB46" s="39">
        <f t="shared" si="54"/>
        <v>0</v>
      </c>
      <c r="DC46" s="55">
        <f t="shared" si="55"/>
        <v>0</v>
      </c>
      <c r="DD46" s="56">
        <f t="shared" si="55"/>
        <v>0</v>
      </c>
      <c r="DE46" s="65">
        <f t="shared" si="56"/>
        <v>0</v>
      </c>
      <c r="DF46" s="66">
        <f t="shared" si="57"/>
        <v>0</v>
      </c>
      <c r="DG46" s="31">
        <f t="shared" si="0"/>
        <v>0</v>
      </c>
      <c r="DH46" s="32">
        <f t="shared" si="1"/>
        <v>0</v>
      </c>
      <c r="DI46" s="33">
        <f t="shared" si="2"/>
        <v>0</v>
      </c>
      <c r="DJ46" s="34">
        <f t="shared" si="3"/>
        <v>0</v>
      </c>
      <c r="DK46" s="67">
        <f t="shared" si="4"/>
        <v>0</v>
      </c>
      <c r="DL46" s="35">
        <f t="shared" si="5"/>
        <v>0</v>
      </c>
      <c r="DM46" s="59">
        <f t="shared" si="6"/>
        <v>0</v>
      </c>
      <c r="DN46" s="43" t="str">
        <f t="shared" si="58"/>
        <v>راسب(ة)</v>
      </c>
      <c r="DP46" s="51"/>
      <c r="DQ46" s="46"/>
    </row>
    <row r="47" spans="1:121" s="37" customFormat="1" ht="46.5" customHeight="1">
      <c r="A47" s="49"/>
      <c r="B47" s="420" t="s">
        <v>47</v>
      </c>
      <c r="C47" s="388"/>
      <c r="D47" s="388"/>
      <c r="E47" s="421"/>
      <c r="F47" s="200"/>
      <c r="G47" s="200"/>
      <c r="H47" s="200"/>
      <c r="I47" s="200"/>
      <c r="J47" s="200"/>
      <c r="K47" s="200"/>
      <c r="L47" s="200"/>
      <c r="M47" s="200"/>
      <c r="N47" s="350" t="s">
        <v>45</v>
      </c>
      <c r="O47" s="351"/>
      <c r="P47" s="351"/>
      <c r="Q47" s="351"/>
      <c r="R47" s="352"/>
      <c r="S47" s="350" t="s">
        <v>45</v>
      </c>
      <c r="T47" s="351"/>
      <c r="U47" s="351"/>
      <c r="V47" s="351"/>
      <c r="W47" s="352"/>
      <c r="X47" s="350" t="s">
        <v>45</v>
      </c>
      <c r="Y47" s="351"/>
      <c r="Z47" s="351"/>
      <c r="AA47" s="351"/>
      <c r="AB47" s="352"/>
      <c r="AC47" s="200"/>
      <c r="AD47" s="200"/>
      <c r="AE47" s="347" t="s">
        <v>45</v>
      </c>
      <c r="AF47" s="348"/>
      <c r="AG47" s="348"/>
      <c r="AH47" s="349"/>
      <c r="AI47" s="350" t="s">
        <v>45</v>
      </c>
      <c r="AJ47" s="351"/>
      <c r="AK47" s="351"/>
      <c r="AL47" s="351"/>
      <c r="AM47" s="352"/>
      <c r="AN47" s="350" t="s">
        <v>45</v>
      </c>
      <c r="AO47" s="351"/>
      <c r="AP47" s="351"/>
      <c r="AQ47" s="351"/>
      <c r="AR47" s="352"/>
      <c r="AS47" s="200"/>
      <c r="AT47" s="200"/>
      <c r="AU47" s="350" t="s">
        <v>45</v>
      </c>
      <c r="AV47" s="351"/>
      <c r="AW47" s="351"/>
      <c r="AX47" s="351"/>
      <c r="AY47" s="352"/>
      <c r="AZ47" s="347" t="s">
        <v>45</v>
      </c>
      <c r="BA47" s="348"/>
      <c r="BB47" s="348"/>
      <c r="BC47" s="349"/>
      <c r="BD47" s="200"/>
      <c r="BE47" s="200"/>
      <c r="BF47" s="350" t="s">
        <v>45</v>
      </c>
      <c r="BG47" s="351"/>
      <c r="BH47" s="351"/>
      <c r="BI47" s="351"/>
      <c r="BJ47" s="352"/>
      <c r="BK47" s="387" t="s">
        <v>46</v>
      </c>
      <c r="BL47" s="388"/>
      <c r="BM47" s="388"/>
      <c r="BN47" s="388"/>
      <c r="BO47" s="350" t="s">
        <v>45</v>
      </c>
      <c r="BP47" s="351"/>
      <c r="BQ47" s="351"/>
      <c r="BR47" s="351"/>
      <c r="BS47" s="352"/>
      <c r="BT47" s="350" t="s">
        <v>45</v>
      </c>
      <c r="BU47" s="351"/>
      <c r="BV47" s="351"/>
      <c r="BW47" s="351"/>
      <c r="BX47" s="352"/>
      <c r="BY47" s="350" t="s">
        <v>45</v>
      </c>
      <c r="BZ47" s="351"/>
      <c r="CA47" s="351"/>
      <c r="CB47" s="351"/>
      <c r="CC47" s="352"/>
      <c r="CD47" s="201"/>
      <c r="CE47" s="202"/>
      <c r="CF47" s="350" t="s">
        <v>45</v>
      </c>
      <c r="CG47" s="351"/>
      <c r="CH47" s="351"/>
      <c r="CI47" s="351"/>
      <c r="CJ47" s="352"/>
      <c r="CK47" s="350" t="s">
        <v>45</v>
      </c>
      <c r="CL47" s="351"/>
      <c r="CM47" s="351"/>
      <c r="CN47" s="351"/>
      <c r="CO47" s="352"/>
      <c r="CP47" s="203"/>
      <c r="CQ47" s="202"/>
      <c r="CR47" s="350" t="s">
        <v>45</v>
      </c>
      <c r="CS47" s="351"/>
      <c r="CT47" s="351"/>
      <c r="CU47" s="351"/>
      <c r="CV47" s="352"/>
      <c r="CW47" s="215"/>
      <c r="CX47" s="216"/>
      <c r="CY47" s="570" t="s">
        <v>45</v>
      </c>
      <c r="CZ47" s="571"/>
      <c r="DA47" s="571"/>
      <c r="DB47" s="572"/>
      <c r="DC47" s="570" t="s">
        <v>46</v>
      </c>
      <c r="DD47" s="571"/>
      <c r="DE47" s="571"/>
      <c r="DF47" s="572"/>
      <c r="DG47" s="200"/>
      <c r="DH47" s="200"/>
      <c r="DI47" s="200"/>
      <c r="DJ47" s="200"/>
      <c r="DK47" s="200"/>
      <c r="DL47" s="200"/>
      <c r="DM47" s="200"/>
      <c r="DN47" s="204" t="s">
        <v>46</v>
      </c>
      <c r="DP47" s="38"/>
    </row>
    <row r="48" spans="1:121" s="37" customFormat="1" ht="74.25" customHeight="1" thickBot="1">
      <c r="A48" s="49"/>
      <c r="B48" s="205"/>
      <c r="C48" s="206"/>
      <c r="D48" s="206"/>
      <c r="E48" s="207"/>
      <c r="F48" s="206"/>
      <c r="G48" s="206"/>
      <c r="H48" s="206"/>
      <c r="I48" s="206"/>
      <c r="J48" s="206"/>
      <c r="K48" s="206"/>
      <c r="L48" s="206"/>
      <c r="M48" s="206"/>
      <c r="N48" s="344"/>
      <c r="O48" s="345"/>
      <c r="P48" s="345"/>
      <c r="Q48" s="345"/>
      <c r="R48" s="346"/>
      <c r="S48" s="344"/>
      <c r="T48" s="345"/>
      <c r="U48" s="345"/>
      <c r="V48" s="345"/>
      <c r="W48" s="346"/>
      <c r="X48" s="344"/>
      <c r="Y48" s="345"/>
      <c r="Z48" s="345"/>
      <c r="AA48" s="345"/>
      <c r="AB48" s="346"/>
      <c r="AC48" s="206"/>
      <c r="AD48" s="206"/>
      <c r="AE48" s="353"/>
      <c r="AF48" s="354"/>
      <c r="AG48" s="354"/>
      <c r="AH48" s="355"/>
      <c r="AI48" s="344"/>
      <c r="AJ48" s="345"/>
      <c r="AK48" s="345"/>
      <c r="AL48" s="345"/>
      <c r="AM48" s="346"/>
      <c r="AN48" s="344"/>
      <c r="AO48" s="345"/>
      <c r="AP48" s="345"/>
      <c r="AQ48" s="345"/>
      <c r="AR48" s="346"/>
      <c r="AS48" s="206"/>
      <c r="AT48" s="206"/>
      <c r="AU48" s="344"/>
      <c r="AV48" s="345"/>
      <c r="AW48" s="345"/>
      <c r="AX48" s="345"/>
      <c r="AY48" s="346"/>
      <c r="AZ48" s="353"/>
      <c r="BA48" s="354"/>
      <c r="BB48" s="354"/>
      <c r="BC48" s="355"/>
      <c r="BD48" s="206"/>
      <c r="BE48" s="206"/>
      <c r="BF48" s="344"/>
      <c r="BG48" s="345"/>
      <c r="BH48" s="345"/>
      <c r="BI48" s="345"/>
      <c r="BJ48" s="346"/>
      <c r="BK48" s="208"/>
      <c r="BL48" s="209"/>
      <c r="BM48" s="209"/>
      <c r="BN48" s="210"/>
      <c r="BO48" s="344"/>
      <c r="BP48" s="345"/>
      <c r="BQ48" s="345"/>
      <c r="BR48" s="345"/>
      <c r="BS48" s="346"/>
      <c r="BT48" s="344"/>
      <c r="BU48" s="345"/>
      <c r="BV48" s="345"/>
      <c r="BW48" s="345"/>
      <c r="BX48" s="346"/>
      <c r="BY48" s="344"/>
      <c r="BZ48" s="345"/>
      <c r="CA48" s="345"/>
      <c r="CB48" s="345"/>
      <c r="CC48" s="346"/>
      <c r="CD48" s="205"/>
      <c r="CE48" s="206"/>
      <c r="CF48" s="344"/>
      <c r="CG48" s="345"/>
      <c r="CH48" s="345"/>
      <c r="CI48" s="345"/>
      <c r="CJ48" s="346"/>
      <c r="CK48" s="344"/>
      <c r="CL48" s="345"/>
      <c r="CM48" s="345"/>
      <c r="CN48" s="345"/>
      <c r="CO48" s="346"/>
      <c r="CP48" s="206"/>
      <c r="CQ48" s="206"/>
      <c r="CR48" s="344"/>
      <c r="CS48" s="345"/>
      <c r="CT48" s="345"/>
      <c r="CU48" s="345"/>
      <c r="CV48" s="346"/>
      <c r="CW48" s="212"/>
      <c r="CX48" s="213"/>
      <c r="CY48" s="442"/>
      <c r="CZ48" s="443"/>
      <c r="DA48" s="443"/>
      <c r="DB48" s="444"/>
      <c r="DC48" s="212"/>
      <c r="DD48" s="213"/>
      <c r="DE48" s="213"/>
      <c r="DF48" s="214"/>
      <c r="DG48" s="206"/>
      <c r="DH48" s="206"/>
      <c r="DI48" s="206"/>
      <c r="DJ48" s="206"/>
      <c r="DK48" s="206"/>
      <c r="DL48" s="206"/>
      <c r="DM48" s="206"/>
      <c r="DN48" s="211"/>
      <c r="DP48" s="38"/>
    </row>
    <row r="49" spans="1:121" s="37" customFormat="1" ht="50.25" customHeight="1" thickBot="1">
      <c r="A49" s="49"/>
      <c r="B49" s="417" t="s">
        <v>107</v>
      </c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9"/>
      <c r="N49" s="422" t="s">
        <v>107</v>
      </c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3"/>
      <c r="BC49" s="423"/>
      <c r="BD49" s="423"/>
      <c r="BE49" s="423"/>
      <c r="BF49" s="423"/>
      <c r="BG49" s="423"/>
      <c r="BH49" s="423"/>
      <c r="BI49" s="423"/>
      <c r="BJ49" s="423"/>
      <c r="BK49" s="423"/>
      <c r="BL49" s="423"/>
      <c r="BM49" s="423"/>
      <c r="BN49" s="424"/>
      <c r="BO49" s="425" t="s">
        <v>107</v>
      </c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573"/>
      <c r="CZ49" s="573"/>
      <c r="DA49" s="573"/>
      <c r="DB49" s="573"/>
      <c r="DC49" s="426"/>
      <c r="DD49" s="426"/>
      <c r="DE49" s="426"/>
      <c r="DF49" s="427"/>
      <c r="DG49" s="428" t="s">
        <v>107</v>
      </c>
      <c r="DH49" s="429"/>
      <c r="DI49" s="429"/>
      <c r="DJ49" s="429"/>
      <c r="DK49" s="429"/>
      <c r="DL49" s="429"/>
      <c r="DM49" s="429"/>
      <c r="DN49" s="430"/>
      <c r="DP49" s="38"/>
    </row>
    <row r="50" spans="1:121" s="37" customFormat="1" ht="36" customHeight="1" thickBot="1">
      <c r="A50" s="49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415" t="s">
        <v>510</v>
      </c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6"/>
      <c r="BO50" s="408" t="s">
        <v>97</v>
      </c>
      <c r="BP50" s="409"/>
      <c r="BQ50" s="409"/>
      <c r="BR50" s="409"/>
      <c r="BS50" s="409"/>
      <c r="BT50" s="409"/>
      <c r="BU50" s="409"/>
      <c r="BV50" s="409"/>
      <c r="BW50" s="409"/>
      <c r="BX50" s="409"/>
      <c r="BY50" s="409"/>
      <c r="BZ50" s="409"/>
      <c r="CA50" s="409"/>
      <c r="CB50" s="409"/>
      <c r="CC50" s="409"/>
      <c r="CD50" s="409"/>
      <c r="CE50" s="409"/>
      <c r="CF50" s="409"/>
      <c r="CG50" s="409"/>
      <c r="CH50" s="409"/>
      <c r="CI50" s="409"/>
      <c r="CJ50" s="409"/>
      <c r="CK50" s="409"/>
      <c r="CL50" s="409"/>
      <c r="CM50" s="409"/>
      <c r="CN50" s="409"/>
      <c r="CO50" s="409"/>
      <c r="CP50" s="409"/>
      <c r="CQ50" s="409"/>
      <c r="CR50" s="409"/>
      <c r="CS50" s="409"/>
      <c r="CT50" s="409"/>
      <c r="CU50" s="409"/>
      <c r="CV50" s="409"/>
      <c r="CW50" s="409"/>
      <c r="CX50" s="409"/>
      <c r="CY50" s="409"/>
      <c r="CZ50" s="409"/>
      <c r="DA50" s="409"/>
      <c r="DB50" s="409"/>
      <c r="DC50" s="409"/>
      <c r="DD50" s="409"/>
      <c r="DE50" s="409"/>
      <c r="DF50" s="410"/>
      <c r="DG50" s="412" t="s">
        <v>98</v>
      </c>
      <c r="DH50" s="413"/>
      <c r="DI50" s="413"/>
      <c r="DJ50" s="413"/>
      <c r="DK50" s="413"/>
      <c r="DL50" s="413"/>
      <c r="DM50" s="413"/>
      <c r="DN50" s="414"/>
      <c r="DP50" s="38"/>
      <c r="DQ50" s="46"/>
    </row>
    <row r="51" spans="1:121" s="37" customFormat="1" ht="28.5" customHeight="1" thickBot="1">
      <c r="A51" s="49"/>
      <c r="B51" s="142"/>
      <c r="C51" s="143"/>
      <c r="D51" s="143"/>
      <c r="E51" s="143"/>
      <c r="F51" s="143"/>
      <c r="G51" s="143"/>
      <c r="H51" s="356" t="s">
        <v>59</v>
      </c>
      <c r="I51" s="357"/>
      <c r="J51" s="357"/>
      <c r="K51" s="357"/>
      <c r="L51" s="357"/>
      <c r="M51" s="358"/>
      <c r="N51" s="367" t="s">
        <v>53</v>
      </c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9"/>
      <c r="AE51" s="144"/>
      <c r="AF51" s="144"/>
      <c r="AG51" s="365" t="s">
        <v>52</v>
      </c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6"/>
      <c r="AU51" s="367" t="s">
        <v>50</v>
      </c>
      <c r="AV51" s="368"/>
      <c r="AW51" s="368"/>
      <c r="AX51" s="368"/>
      <c r="AY51" s="368"/>
      <c r="AZ51" s="368"/>
      <c r="BA51" s="368"/>
      <c r="BB51" s="368"/>
      <c r="BC51" s="368"/>
      <c r="BD51" s="368"/>
      <c r="BE51" s="369"/>
      <c r="BF51" s="365" t="s">
        <v>51</v>
      </c>
      <c r="BG51" s="365"/>
      <c r="BH51" s="365"/>
      <c r="BI51" s="365"/>
      <c r="BJ51" s="365"/>
      <c r="BK51" s="365"/>
      <c r="BL51" s="366"/>
      <c r="BM51" s="383" t="s">
        <v>65</v>
      </c>
      <c r="BN51" s="384"/>
      <c r="BO51" s="389" t="s">
        <v>66</v>
      </c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1"/>
      <c r="CF51" s="439" t="s">
        <v>70</v>
      </c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1"/>
      <c r="CR51" s="411" t="s">
        <v>71</v>
      </c>
      <c r="CS51" s="365"/>
      <c r="CT51" s="365"/>
      <c r="CU51" s="365"/>
      <c r="CV51" s="365"/>
      <c r="CW51" s="365"/>
      <c r="CX51" s="366"/>
      <c r="CY51" s="389" t="s">
        <v>72</v>
      </c>
      <c r="CZ51" s="390"/>
      <c r="DA51" s="390"/>
      <c r="DB51" s="390"/>
      <c r="DC51" s="390"/>
      <c r="DD51" s="391"/>
      <c r="DE51" s="398" t="s">
        <v>75</v>
      </c>
      <c r="DF51" s="399"/>
      <c r="DG51" s="566" t="s">
        <v>76</v>
      </c>
      <c r="DH51" s="567"/>
      <c r="DI51" s="566" t="s">
        <v>77</v>
      </c>
      <c r="DJ51" s="567"/>
      <c r="DK51" s="563" t="s">
        <v>6</v>
      </c>
      <c r="DL51" s="563" t="s">
        <v>7</v>
      </c>
      <c r="DM51" s="560" t="s">
        <v>78</v>
      </c>
      <c r="DN51" s="198"/>
      <c r="DP51" s="38"/>
      <c r="DQ51" s="46"/>
    </row>
    <row r="52" spans="1:121" s="37" customFormat="1" ht="59.25" customHeight="1" thickBot="1">
      <c r="A52" s="49"/>
      <c r="B52" s="151"/>
      <c r="C52" s="152"/>
      <c r="D52" s="152"/>
      <c r="E52" s="152"/>
      <c r="F52" s="152"/>
      <c r="G52" s="153"/>
      <c r="H52" s="370" t="s">
        <v>4</v>
      </c>
      <c r="I52" s="371"/>
      <c r="J52" s="370" t="s">
        <v>5</v>
      </c>
      <c r="K52" s="371"/>
      <c r="L52" s="154" t="s">
        <v>79</v>
      </c>
      <c r="M52" s="155" t="s">
        <v>80</v>
      </c>
      <c r="N52" s="359" t="s">
        <v>54</v>
      </c>
      <c r="O52" s="360"/>
      <c r="P52" s="360"/>
      <c r="Q52" s="360"/>
      <c r="R52" s="361"/>
      <c r="S52" s="362" t="s">
        <v>55</v>
      </c>
      <c r="T52" s="363"/>
      <c r="U52" s="363"/>
      <c r="V52" s="363"/>
      <c r="W52" s="364"/>
      <c r="X52" s="359" t="s">
        <v>56</v>
      </c>
      <c r="Y52" s="360"/>
      <c r="Z52" s="360"/>
      <c r="AA52" s="360"/>
      <c r="AB52" s="361"/>
      <c r="AC52" s="377" t="s">
        <v>9</v>
      </c>
      <c r="AD52" s="378"/>
      <c r="AE52" s="362" t="s">
        <v>60</v>
      </c>
      <c r="AF52" s="363"/>
      <c r="AG52" s="363"/>
      <c r="AH52" s="364"/>
      <c r="AI52" s="359" t="s">
        <v>99</v>
      </c>
      <c r="AJ52" s="360"/>
      <c r="AK52" s="360"/>
      <c r="AL52" s="360"/>
      <c r="AM52" s="361"/>
      <c r="AN52" s="362" t="s">
        <v>61</v>
      </c>
      <c r="AO52" s="363"/>
      <c r="AP52" s="363"/>
      <c r="AQ52" s="363"/>
      <c r="AR52" s="364"/>
      <c r="AS52" s="377" t="s">
        <v>9</v>
      </c>
      <c r="AT52" s="378"/>
      <c r="AU52" s="362" t="s">
        <v>63</v>
      </c>
      <c r="AV52" s="363"/>
      <c r="AW52" s="363"/>
      <c r="AX52" s="363"/>
      <c r="AY52" s="364"/>
      <c r="AZ52" s="359" t="s">
        <v>62</v>
      </c>
      <c r="BA52" s="360"/>
      <c r="BB52" s="360"/>
      <c r="BC52" s="361"/>
      <c r="BD52" s="372" t="s">
        <v>9</v>
      </c>
      <c r="BE52" s="373"/>
      <c r="BF52" s="359" t="s">
        <v>64</v>
      </c>
      <c r="BG52" s="360"/>
      <c r="BH52" s="360"/>
      <c r="BI52" s="360"/>
      <c r="BJ52" s="361"/>
      <c r="BK52" s="379" t="s">
        <v>9</v>
      </c>
      <c r="BL52" s="380"/>
      <c r="BM52" s="385"/>
      <c r="BN52" s="386"/>
      <c r="BO52" s="392" t="s">
        <v>67</v>
      </c>
      <c r="BP52" s="393"/>
      <c r="BQ52" s="393"/>
      <c r="BR52" s="393"/>
      <c r="BS52" s="393"/>
      <c r="BT52" s="382" t="s">
        <v>68</v>
      </c>
      <c r="BU52" s="382"/>
      <c r="BV52" s="382"/>
      <c r="BW52" s="382"/>
      <c r="BX52" s="382"/>
      <c r="BY52" s="393" t="s">
        <v>103</v>
      </c>
      <c r="BZ52" s="393"/>
      <c r="CA52" s="393"/>
      <c r="CB52" s="393"/>
      <c r="CC52" s="393"/>
      <c r="CD52" s="381" t="s">
        <v>9</v>
      </c>
      <c r="CE52" s="382"/>
      <c r="CF52" s="393" t="s">
        <v>104</v>
      </c>
      <c r="CG52" s="393"/>
      <c r="CH52" s="393"/>
      <c r="CI52" s="393"/>
      <c r="CJ52" s="393"/>
      <c r="CK52" s="359" t="s">
        <v>69</v>
      </c>
      <c r="CL52" s="360"/>
      <c r="CM52" s="360"/>
      <c r="CN52" s="360"/>
      <c r="CO52" s="361"/>
      <c r="CP52" s="402" t="s">
        <v>9</v>
      </c>
      <c r="CQ52" s="403"/>
      <c r="CR52" s="362" t="s">
        <v>74</v>
      </c>
      <c r="CS52" s="363"/>
      <c r="CT52" s="363"/>
      <c r="CU52" s="363"/>
      <c r="CV52" s="363"/>
      <c r="CW52" s="396" t="s">
        <v>9</v>
      </c>
      <c r="CX52" s="397"/>
      <c r="CY52" s="359" t="s">
        <v>73</v>
      </c>
      <c r="CZ52" s="360"/>
      <c r="DA52" s="360"/>
      <c r="DB52" s="361"/>
      <c r="DC52" s="396" t="s">
        <v>9</v>
      </c>
      <c r="DD52" s="397"/>
      <c r="DE52" s="400"/>
      <c r="DF52" s="401"/>
      <c r="DG52" s="568"/>
      <c r="DH52" s="569"/>
      <c r="DI52" s="568"/>
      <c r="DJ52" s="569"/>
      <c r="DK52" s="564"/>
      <c r="DL52" s="564"/>
      <c r="DM52" s="561"/>
      <c r="DN52" s="156"/>
      <c r="DP52" s="38"/>
      <c r="DQ52" s="46"/>
    </row>
    <row r="53" spans="1:121" s="37" customFormat="1" ht="40.5" customHeight="1" thickTop="1" thickBot="1">
      <c r="A53" s="49"/>
      <c r="B53" s="157" t="s">
        <v>0</v>
      </c>
      <c r="C53" s="158" t="s">
        <v>81</v>
      </c>
      <c r="D53" s="158" t="s">
        <v>82</v>
      </c>
      <c r="E53" s="159" t="s">
        <v>1</v>
      </c>
      <c r="F53" s="160" t="s">
        <v>2</v>
      </c>
      <c r="G53" s="161" t="s">
        <v>3</v>
      </c>
      <c r="H53" s="162" t="s">
        <v>10</v>
      </c>
      <c r="I53" s="163" t="s">
        <v>11</v>
      </c>
      <c r="J53" s="164" t="s">
        <v>10</v>
      </c>
      <c r="K53" s="163" t="s">
        <v>11</v>
      </c>
      <c r="L53" s="165" t="s">
        <v>49</v>
      </c>
      <c r="M53" s="166" t="s">
        <v>49</v>
      </c>
      <c r="N53" s="167" t="s">
        <v>57</v>
      </c>
      <c r="O53" s="168" t="s">
        <v>58</v>
      </c>
      <c r="P53" s="199" t="s">
        <v>105</v>
      </c>
      <c r="Q53" s="168" t="s">
        <v>10</v>
      </c>
      <c r="R53" s="169" t="s">
        <v>11</v>
      </c>
      <c r="S53" s="167" t="s">
        <v>57</v>
      </c>
      <c r="T53" s="168" t="s">
        <v>58</v>
      </c>
      <c r="U53" s="199" t="s">
        <v>105</v>
      </c>
      <c r="V53" s="168" t="s">
        <v>10</v>
      </c>
      <c r="W53" s="169" t="s">
        <v>11</v>
      </c>
      <c r="X53" s="167" t="s">
        <v>57</v>
      </c>
      <c r="Y53" s="168" t="s">
        <v>58</v>
      </c>
      <c r="Z53" s="199" t="s">
        <v>105</v>
      </c>
      <c r="AA53" s="168" t="s">
        <v>10</v>
      </c>
      <c r="AB53" s="169" t="s">
        <v>11</v>
      </c>
      <c r="AC53" s="170" t="s">
        <v>10</v>
      </c>
      <c r="AD53" s="171" t="s">
        <v>11</v>
      </c>
      <c r="AE53" s="168" t="s">
        <v>58</v>
      </c>
      <c r="AF53" s="199" t="s">
        <v>105</v>
      </c>
      <c r="AG53" s="172" t="s">
        <v>10</v>
      </c>
      <c r="AH53" s="169" t="s">
        <v>11</v>
      </c>
      <c r="AI53" s="167" t="s">
        <v>57</v>
      </c>
      <c r="AJ53" s="168" t="s">
        <v>58</v>
      </c>
      <c r="AK53" s="199" t="s">
        <v>105</v>
      </c>
      <c r="AL53" s="173" t="s">
        <v>10</v>
      </c>
      <c r="AM53" s="174" t="s">
        <v>11</v>
      </c>
      <c r="AN53" s="167" t="s">
        <v>57</v>
      </c>
      <c r="AO53" s="168" t="s">
        <v>58</v>
      </c>
      <c r="AP53" s="199" t="s">
        <v>105</v>
      </c>
      <c r="AQ53" s="175" t="s">
        <v>10</v>
      </c>
      <c r="AR53" s="176" t="s">
        <v>11</v>
      </c>
      <c r="AS53" s="177" t="s">
        <v>10</v>
      </c>
      <c r="AT53" s="178" t="s">
        <v>11</v>
      </c>
      <c r="AU53" s="167" t="s">
        <v>57</v>
      </c>
      <c r="AV53" s="168" t="s">
        <v>58</v>
      </c>
      <c r="AW53" s="199" t="s">
        <v>105</v>
      </c>
      <c r="AX53" s="179" t="s">
        <v>10</v>
      </c>
      <c r="AY53" s="174" t="s">
        <v>11</v>
      </c>
      <c r="AZ53" s="172" t="s">
        <v>58</v>
      </c>
      <c r="BA53" s="199" t="s">
        <v>105</v>
      </c>
      <c r="BB53" s="175" t="s">
        <v>10</v>
      </c>
      <c r="BC53" s="176" t="s">
        <v>11</v>
      </c>
      <c r="BD53" s="180" t="s">
        <v>10</v>
      </c>
      <c r="BE53" s="181" t="s">
        <v>11</v>
      </c>
      <c r="BF53" s="167" t="s">
        <v>57</v>
      </c>
      <c r="BG53" s="168" t="s">
        <v>58</v>
      </c>
      <c r="BH53" s="199" t="s">
        <v>105</v>
      </c>
      <c r="BI53" s="175" t="s">
        <v>10</v>
      </c>
      <c r="BJ53" s="176" t="s">
        <v>11</v>
      </c>
      <c r="BK53" s="180" t="s">
        <v>10</v>
      </c>
      <c r="BL53" s="182" t="s">
        <v>11</v>
      </c>
      <c r="BM53" s="183" t="s">
        <v>10</v>
      </c>
      <c r="BN53" s="184" t="s">
        <v>11</v>
      </c>
      <c r="BO53" s="185" t="s">
        <v>57</v>
      </c>
      <c r="BP53" s="168" t="s">
        <v>58</v>
      </c>
      <c r="BQ53" s="199" t="s">
        <v>105</v>
      </c>
      <c r="BR53" s="168" t="s">
        <v>10</v>
      </c>
      <c r="BS53" s="169" t="s">
        <v>11</v>
      </c>
      <c r="BT53" s="167" t="s">
        <v>57</v>
      </c>
      <c r="BU53" s="168" t="s">
        <v>58</v>
      </c>
      <c r="BV53" s="199" t="s">
        <v>105</v>
      </c>
      <c r="BW53" s="168" t="s">
        <v>10</v>
      </c>
      <c r="BX53" s="169" t="s">
        <v>11</v>
      </c>
      <c r="BY53" s="167" t="s">
        <v>57</v>
      </c>
      <c r="BZ53" s="168" t="s">
        <v>58</v>
      </c>
      <c r="CA53" s="199" t="s">
        <v>105</v>
      </c>
      <c r="CB53" s="168" t="s">
        <v>10</v>
      </c>
      <c r="CC53" s="169" t="s">
        <v>11</v>
      </c>
      <c r="CD53" s="186" t="s">
        <v>10</v>
      </c>
      <c r="CE53" s="171" t="s">
        <v>11</v>
      </c>
      <c r="CF53" s="167" t="s">
        <v>57</v>
      </c>
      <c r="CG53" s="168" t="s">
        <v>58</v>
      </c>
      <c r="CH53" s="199" t="s">
        <v>105</v>
      </c>
      <c r="CI53" s="168" t="s">
        <v>10</v>
      </c>
      <c r="CJ53" s="169" t="s">
        <v>11</v>
      </c>
      <c r="CK53" s="167" t="s">
        <v>57</v>
      </c>
      <c r="CL53" s="168" t="s">
        <v>58</v>
      </c>
      <c r="CM53" s="199" t="s">
        <v>105</v>
      </c>
      <c r="CN53" s="173" t="s">
        <v>10</v>
      </c>
      <c r="CO53" s="176" t="s">
        <v>11</v>
      </c>
      <c r="CP53" s="187" t="s">
        <v>10</v>
      </c>
      <c r="CQ53" s="188" t="s">
        <v>11</v>
      </c>
      <c r="CR53" s="167" t="s">
        <v>57</v>
      </c>
      <c r="CS53" s="168" t="s">
        <v>58</v>
      </c>
      <c r="CT53" s="199" t="s">
        <v>105</v>
      </c>
      <c r="CU53" s="179" t="s">
        <v>10</v>
      </c>
      <c r="CV53" s="176" t="s">
        <v>11</v>
      </c>
      <c r="CW53" s="189" t="s">
        <v>10</v>
      </c>
      <c r="CX53" s="190" t="s">
        <v>11</v>
      </c>
      <c r="CY53" s="191" t="s">
        <v>58</v>
      </c>
      <c r="CZ53" s="199" t="s">
        <v>105</v>
      </c>
      <c r="DA53" s="179" t="s">
        <v>10</v>
      </c>
      <c r="DB53" s="176" t="s">
        <v>11</v>
      </c>
      <c r="DC53" s="177" t="s">
        <v>10</v>
      </c>
      <c r="DD53" s="178" t="s">
        <v>11</v>
      </c>
      <c r="DE53" s="192" t="s">
        <v>10</v>
      </c>
      <c r="DF53" s="193" t="s">
        <v>11</v>
      </c>
      <c r="DG53" s="194" t="s">
        <v>10</v>
      </c>
      <c r="DH53" s="195" t="s">
        <v>11</v>
      </c>
      <c r="DI53" s="196" t="s">
        <v>10</v>
      </c>
      <c r="DJ53" s="194" t="s">
        <v>11</v>
      </c>
      <c r="DK53" s="565"/>
      <c r="DL53" s="565"/>
      <c r="DM53" s="562"/>
      <c r="DN53" s="197" t="s">
        <v>8</v>
      </c>
      <c r="DP53" s="38"/>
      <c r="DQ53" s="46"/>
    </row>
    <row r="54" spans="1:121" s="37" customFormat="1" ht="32.25" customHeight="1" thickBot="1">
      <c r="A54" s="49"/>
      <c r="B54" s="1">
        <v>1</v>
      </c>
      <c r="C54" s="249" t="s">
        <v>175</v>
      </c>
      <c r="D54" s="249" t="s">
        <v>176</v>
      </c>
      <c r="E54" s="48" t="s">
        <v>358</v>
      </c>
      <c r="F54" s="130">
        <v>35771</v>
      </c>
      <c r="G54" s="52" t="s">
        <v>110</v>
      </c>
      <c r="H54" s="131">
        <v>7.36</v>
      </c>
      <c r="I54" s="132">
        <v>21</v>
      </c>
      <c r="J54" s="133">
        <v>5.37</v>
      </c>
      <c r="K54" s="134">
        <v>12</v>
      </c>
      <c r="L54" s="53">
        <f>(H54+J54)/2</f>
        <v>6.3650000000000002</v>
      </c>
      <c r="M54" s="58">
        <f>IF(L54&gt;=10,60,I54+K54)</f>
        <v>33</v>
      </c>
      <c r="N54" s="138">
        <v>13</v>
      </c>
      <c r="O54" s="139">
        <v>7</v>
      </c>
      <c r="P54" s="140"/>
      <c r="Q54" s="228">
        <f>IF(O54&gt;P54,(N54+O54)/2,(P54+N54)/2)</f>
        <v>10</v>
      </c>
      <c r="R54" s="229">
        <f>IF(Q54&gt;=10,5,0)</f>
        <v>5</v>
      </c>
      <c r="S54" s="230">
        <v>14.5</v>
      </c>
      <c r="T54" s="231">
        <v>13.75</v>
      </c>
      <c r="U54" s="285"/>
      <c r="V54" s="228">
        <f>IF(T54&gt;U54,(S54+T54)/2,(U54+S54)/2)</f>
        <v>14.125</v>
      </c>
      <c r="W54" s="229">
        <f>IF(V54&gt;=10,6,0)</f>
        <v>6</v>
      </c>
      <c r="X54" s="230">
        <v>14.5</v>
      </c>
      <c r="Y54" s="231">
        <v>10.5</v>
      </c>
      <c r="Z54" s="285"/>
      <c r="AA54" s="228">
        <f>IF(Y54&gt;Z54,(X54+Y54)/2,(Z54+X54)/2)</f>
        <v>12.5</v>
      </c>
      <c r="AB54" s="229">
        <f>IF(AA54&gt;=10,6,0)</f>
        <v>6</v>
      </c>
      <c r="AC54" s="232">
        <f>((Q54*2)+(V54*2)+(AA54*2))/6</f>
        <v>12.208333333333334</v>
      </c>
      <c r="AD54" s="233">
        <f>IF(AC54&gt;=10,17,R54+W54+AB54)</f>
        <v>17</v>
      </c>
      <c r="AE54" s="231">
        <v>8.5</v>
      </c>
      <c r="AF54" s="285">
        <v>9.75</v>
      </c>
      <c r="AG54" s="234">
        <f>IF(AE54&gt;AF54,AE54,AF54)</f>
        <v>9.75</v>
      </c>
      <c r="AH54" s="235">
        <f>IF(AG54&gt;=10,1,0)</f>
        <v>0</v>
      </c>
      <c r="AI54" s="230">
        <v>5.25</v>
      </c>
      <c r="AJ54" s="231">
        <v>5.25</v>
      </c>
      <c r="AK54" s="285"/>
      <c r="AL54" s="228">
        <f>IF(AJ54&gt;AK54,(AI54+AJ54)/2,(AK54+AI54)/2)</f>
        <v>5.25</v>
      </c>
      <c r="AM54" s="229">
        <f>IF(AL54&gt;=10,3,0)</f>
        <v>0</v>
      </c>
      <c r="AN54" s="230">
        <v>7</v>
      </c>
      <c r="AO54" s="231">
        <v>2.75</v>
      </c>
      <c r="AP54" s="285"/>
      <c r="AQ54" s="228">
        <f>IF(AO54&gt;AP54,(AN54+AO54)/2,(AP54+AN54)/2)</f>
        <v>4.875</v>
      </c>
      <c r="AR54" s="229">
        <f>IF(AQ54&gt;=10,3,0)</f>
        <v>0</v>
      </c>
      <c r="AS54" s="236">
        <f>(AG54+(AL54*2)+(AQ54*2))/5</f>
        <v>6</v>
      </c>
      <c r="AT54" s="237">
        <f>IF(AS54&gt;=10,7,AR54+AM54+AH54)</f>
        <v>0</v>
      </c>
      <c r="AU54" s="230">
        <v>10</v>
      </c>
      <c r="AV54" s="231">
        <v>12</v>
      </c>
      <c r="AW54" s="285"/>
      <c r="AX54" s="228">
        <f>IF(AV54&gt;AW54,(AU54+AV54)/2,(AW54+AU54)/2)</f>
        <v>11</v>
      </c>
      <c r="AY54" s="229">
        <f>IF(AX54&gt;=10,4,0)</f>
        <v>4</v>
      </c>
      <c r="AZ54" s="231">
        <v>8</v>
      </c>
      <c r="BA54" s="285">
        <v>9.25</v>
      </c>
      <c r="BB54" s="234">
        <f>IF(AZ54&gt;BA54,AZ54,BA54)</f>
        <v>9.25</v>
      </c>
      <c r="BC54" s="235">
        <f>IF(BB54&gt;=10,1,0)</f>
        <v>0</v>
      </c>
      <c r="BD54" s="236">
        <f>(BB54+AX54)/2</f>
        <v>10.125</v>
      </c>
      <c r="BE54" s="237">
        <f>IF(BD54&gt;=10,5,BC54+AY54)</f>
        <v>5</v>
      </c>
      <c r="BF54" s="230">
        <v>9</v>
      </c>
      <c r="BG54" s="231">
        <v>9.25</v>
      </c>
      <c r="BH54" s="285"/>
      <c r="BI54" s="228">
        <f>IF(BG54&gt;BH54,(BF54+BG54)/2,(BH54+BF54)/2)</f>
        <v>9.125</v>
      </c>
      <c r="BJ54" s="229">
        <f>IF(BI54&gt;=10,1,0)</f>
        <v>0</v>
      </c>
      <c r="BK54" s="236">
        <f>BI54</f>
        <v>9.125</v>
      </c>
      <c r="BL54" s="237">
        <f>BJ54</f>
        <v>0</v>
      </c>
      <c r="BM54" s="239">
        <f>((Q54*2)+(V54*2)+(AA54*2)+AG54+(AL54*2)+(AQ54*2)+AX54+BB54+BI54)/14</f>
        <v>9.4732142857142865</v>
      </c>
      <c r="BN54" s="240">
        <f>IF(BM54&gt;=10,30,BL54+BE54+AT54+AD54)</f>
        <v>22</v>
      </c>
      <c r="BO54" s="262">
        <v>12</v>
      </c>
      <c r="BP54" s="263">
        <v>10.5</v>
      </c>
      <c r="BQ54" s="140"/>
      <c r="BR54" s="228">
        <f>IF(BP54&gt;BQ54,(BO54+BP54)/2,(BQ54+BO54)/2)</f>
        <v>11.25</v>
      </c>
      <c r="BS54" s="229">
        <f>IF(BR54&gt;=10,6,0)</f>
        <v>6</v>
      </c>
      <c r="BT54" s="230">
        <v>12</v>
      </c>
      <c r="BU54" s="231">
        <v>17.5</v>
      </c>
      <c r="BV54" s="285"/>
      <c r="BW54" s="228">
        <f>IF(BU54&gt;BV54,(BT54+BU54)/2,(BV54+BT54)/2)</f>
        <v>14.75</v>
      </c>
      <c r="BX54" s="229">
        <f>IF(BW54&gt;=10,6,0)</f>
        <v>6</v>
      </c>
      <c r="BY54" s="230">
        <v>5</v>
      </c>
      <c r="BZ54" s="231">
        <v>5</v>
      </c>
      <c r="CA54" s="285"/>
      <c r="CB54" s="228">
        <f>IF(BZ54&gt;CA54,(BY54+BZ54)/2,(CA54+BY54)/2)</f>
        <v>5</v>
      </c>
      <c r="CC54" s="229">
        <f>IF(CB54&gt;=10,4,0)</f>
        <v>0</v>
      </c>
      <c r="CD54" s="297">
        <f>(CB54+(BW54*2)+(BR54*2))/5</f>
        <v>11.4</v>
      </c>
      <c r="CE54" s="233">
        <f>IF(CD54&gt;=10,16,CC54+BX54+BS54)</f>
        <v>16</v>
      </c>
      <c r="CF54" s="230">
        <v>9.5</v>
      </c>
      <c r="CG54" s="231">
        <v>15.25</v>
      </c>
      <c r="CH54" s="285"/>
      <c r="CI54" s="228">
        <f>IF(CG54&gt;CH54,(CF54+CG54)/2,(CH54+CF54)/2)</f>
        <v>12.375</v>
      </c>
      <c r="CJ54" s="229">
        <f>IF(CI54&gt;=10,5,0)</f>
        <v>5</v>
      </c>
      <c r="CK54" s="230">
        <v>10</v>
      </c>
      <c r="CL54" s="231">
        <v>0</v>
      </c>
      <c r="CM54" s="285"/>
      <c r="CN54" s="228">
        <f>IF(CL54&gt;CM54,(CK54+CL54)/2,(CM54+CK54)/2)</f>
        <v>5</v>
      </c>
      <c r="CO54" s="229">
        <f>IF(CN54&gt;=10,5,0)</f>
        <v>0</v>
      </c>
      <c r="CP54" s="232">
        <f>((CN54*2)+(CI54*2))/4</f>
        <v>8.6875</v>
      </c>
      <c r="CQ54" s="233">
        <f>IF(CP54&gt;=10,10,CO54+CJ54)</f>
        <v>5</v>
      </c>
      <c r="CR54" s="230">
        <v>13.5</v>
      </c>
      <c r="CS54" s="231">
        <v>5.5</v>
      </c>
      <c r="CT54" s="285"/>
      <c r="CU54" s="228">
        <f>IF(CS54&gt;CT54,(CR54+CS54)/2,(CT54+CR54)/2)</f>
        <v>9.5</v>
      </c>
      <c r="CV54" s="229">
        <f>IF(CU54&gt;=10,3,0)</f>
        <v>0</v>
      </c>
      <c r="CW54" s="232">
        <f>CU54</f>
        <v>9.5</v>
      </c>
      <c r="CX54" s="233">
        <f>CV54</f>
        <v>0</v>
      </c>
      <c r="CY54" s="231">
        <v>16</v>
      </c>
      <c r="CZ54" s="285"/>
      <c r="DA54" s="234">
        <f>IF(CY54&gt;CZ54,CY54,CZ54)</f>
        <v>16</v>
      </c>
      <c r="DB54" s="235">
        <f>IF(DA54&gt;=10,1,0)</f>
        <v>1</v>
      </c>
      <c r="DC54" s="232">
        <f>DA54</f>
        <v>16</v>
      </c>
      <c r="DD54" s="233">
        <f>DB54</f>
        <v>1</v>
      </c>
      <c r="DE54" s="65">
        <f>((CU54*2)+(CI54*2)+(CN54*2)+DA54+CB54+(BW54*2)+(BR54*2))/12</f>
        <v>10.5625</v>
      </c>
      <c r="DF54" s="66">
        <f>IF(DE54&gt;=10,30,CX54+DD54+CQ54+CE54)</f>
        <v>30</v>
      </c>
      <c r="DG54" s="31">
        <f t="shared" ref="DG54:DG94" si="60">BM54</f>
        <v>9.4732142857142865</v>
      </c>
      <c r="DH54" s="32">
        <f t="shared" ref="DH54:DH94" si="61">IF(DK54&gt;=10,30,BN54)</f>
        <v>30</v>
      </c>
      <c r="DI54" s="33">
        <f t="shared" ref="DI54:DI94" si="62">DE54</f>
        <v>10.5625</v>
      </c>
      <c r="DJ54" s="34">
        <f t="shared" ref="DJ54:DJ94" si="63">IF(DK54&gt;=10,30,DF54)</f>
        <v>30</v>
      </c>
      <c r="DK54" s="67">
        <f t="shared" ref="DK54:DK94" si="64">(DI54+DG54)/2</f>
        <v>10.017857142857142</v>
      </c>
      <c r="DL54" s="35">
        <f t="shared" ref="DL54:DL94" si="65">IF(DK54&gt;=10,60,DJ54+DH54)</f>
        <v>60</v>
      </c>
      <c r="DM54" s="59">
        <f t="shared" ref="DM54:DM94" si="66">(M54+DL54)</f>
        <v>93</v>
      </c>
      <c r="DN54" s="43" t="str">
        <f>IF(DM54=120,"ناجح(ة) دورة2",IF(DM54&gt;=90,"ناجح(ة)بتأخير","راسب(ة)"))</f>
        <v>ناجح(ة)بتأخير</v>
      </c>
      <c r="DO54" s="44"/>
      <c r="DP54" s="50"/>
      <c r="DQ54" s="46"/>
    </row>
    <row r="55" spans="1:121" s="37" customFormat="1" ht="32.25" customHeight="1" thickBot="1">
      <c r="A55" s="49"/>
      <c r="B55" s="1">
        <f>B54+1</f>
        <v>2</v>
      </c>
      <c r="C55" s="249" t="s">
        <v>412</v>
      </c>
      <c r="D55" s="249" t="s">
        <v>177</v>
      </c>
      <c r="E55" s="47" t="s">
        <v>413</v>
      </c>
      <c r="F55" s="135">
        <v>32871</v>
      </c>
      <c r="G55" s="136" t="s">
        <v>414</v>
      </c>
      <c r="H55" s="131">
        <v>10.050000000000001</v>
      </c>
      <c r="I55" s="132">
        <v>30</v>
      </c>
      <c r="J55" s="133">
        <v>6.58</v>
      </c>
      <c r="K55" s="134">
        <v>14</v>
      </c>
      <c r="L55" s="53">
        <f t="shared" ref="L55:L94" si="67">(H55+J55)/2</f>
        <v>8.3150000000000013</v>
      </c>
      <c r="M55" s="58">
        <f t="shared" ref="M55:M94" si="68">IF(L55&gt;=10,60,I55+K55)</f>
        <v>44</v>
      </c>
      <c r="N55" s="222"/>
      <c r="O55" s="223"/>
      <c r="P55" s="140"/>
      <c r="Q55" s="228">
        <f t="shared" ref="Q55:Q94" si="69">IF(O55&gt;P55,(N55+O55)/2,(P55+N55)/2)</f>
        <v>0</v>
      </c>
      <c r="R55" s="229">
        <f t="shared" ref="R55:R94" si="70">IF(Q55&gt;=10,5,0)</f>
        <v>0</v>
      </c>
      <c r="S55" s="241">
        <v>14</v>
      </c>
      <c r="T55" s="242">
        <v>2.5</v>
      </c>
      <c r="U55" s="285"/>
      <c r="V55" s="228">
        <f t="shared" ref="V55:V94" si="71">IF(T55&gt;U55,(S55+T55)/2,(U55+S55)/2)</f>
        <v>8.25</v>
      </c>
      <c r="W55" s="229">
        <f t="shared" ref="W55:W94" si="72">IF(V55&gt;=10,6,0)</f>
        <v>0</v>
      </c>
      <c r="X55" s="241">
        <v>14</v>
      </c>
      <c r="Y55" s="242">
        <v>4.5</v>
      </c>
      <c r="Z55" s="285"/>
      <c r="AA55" s="228">
        <f t="shared" ref="AA55:AA94" si="73">IF(Y55&gt;Z55,(X55+Y55)/2,(Z55+X55)/2)</f>
        <v>9.25</v>
      </c>
      <c r="AB55" s="229">
        <f t="shared" ref="AB55:AB94" si="74">IF(AA55&gt;=10,6,0)</f>
        <v>0</v>
      </c>
      <c r="AC55" s="232">
        <f t="shared" ref="AC55:AC94" si="75">((Q55*2)+(V55*2)+(AA55*2))/6</f>
        <v>5.833333333333333</v>
      </c>
      <c r="AD55" s="233">
        <f t="shared" ref="AD55:AD94" si="76">IF(AC55&gt;=10,17,R55+W55+AB55)</f>
        <v>0</v>
      </c>
      <c r="AE55" s="242">
        <v>6.5</v>
      </c>
      <c r="AF55" s="285"/>
      <c r="AG55" s="234">
        <f t="shared" ref="AG55:AG94" si="77">IF(AE55&gt;AF55,AE55,AF55)</f>
        <v>6.5</v>
      </c>
      <c r="AH55" s="235">
        <f t="shared" ref="AH55:AH94" si="78">IF(AG55&gt;=10,1,0)</f>
        <v>0</v>
      </c>
      <c r="AI55" s="241">
        <v>5.25</v>
      </c>
      <c r="AJ55" s="242">
        <v>5.25</v>
      </c>
      <c r="AK55" s="285"/>
      <c r="AL55" s="228">
        <f t="shared" ref="AL55:AL94" si="79">IF(AJ55&gt;AK55,(AI55+AJ55)/2,(AK55+AI55)/2)</f>
        <v>5.25</v>
      </c>
      <c r="AM55" s="229">
        <f t="shared" ref="AM55:AM94" si="80">IF(AL55&gt;=10,3,0)</f>
        <v>0</v>
      </c>
      <c r="AN55" s="241">
        <v>12.75</v>
      </c>
      <c r="AO55" s="242">
        <v>6.5</v>
      </c>
      <c r="AP55" s="285"/>
      <c r="AQ55" s="228">
        <f t="shared" ref="AQ55:AQ94" si="81">IF(AO55&gt;AP55,(AN55+AO55)/2,(AP55+AN55)/2)</f>
        <v>9.625</v>
      </c>
      <c r="AR55" s="229">
        <f t="shared" ref="AR55:AR94" si="82">IF(AQ55&gt;=10,3,0)</f>
        <v>0</v>
      </c>
      <c r="AS55" s="236">
        <f t="shared" ref="AS55:AS94" si="83">(AG55+(AL55*2)+(AQ55*2))/5</f>
        <v>7.25</v>
      </c>
      <c r="AT55" s="237">
        <f t="shared" ref="AT55:AT94" si="84">IF(AS55&gt;=10,7,AR55+AM55+AH55)</f>
        <v>0</v>
      </c>
      <c r="AU55" s="241"/>
      <c r="AV55" s="242"/>
      <c r="AW55" s="285"/>
      <c r="AX55" s="228">
        <f t="shared" ref="AX55:AX94" si="85">IF(AV55&gt;AW55,(AU55+AV55)/2,(AW55+AU55)/2)</f>
        <v>0</v>
      </c>
      <c r="AY55" s="229">
        <f t="shared" ref="AY55:AY94" si="86">IF(AX55&gt;=10,4,0)</f>
        <v>0</v>
      </c>
      <c r="AZ55" s="242">
        <v>4.5</v>
      </c>
      <c r="BA55" s="285"/>
      <c r="BB55" s="234">
        <f t="shared" ref="BB55:BB94" si="87">IF(AZ55&gt;BA55,AZ55,BA55)</f>
        <v>4.5</v>
      </c>
      <c r="BC55" s="235">
        <f t="shared" ref="BC55:BC94" si="88">IF(BB55&gt;=10,1,0)</f>
        <v>0</v>
      </c>
      <c r="BD55" s="236">
        <f t="shared" ref="BD55:BD94" si="89">(BB55+AX55)/2</f>
        <v>2.25</v>
      </c>
      <c r="BE55" s="237">
        <f t="shared" ref="BE55:BE94" si="90">IF(BD55&gt;=10,5,BC55+AY55)</f>
        <v>0</v>
      </c>
      <c r="BF55" s="241">
        <v>10.5</v>
      </c>
      <c r="BG55" s="242">
        <v>8.75</v>
      </c>
      <c r="BH55" s="285"/>
      <c r="BI55" s="228">
        <f t="shared" ref="BI55:BI94" si="91">IF(BG55&gt;BH55,(BF55+BG55)/2,(BH55+BF55)/2)</f>
        <v>9.625</v>
      </c>
      <c r="BJ55" s="229">
        <f t="shared" ref="BJ55:BJ94" si="92">IF(BI55&gt;=10,1,0)</f>
        <v>0</v>
      </c>
      <c r="BK55" s="236">
        <f t="shared" ref="BK55:BK94" si="93">BI55</f>
        <v>9.625</v>
      </c>
      <c r="BL55" s="237">
        <f t="shared" ref="BL55:BL94" si="94">BJ55</f>
        <v>0</v>
      </c>
      <c r="BM55" s="239">
        <f t="shared" ref="BM55:BM94" si="95">((Q55*2)+(V55*2)+(AA55*2)+AG55+(AL55*2)+(AQ55*2)+AX55+BB55+BI55)/14</f>
        <v>6.0982142857142856</v>
      </c>
      <c r="BN55" s="240">
        <f t="shared" ref="BN55:BN94" si="96">IF(BM55&gt;=10,30,BL55+BE55+AT55+AD55)</f>
        <v>0</v>
      </c>
      <c r="BO55" s="273"/>
      <c r="BP55" s="274"/>
      <c r="BQ55" s="140"/>
      <c r="BR55" s="228">
        <f t="shared" ref="BR55:BR94" si="97">IF(BP55&gt;BQ55,(BO55+BP55)/2,(BQ55+BO55)/2)</f>
        <v>0</v>
      </c>
      <c r="BS55" s="229">
        <f t="shared" ref="BS55:BS94" si="98">IF(BR55&gt;=10,6,0)</f>
        <v>0</v>
      </c>
      <c r="BT55" s="282"/>
      <c r="BU55" s="283"/>
      <c r="BV55" s="285"/>
      <c r="BW55" s="228">
        <f t="shared" ref="BW55:BW94" si="99">IF(BU55&gt;BV55,(BT55+BU55)/2,(BV55+BT55)/2)</f>
        <v>0</v>
      </c>
      <c r="BX55" s="229">
        <f t="shared" ref="BX55:BX94" si="100">IF(BW55&gt;=10,6,0)</f>
        <v>0</v>
      </c>
      <c r="BY55" s="282"/>
      <c r="BZ55" s="283"/>
      <c r="CA55" s="285"/>
      <c r="CB55" s="228">
        <f t="shared" ref="CB55:CB94" si="101">IF(BZ55&gt;CA55,(BY55+BZ55)/2,(CA55+BY55)/2)</f>
        <v>0</v>
      </c>
      <c r="CC55" s="229">
        <f t="shared" ref="CC55:CC94" si="102">IF(CB55&gt;=10,4,0)</f>
        <v>0</v>
      </c>
      <c r="CD55" s="297">
        <f t="shared" ref="CD55:CD94" si="103">(CB55+(BW55*2)+(BR55*2))/5</f>
        <v>0</v>
      </c>
      <c r="CE55" s="233">
        <f t="shared" ref="CE55:CE94" si="104">IF(CD55&gt;=10,16,CC55+BX55+BS55)</f>
        <v>0</v>
      </c>
      <c r="CF55" s="282">
        <v>0</v>
      </c>
      <c r="CG55" s="283"/>
      <c r="CH55" s="285"/>
      <c r="CI55" s="228">
        <f t="shared" ref="CI55:CI94" si="105">IF(CG55&gt;CH55,(CF55+CG55)/2,(CH55+CF55)/2)</f>
        <v>0</v>
      </c>
      <c r="CJ55" s="229">
        <f t="shared" ref="CJ55:CJ94" si="106">IF(CI55&gt;=10,5,0)</f>
        <v>0</v>
      </c>
      <c r="CK55" s="230"/>
      <c r="CL55" s="231"/>
      <c r="CM55" s="285"/>
      <c r="CN55" s="228">
        <f t="shared" ref="CN55:CN94" si="107">IF(CL55&gt;CM55,(CK55+CL55)/2,(CM55+CK55)/2)</f>
        <v>0</v>
      </c>
      <c r="CO55" s="229">
        <f t="shared" ref="CO55:CO94" si="108">IF(CN55&gt;=10,5,0)</f>
        <v>0</v>
      </c>
      <c r="CP55" s="232">
        <f t="shared" ref="CP55:CP94" si="109">((CN55*2)+(CI55*2))/4</f>
        <v>0</v>
      </c>
      <c r="CQ55" s="233">
        <f t="shared" ref="CQ55:CQ94" si="110">IF(CP55&gt;=10,10,CO55+CJ55)</f>
        <v>0</v>
      </c>
      <c r="CR55" s="230"/>
      <c r="CS55" s="231"/>
      <c r="CT55" s="285"/>
      <c r="CU55" s="228">
        <f t="shared" ref="CU55:CU94" si="111">IF(CS55&gt;CT55,(CR55+CS55)/2,(CT55+CR55)/2)</f>
        <v>0</v>
      </c>
      <c r="CV55" s="229">
        <f t="shared" ref="CV55:CV94" si="112">IF(CU55&gt;=10,3,0)</f>
        <v>0</v>
      </c>
      <c r="CW55" s="232">
        <f t="shared" ref="CW55:CW94" si="113">CU55</f>
        <v>0</v>
      </c>
      <c r="CX55" s="233">
        <f t="shared" ref="CX55:CX94" si="114">CV55</f>
        <v>0</v>
      </c>
      <c r="CY55" s="231"/>
      <c r="CZ55" s="285"/>
      <c r="DA55" s="234">
        <f t="shared" ref="DA55:DA94" si="115">IF(CY55&gt;CZ55,CY55,CZ55)</f>
        <v>0</v>
      </c>
      <c r="DB55" s="235">
        <f t="shared" ref="DB55:DB94" si="116">IF(DA55&gt;=10,1,0)</f>
        <v>0</v>
      </c>
      <c r="DC55" s="232">
        <f t="shared" ref="DC55:DC94" si="117">DA55</f>
        <v>0</v>
      </c>
      <c r="DD55" s="233">
        <f t="shared" ref="DD55:DD94" si="118">DB55</f>
        <v>0</v>
      </c>
      <c r="DE55" s="65">
        <f t="shared" ref="DE55:DE94" si="119">((CU55*2)+(CI55*2)+(CN55*2)+DA55+CB55+(BW55*2)+(BR55*2))/12</f>
        <v>0</v>
      </c>
      <c r="DF55" s="66">
        <f t="shared" ref="DF55:DF94" si="120">IF(DE55&gt;=10,30,CX55+DD55+CQ55+CE55)</f>
        <v>0</v>
      </c>
      <c r="DG55" s="31">
        <f t="shared" si="60"/>
        <v>6.0982142857142856</v>
      </c>
      <c r="DH55" s="32">
        <f t="shared" si="61"/>
        <v>0</v>
      </c>
      <c r="DI55" s="33">
        <f t="shared" si="62"/>
        <v>0</v>
      </c>
      <c r="DJ55" s="34">
        <f t="shared" si="63"/>
        <v>0</v>
      </c>
      <c r="DK55" s="67">
        <f t="shared" si="64"/>
        <v>3.0491071428571428</v>
      </c>
      <c r="DL55" s="35">
        <f t="shared" si="65"/>
        <v>0</v>
      </c>
      <c r="DM55" s="59">
        <f t="shared" si="66"/>
        <v>44</v>
      </c>
      <c r="DN55" s="43" t="s">
        <v>505</v>
      </c>
      <c r="DO55" s="44"/>
      <c r="DP55" s="50"/>
      <c r="DQ55" s="46"/>
    </row>
    <row r="56" spans="1:121" s="37" customFormat="1" ht="32.25" customHeight="1" thickBot="1">
      <c r="A56" s="49"/>
      <c r="B56" s="1">
        <f t="shared" ref="B56:B94" si="121">B55+1</f>
        <v>3</v>
      </c>
      <c r="C56" s="249" t="s">
        <v>500</v>
      </c>
      <c r="D56" s="249" t="s">
        <v>501</v>
      </c>
      <c r="E56" s="47"/>
      <c r="F56" s="135"/>
      <c r="G56" s="136"/>
      <c r="H56" s="131">
        <v>6.82</v>
      </c>
      <c r="I56" s="132">
        <v>15</v>
      </c>
      <c r="J56" s="133">
        <v>4</v>
      </c>
      <c r="K56" s="134">
        <v>16</v>
      </c>
      <c r="L56" s="53">
        <f t="shared" si="67"/>
        <v>5.41</v>
      </c>
      <c r="M56" s="58">
        <f t="shared" si="68"/>
        <v>31</v>
      </c>
      <c r="N56" s="222">
        <v>13</v>
      </c>
      <c r="O56" s="223">
        <v>10</v>
      </c>
      <c r="P56" s="140"/>
      <c r="Q56" s="228">
        <f t="shared" si="69"/>
        <v>11.5</v>
      </c>
      <c r="R56" s="229">
        <f t="shared" si="70"/>
        <v>5</v>
      </c>
      <c r="S56" s="241">
        <v>15.5</v>
      </c>
      <c r="T56" s="242">
        <v>9</v>
      </c>
      <c r="U56" s="285"/>
      <c r="V56" s="228">
        <f t="shared" si="71"/>
        <v>12.25</v>
      </c>
      <c r="W56" s="229">
        <f t="shared" si="72"/>
        <v>6</v>
      </c>
      <c r="X56" s="241">
        <v>14.25</v>
      </c>
      <c r="Y56" s="242">
        <v>5.75</v>
      </c>
      <c r="Z56" s="285"/>
      <c r="AA56" s="228">
        <f t="shared" si="73"/>
        <v>10</v>
      </c>
      <c r="AB56" s="229">
        <f t="shared" si="74"/>
        <v>6</v>
      </c>
      <c r="AC56" s="232">
        <f t="shared" si="75"/>
        <v>11.25</v>
      </c>
      <c r="AD56" s="233">
        <f t="shared" si="76"/>
        <v>17</v>
      </c>
      <c r="AE56" s="242">
        <v>10</v>
      </c>
      <c r="AF56" s="285"/>
      <c r="AG56" s="234">
        <f t="shared" si="77"/>
        <v>10</v>
      </c>
      <c r="AH56" s="235">
        <f t="shared" si="78"/>
        <v>1</v>
      </c>
      <c r="AI56" s="241">
        <v>10</v>
      </c>
      <c r="AJ56" s="242">
        <v>7.25</v>
      </c>
      <c r="AK56" s="285"/>
      <c r="AL56" s="228">
        <f t="shared" si="79"/>
        <v>8.625</v>
      </c>
      <c r="AM56" s="229">
        <f t="shared" si="80"/>
        <v>0</v>
      </c>
      <c r="AN56" s="241">
        <v>7</v>
      </c>
      <c r="AO56" s="242">
        <v>0</v>
      </c>
      <c r="AP56" s="285"/>
      <c r="AQ56" s="228">
        <f t="shared" si="81"/>
        <v>3.5</v>
      </c>
      <c r="AR56" s="229">
        <f t="shared" si="82"/>
        <v>0</v>
      </c>
      <c r="AS56" s="236">
        <f t="shared" si="83"/>
        <v>6.85</v>
      </c>
      <c r="AT56" s="237">
        <f t="shared" si="84"/>
        <v>1</v>
      </c>
      <c r="AU56" s="241">
        <v>7</v>
      </c>
      <c r="AV56" s="242">
        <v>5</v>
      </c>
      <c r="AW56" s="285"/>
      <c r="AX56" s="228">
        <f t="shared" si="85"/>
        <v>6</v>
      </c>
      <c r="AY56" s="229">
        <f t="shared" si="86"/>
        <v>0</v>
      </c>
      <c r="AZ56" s="242">
        <v>0</v>
      </c>
      <c r="BA56" s="285"/>
      <c r="BB56" s="234">
        <f t="shared" si="87"/>
        <v>0</v>
      </c>
      <c r="BC56" s="235">
        <f t="shared" si="88"/>
        <v>0</v>
      </c>
      <c r="BD56" s="236">
        <f t="shared" si="89"/>
        <v>3</v>
      </c>
      <c r="BE56" s="237">
        <f t="shared" si="90"/>
        <v>0</v>
      </c>
      <c r="BF56" s="241">
        <v>12.5</v>
      </c>
      <c r="BG56" s="242">
        <v>10.5</v>
      </c>
      <c r="BH56" s="285"/>
      <c r="BI56" s="228">
        <f t="shared" si="91"/>
        <v>11.5</v>
      </c>
      <c r="BJ56" s="229">
        <f t="shared" si="92"/>
        <v>1</v>
      </c>
      <c r="BK56" s="236">
        <f t="shared" si="93"/>
        <v>11.5</v>
      </c>
      <c r="BL56" s="237">
        <f t="shared" si="94"/>
        <v>1</v>
      </c>
      <c r="BM56" s="239">
        <f t="shared" si="95"/>
        <v>8.5178571428571423</v>
      </c>
      <c r="BN56" s="240">
        <f t="shared" si="96"/>
        <v>19</v>
      </c>
      <c r="BO56" s="271">
        <v>8</v>
      </c>
      <c r="BP56" s="274"/>
      <c r="BQ56" s="140"/>
      <c r="BR56" s="228">
        <f t="shared" si="97"/>
        <v>4</v>
      </c>
      <c r="BS56" s="229">
        <f t="shared" si="98"/>
        <v>0</v>
      </c>
      <c r="BT56" s="241">
        <v>11</v>
      </c>
      <c r="BU56" s="283"/>
      <c r="BV56" s="285">
        <v>9</v>
      </c>
      <c r="BW56" s="228">
        <f t="shared" si="99"/>
        <v>10</v>
      </c>
      <c r="BX56" s="229">
        <f t="shared" si="100"/>
        <v>6</v>
      </c>
      <c r="BY56" s="241">
        <v>2</v>
      </c>
      <c r="BZ56" s="283"/>
      <c r="CA56" s="285"/>
      <c r="CB56" s="228">
        <f t="shared" si="101"/>
        <v>1</v>
      </c>
      <c r="CC56" s="229">
        <f t="shared" si="102"/>
        <v>0</v>
      </c>
      <c r="CD56" s="297">
        <f t="shared" si="103"/>
        <v>5.8</v>
      </c>
      <c r="CE56" s="233">
        <f t="shared" si="104"/>
        <v>6</v>
      </c>
      <c r="CF56" s="241">
        <v>0</v>
      </c>
      <c r="CG56" s="283"/>
      <c r="CH56" s="285">
        <v>2</v>
      </c>
      <c r="CI56" s="228">
        <f t="shared" si="105"/>
        <v>1</v>
      </c>
      <c r="CJ56" s="229">
        <f t="shared" si="106"/>
        <v>0</v>
      </c>
      <c r="CK56" s="230">
        <v>9</v>
      </c>
      <c r="CL56" s="231"/>
      <c r="CM56" s="285">
        <v>2</v>
      </c>
      <c r="CN56" s="228">
        <f t="shared" si="107"/>
        <v>5.5</v>
      </c>
      <c r="CO56" s="229">
        <f t="shared" si="108"/>
        <v>0</v>
      </c>
      <c r="CP56" s="232">
        <f t="shared" si="109"/>
        <v>3.25</v>
      </c>
      <c r="CQ56" s="233">
        <f t="shared" si="110"/>
        <v>0</v>
      </c>
      <c r="CR56" s="230"/>
      <c r="CS56" s="231"/>
      <c r="CT56" s="285">
        <v>1.5</v>
      </c>
      <c r="CU56" s="228">
        <f t="shared" si="111"/>
        <v>0.75</v>
      </c>
      <c r="CV56" s="229">
        <f t="shared" si="112"/>
        <v>0</v>
      </c>
      <c r="CW56" s="232">
        <f t="shared" si="113"/>
        <v>0.75</v>
      </c>
      <c r="CX56" s="233">
        <f t="shared" si="114"/>
        <v>0</v>
      </c>
      <c r="CY56" s="231"/>
      <c r="CZ56" s="285">
        <v>15.5</v>
      </c>
      <c r="DA56" s="234">
        <f t="shared" si="115"/>
        <v>15.5</v>
      </c>
      <c r="DB56" s="235">
        <f t="shared" si="116"/>
        <v>1</v>
      </c>
      <c r="DC56" s="232">
        <f t="shared" si="117"/>
        <v>15.5</v>
      </c>
      <c r="DD56" s="233">
        <f t="shared" si="118"/>
        <v>1</v>
      </c>
      <c r="DE56" s="65">
        <f t="shared" si="119"/>
        <v>4.916666666666667</v>
      </c>
      <c r="DF56" s="66">
        <f t="shared" si="120"/>
        <v>7</v>
      </c>
      <c r="DG56" s="31">
        <f t="shared" si="60"/>
        <v>8.5178571428571423</v>
      </c>
      <c r="DH56" s="32">
        <f t="shared" si="61"/>
        <v>19</v>
      </c>
      <c r="DI56" s="33">
        <f t="shared" si="62"/>
        <v>4.916666666666667</v>
      </c>
      <c r="DJ56" s="34">
        <f t="shared" si="63"/>
        <v>7</v>
      </c>
      <c r="DK56" s="67">
        <f t="shared" si="64"/>
        <v>6.7172619047619051</v>
      </c>
      <c r="DL56" s="35">
        <f t="shared" si="65"/>
        <v>26</v>
      </c>
      <c r="DM56" s="59">
        <f t="shared" si="66"/>
        <v>57</v>
      </c>
      <c r="DN56" s="43" t="str">
        <f t="shared" ref="DN56:DN94" si="122">IF(DM56=120,"ناجح(ة) دورة2",IF(DM56&gt;=90,"ناجح(ة)بتأخير","راسب(ة)"))</f>
        <v>راسب(ة)</v>
      </c>
      <c r="DP56" s="51"/>
      <c r="DQ56" s="46"/>
    </row>
    <row r="57" spans="1:121" s="37" customFormat="1" ht="32.25" customHeight="1" thickBot="1">
      <c r="A57" s="49"/>
      <c r="B57" s="1">
        <f t="shared" si="121"/>
        <v>4</v>
      </c>
      <c r="C57" s="249" t="s">
        <v>178</v>
      </c>
      <c r="D57" s="249" t="s">
        <v>179</v>
      </c>
      <c r="E57" s="47" t="s">
        <v>359</v>
      </c>
      <c r="F57" s="135">
        <v>34479</v>
      </c>
      <c r="G57" s="136" t="s">
        <v>110</v>
      </c>
      <c r="H57" s="131">
        <v>9.44</v>
      </c>
      <c r="I57" s="132">
        <v>15</v>
      </c>
      <c r="J57" s="133">
        <v>8.0399999999999991</v>
      </c>
      <c r="K57" s="134">
        <v>16</v>
      </c>
      <c r="L57" s="53">
        <f t="shared" si="67"/>
        <v>8.7399999999999984</v>
      </c>
      <c r="M57" s="58">
        <f t="shared" si="68"/>
        <v>31</v>
      </c>
      <c r="N57" s="222">
        <v>13</v>
      </c>
      <c r="O57" s="223">
        <v>7</v>
      </c>
      <c r="P57" s="140"/>
      <c r="Q57" s="228">
        <f t="shared" si="69"/>
        <v>10</v>
      </c>
      <c r="R57" s="229">
        <f t="shared" si="70"/>
        <v>5</v>
      </c>
      <c r="S57" s="241">
        <v>14.5</v>
      </c>
      <c r="T57" s="242">
        <v>5.5</v>
      </c>
      <c r="U57" s="285"/>
      <c r="V57" s="228">
        <f t="shared" si="71"/>
        <v>10</v>
      </c>
      <c r="W57" s="229">
        <f t="shared" si="72"/>
        <v>6</v>
      </c>
      <c r="X57" s="241">
        <v>13.5</v>
      </c>
      <c r="Y57" s="242">
        <v>3</v>
      </c>
      <c r="Z57" s="285">
        <v>6.5</v>
      </c>
      <c r="AA57" s="228">
        <f t="shared" si="73"/>
        <v>10</v>
      </c>
      <c r="AB57" s="229">
        <f t="shared" si="74"/>
        <v>6</v>
      </c>
      <c r="AC57" s="232">
        <f t="shared" si="75"/>
        <v>10</v>
      </c>
      <c r="AD57" s="233">
        <f t="shared" si="76"/>
        <v>17</v>
      </c>
      <c r="AE57" s="242">
        <v>10</v>
      </c>
      <c r="AF57" s="285"/>
      <c r="AG57" s="234">
        <f t="shared" si="77"/>
        <v>10</v>
      </c>
      <c r="AH57" s="235">
        <f t="shared" si="78"/>
        <v>1</v>
      </c>
      <c r="AI57" s="241">
        <v>11.5</v>
      </c>
      <c r="AJ57" s="242">
        <v>6.5</v>
      </c>
      <c r="AK57" s="285">
        <v>11.5</v>
      </c>
      <c r="AL57" s="228">
        <f t="shared" si="79"/>
        <v>11.5</v>
      </c>
      <c r="AM57" s="229">
        <f t="shared" si="80"/>
        <v>3</v>
      </c>
      <c r="AN57" s="241">
        <v>11</v>
      </c>
      <c r="AO57" s="242">
        <v>1</v>
      </c>
      <c r="AP57" s="285">
        <v>9.25</v>
      </c>
      <c r="AQ57" s="228">
        <f t="shared" si="81"/>
        <v>10.125</v>
      </c>
      <c r="AR57" s="229">
        <f t="shared" si="82"/>
        <v>3</v>
      </c>
      <c r="AS57" s="236">
        <f t="shared" si="83"/>
        <v>10.65</v>
      </c>
      <c r="AT57" s="237">
        <f t="shared" si="84"/>
        <v>7</v>
      </c>
      <c r="AU57" s="241">
        <v>6</v>
      </c>
      <c r="AV57" s="242">
        <v>2</v>
      </c>
      <c r="AW57" s="285">
        <v>9.25</v>
      </c>
      <c r="AX57" s="228">
        <f t="shared" si="85"/>
        <v>7.625</v>
      </c>
      <c r="AY57" s="229">
        <f t="shared" si="86"/>
        <v>0</v>
      </c>
      <c r="AZ57" s="242">
        <v>8</v>
      </c>
      <c r="BA57" s="285">
        <v>10</v>
      </c>
      <c r="BB57" s="234">
        <f t="shared" si="87"/>
        <v>10</v>
      </c>
      <c r="BC57" s="235">
        <f t="shared" si="88"/>
        <v>1</v>
      </c>
      <c r="BD57" s="236">
        <f t="shared" si="89"/>
        <v>8.8125</v>
      </c>
      <c r="BE57" s="237">
        <f t="shared" si="90"/>
        <v>1</v>
      </c>
      <c r="BF57" s="241">
        <v>9.25</v>
      </c>
      <c r="BG57" s="242">
        <v>3.5</v>
      </c>
      <c r="BH57" s="285">
        <v>9.25</v>
      </c>
      <c r="BI57" s="228">
        <f t="shared" si="91"/>
        <v>9.25</v>
      </c>
      <c r="BJ57" s="229">
        <f t="shared" si="92"/>
        <v>0</v>
      </c>
      <c r="BK57" s="236">
        <f t="shared" si="93"/>
        <v>9.25</v>
      </c>
      <c r="BL57" s="237">
        <f t="shared" si="94"/>
        <v>0</v>
      </c>
      <c r="BM57" s="239">
        <f t="shared" si="95"/>
        <v>10.008928571428571</v>
      </c>
      <c r="BN57" s="240">
        <f t="shared" si="96"/>
        <v>30</v>
      </c>
      <c r="BO57" s="271">
        <v>12.5</v>
      </c>
      <c r="BP57" s="272">
        <v>6</v>
      </c>
      <c r="BQ57" s="140"/>
      <c r="BR57" s="228">
        <f t="shared" si="97"/>
        <v>9.25</v>
      </c>
      <c r="BS57" s="229">
        <f t="shared" si="98"/>
        <v>0</v>
      </c>
      <c r="BT57" s="241">
        <v>14</v>
      </c>
      <c r="BU57" s="242">
        <v>16</v>
      </c>
      <c r="BV57" s="285"/>
      <c r="BW57" s="228">
        <f t="shared" si="99"/>
        <v>15</v>
      </c>
      <c r="BX57" s="229">
        <f t="shared" si="100"/>
        <v>6</v>
      </c>
      <c r="BY57" s="241">
        <v>1</v>
      </c>
      <c r="BZ57" s="242">
        <v>0</v>
      </c>
      <c r="CA57" s="285">
        <v>3.5</v>
      </c>
      <c r="CB57" s="228">
        <f t="shared" si="101"/>
        <v>2.25</v>
      </c>
      <c r="CC57" s="229">
        <f t="shared" si="102"/>
        <v>0</v>
      </c>
      <c r="CD57" s="297">
        <f t="shared" si="103"/>
        <v>10.15</v>
      </c>
      <c r="CE57" s="233">
        <f t="shared" si="104"/>
        <v>16</v>
      </c>
      <c r="CF57" s="241">
        <v>0</v>
      </c>
      <c r="CG57" s="242">
        <v>4.5</v>
      </c>
      <c r="CH57" s="285">
        <v>6.5</v>
      </c>
      <c r="CI57" s="228">
        <f t="shared" si="105"/>
        <v>3.25</v>
      </c>
      <c r="CJ57" s="229">
        <f t="shared" si="106"/>
        <v>0</v>
      </c>
      <c r="CK57" s="230">
        <v>12</v>
      </c>
      <c r="CL57" s="231">
        <v>4</v>
      </c>
      <c r="CM57" s="285"/>
      <c r="CN57" s="228">
        <f t="shared" si="107"/>
        <v>8</v>
      </c>
      <c r="CO57" s="229">
        <f t="shared" si="108"/>
        <v>0</v>
      </c>
      <c r="CP57" s="232">
        <f t="shared" si="109"/>
        <v>5.625</v>
      </c>
      <c r="CQ57" s="233">
        <f t="shared" si="110"/>
        <v>0</v>
      </c>
      <c r="CR57" s="230">
        <v>13</v>
      </c>
      <c r="CS57" s="231">
        <v>1</v>
      </c>
      <c r="CT57" s="285">
        <v>6</v>
      </c>
      <c r="CU57" s="228">
        <f t="shared" si="111"/>
        <v>9.5</v>
      </c>
      <c r="CV57" s="229">
        <f t="shared" si="112"/>
        <v>0</v>
      </c>
      <c r="CW57" s="232">
        <f t="shared" si="113"/>
        <v>9.5</v>
      </c>
      <c r="CX57" s="233">
        <f t="shared" si="114"/>
        <v>0</v>
      </c>
      <c r="CY57" s="231">
        <v>6</v>
      </c>
      <c r="CZ57" s="285">
        <v>11</v>
      </c>
      <c r="DA57" s="234">
        <f t="shared" si="115"/>
        <v>11</v>
      </c>
      <c r="DB57" s="235">
        <f t="shared" si="116"/>
        <v>1</v>
      </c>
      <c r="DC57" s="232">
        <f t="shared" si="117"/>
        <v>11</v>
      </c>
      <c r="DD57" s="233">
        <f t="shared" si="118"/>
        <v>1</v>
      </c>
      <c r="DE57" s="65">
        <f t="shared" si="119"/>
        <v>8.6041666666666661</v>
      </c>
      <c r="DF57" s="66">
        <f t="shared" si="120"/>
        <v>17</v>
      </c>
      <c r="DG57" s="31">
        <f t="shared" si="60"/>
        <v>10.008928571428571</v>
      </c>
      <c r="DH57" s="32">
        <f t="shared" si="61"/>
        <v>30</v>
      </c>
      <c r="DI57" s="33">
        <f t="shared" si="62"/>
        <v>8.6041666666666661</v>
      </c>
      <c r="DJ57" s="34">
        <f t="shared" si="63"/>
        <v>17</v>
      </c>
      <c r="DK57" s="67">
        <f t="shared" si="64"/>
        <v>9.3065476190476186</v>
      </c>
      <c r="DL57" s="35">
        <f t="shared" si="65"/>
        <v>47</v>
      </c>
      <c r="DM57" s="59">
        <f t="shared" si="66"/>
        <v>78</v>
      </c>
      <c r="DN57" s="43" t="str">
        <f t="shared" si="122"/>
        <v>راسب(ة)</v>
      </c>
      <c r="DO57" s="44"/>
      <c r="DP57" s="50"/>
      <c r="DQ57" s="46"/>
    </row>
    <row r="58" spans="1:121" s="37" customFormat="1" ht="32.25" customHeight="1" thickBot="1">
      <c r="A58" s="49"/>
      <c r="B58" s="1">
        <f t="shared" si="121"/>
        <v>5</v>
      </c>
      <c r="C58" s="249" t="s">
        <v>180</v>
      </c>
      <c r="D58" s="249" t="s">
        <v>181</v>
      </c>
      <c r="E58" s="47" t="s">
        <v>360</v>
      </c>
      <c r="F58" s="135">
        <v>34192</v>
      </c>
      <c r="G58" s="136" t="s">
        <v>110</v>
      </c>
      <c r="H58" s="131">
        <v>9.6300000000000008</v>
      </c>
      <c r="I58" s="132">
        <v>21</v>
      </c>
      <c r="J58" s="133">
        <v>6.58</v>
      </c>
      <c r="K58" s="134">
        <v>10</v>
      </c>
      <c r="L58" s="53">
        <f t="shared" si="67"/>
        <v>8.1050000000000004</v>
      </c>
      <c r="M58" s="58">
        <f t="shared" si="68"/>
        <v>31</v>
      </c>
      <c r="N58" s="222">
        <v>13</v>
      </c>
      <c r="O58" s="223">
        <v>7</v>
      </c>
      <c r="P58" s="140"/>
      <c r="Q58" s="228">
        <f t="shared" si="69"/>
        <v>10</v>
      </c>
      <c r="R58" s="229">
        <f t="shared" si="70"/>
        <v>5</v>
      </c>
      <c r="S58" s="241">
        <v>10</v>
      </c>
      <c r="T58" s="242">
        <v>4</v>
      </c>
      <c r="U58" s="285"/>
      <c r="V58" s="228">
        <f t="shared" si="71"/>
        <v>7</v>
      </c>
      <c r="W58" s="229">
        <f t="shared" si="72"/>
        <v>0</v>
      </c>
      <c r="X58" s="241">
        <v>6</v>
      </c>
      <c r="Y58" s="242">
        <v>2</v>
      </c>
      <c r="Z58" s="285"/>
      <c r="AA58" s="228">
        <f t="shared" si="73"/>
        <v>4</v>
      </c>
      <c r="AB58" s="229">
        <f t="shared" si="74"/>
        <v>0</v>
      </c>
      <c r="AC58" s="232">
        <f t="shared" si="75"/>
        <v>7</v>
      </c>
      <c r="AD58" s="233">
        <f t="shared" si="76"/>
        <v>5</v>
      </c>
      <c r="AE58" s="242">
        <v>6</v>
      </c>
      <c r="AF58" s="285">
        <v>15</v>
      </c>
      <c r="AG58" s="234">
        <f t="shared" si="77"/>
        <v>15</v>
      </c>
      <c r="AH58" s="235">
        <f t="shared" si="78"/>
        <v>1</v>
      </c>
      <c r="AI58" s="241">
        <v>3.5</v>
      </c>
      <c r="AJ58" s="242">
        <v>0</v>
      </c>
      <c r="AK58" s="285">
        <v>3.5</v>
      </c>
      <c r="AL58" s="228">
        <f t="shared" si="79"/>
        <v>3.5</v>
      </c>
      <c r="AM58" s="229">
        <f t="shared" si="80"/>
        <v>0</v>
      </c>
      <c r="AN58" s="241">
        <v>8</v>
      </c>
      <c r="AO58" s="242">
        <v>0</v>
      </c>
      <c r="AP58" s="285"/>
      <c r="AQ58" s="228">
        <f t="shared" si="81"/>
        <v>4</v>
      </c>
      <c r="AR58" s="229">
        <f t="shared" si="82"/>
        <v>0</v>
      </c>
      <c r="AS58" s="236">
        <f t="shared" si="83"/>
        <v>6</v>
      </c>
      <c r="AT58" s="237">
        <f t="shared" si="84"/>
        <v>1</v>
      </c>
      <c r="AU58" s="241">
        <v>1</v>
      </c>
      <c r="AV58" s="242">
        <v>0</v>
      </c>
      <c r="AW58" s="285">
        <v>6</v>
      </c>
      <c r="AX58" s="228">
        <f t="shared" si="85"/>
        <v>3.5</v>
      </c>
      <c r="AY58" s="229">
        <f t="shared" si="86"/>
        <v>0</v>
      </c>
      <c r="AZ58" s="242">
        <v>10.5</v>
      </c>
      <c r="BA58" s="285"/>
      <c r="BB58" s="234">
        <f t="shared" si="87"/>
        <v>10.5</v>
      </c>
      <c r="BC58" s="235">
        <f t="shared" si="88"/>
        <v>1</v>
      </c>
      <c r="BD58" s="236">
        <f t="shared" si="89"/>
        <v>7</v>
      </c>
      <c r="BE58" s="237">
        <f t="shared" si="90"/>
        <v>1</v>
      </c>
      <c r="BF58" s="241">
        <v>9</v>
      </c>
      <c r="BG58" s="242">
        <v>8.75</v>
      </c>
      <c r="BH58" s="285">
        <v>12</v>
      </c>
      <c r="BI58" s="228">
        <f t="shared" si="91"/>
        <v>10.5</v>
      </c>
      <c r="BJ58" s="229">
        <f t="shared" si="92"/>
        <v>1</v>
      </c>
      <c r="BK58" s="236">
        <f t="shared" si="93"/>
        <v>10.5</v>
      </c>
      <c r="BL58" s="237">
        <f t="shared" si="94"/>
        <v>1</v>
      </c>
      <c r="BM58" s="239">
        <f t="shared" si="95"/>
        <v>6.8928571428571432</v>
      </c>
      <c r="BN58" s="240">
        <f t="shared" si="96"/>
        <v>8</v>
      </c>
      <c r="BO58" s="271">
        <v>7</v>
      </c>
      <c r="BP58" s="272">
        <v>5</v>
      </c>
      <c r="BQ58" s="140"/>
      <c r="BR58" s="228">
        <f t="shared" si="97"/>
        <v>6</v>
      </c>
      <c r="BS58" s="229">
        <f t="shared" si="98"/>
        <v>0</v>
      </c>
      <c r="BT58" s="241">
        <v>9</v>
      </c>
      <c r="BU58" s="242">
        <v>15</v>
      </c>
      <c r="BV58" s="285"/>
      <c r="BW58" s="228">
        <f t="shared" si="99"/>
        <v>12</v>
      </c>
      <c r="BX58" s="229">
        <f t="shared" si="100"/>
        <v>6</v>
      </c>
      <c r="BY58" s="282"/>
      <c r="BZ58" s="283"/>
      <c r="CA58" s="285"/>
      <c r="CB58" s="228">
        <f t="shared" si="101"/>
        <v>0</v>
      </c>
      <c r="CC58" s="229">
        <f t="shared" si="102"/>
        <v>0</v>
      </c>
      <c r="CD58" s="297">
        <f t="shared" si="103"/>
        <v>7.2</v>
      </c>
      <c r="CE58" s="233">
        <f t="shared" si="104"/>
        <v>6</v>
      </c>
      <c r="CF58" s="241">
        <v>0</v>
      </c>
      <c r="CG58" s="242">
        <v>8</v>
      </c>
      <c r="CH58" s="285"/>
      <c r="CI58" s="228">
        <f t="shared" si="105"/>
        <v>4</v>
      </c>
      <c r="CJ58" s="229">
        <f t="shared" si="106"/>
        <v>0</v>
      </c>
      <c r="CK58" s="230">
        <v>8</v>
      </c>
      <c r="CL58" s="231">
        <v>0</v>
      </c>
      <c r="CM58" s="285"/>
      <c r="CN58" s="228">
        <f t="shared" si="107"/>
        <v>4</v>
      </c>
      <c r="CO58" s="229">
        <f t="shared" si="108"/>
        <v>0</v>
      </c>
      <c r="CP58" s="232">
        <f t="shared" si="109"/>
        <v>4</v>
      </c>
      <c r="CQ58" s="233">
        <f t="shared" si="110"/>
        <v>0</v>
      </c>
      <c r="CR58" s="230">
        <v>13</v>
      </c>
      <c r="CS58" s="231">
        <v>0</v>
      </c>
      <c r="CT58" s="285"/>
      <c r="CU58" s="228">
        <f t="shared" si="111"/>
        <v>6.5</v>
      </c>
      <c r="CV58" s="229">
        <f t="shared" si="112"/>
        <v>0</v>
      </c>
      <c r="CW58" s="232">
        <f t="shared" si="113"/>
        <v>6.5</v>
      </c>
      <c r="CX58" s="233">
        <f t="shared" si="114"/>
        <v>0</v>
      </c>
      <c r="CY58" s="231">
        <v>10</v>
      </c>
      <c r="CZ58" s="285"/>
      <c r="DA58" s="234">
        <f t="shared" si="115"/>
        <v>10</v>
      </c>
      <c r="DB58" s="235">
        <f t="shared" si="116"/>
        <v>1</v>
      </c>
      <c r="DC58" s="232">
        <f t="shared" si="117"/>
        <v>10</v>
      </c>
      <c r="DD58" s="233">
        <f t="shared" si="118"/>
        <v>1</v>
      </c>
      <c r="DE58" s="65">
        <f t="shared" si="119"/>
        <v>6.25</v>
      </c>
      <c r="DF58" s="66">
        <f t="shared" si="120"/>
        <v>7</v>
      </c>
      <c r="DG58" s="31">
        <f t="shared" si="60"/>
        <v>6.8928571428571432</v>
      </c>
      <c r="DH58" s="32">
        <f t="shared" si="61"/>
        <v>8</v>
      </c>
      <c r="DI58" s="33">
        <f t="shared" si="62"/>
        <v>6.25</v>
      </c>
      <c r="DJ58" s="34">
        <f t="shared" si="63"/>
        <v>7</v>
      </c>
      <c r="DK58" s="67">
        <f t="shared" si="64"/>
        <v>6.5714285714285712</v>
      </c>
      <c r="DL58" s="35">
        <f t="shared" si="65"/>
        <v>15</v>
      </c>
      <c r="DM58" s="59">
        <f t="shared" si="66"/>
        <v>46</v>
      </c>
      <c r="DN58" s="43" t="str">
        <f t="shared" si="122"/>
        <v>راسب(ة)</v>
      </c>
      <c r="DO58" s="44"/>
      <c r="DP58" s="50"/>
      <c r="DQ58" s="46"/>
    </row>
    <row r="59" spans="1:121" s="37" customFormat="1" ht="32.25" customHeight="1" thickBot="1">
      <c r="A59" s="49"/>
      <c r="B59" s="1">
        <f t="shared" si="121"/>
        <v>6</v>
      </c>
      <c r="C59" s="249" t="s">
        <v>182</v>
      </c>
      <c r="D59" s="249" t="s">
        <v>183</v>
      </c>
      <c r="E59" s="47" t="s">
        <v>361</v>
      </c>
      <c r="F59" s="135">
        <v>34993</v>
      </c>
      <c r="G59" s="136" t="s">
        <v>110</v>
      </c>
      <c r="H59" s="131">
        <v>7.41</v>
      </c>
      <c r="I59" s="132">
        <v>12</v>
      </c>
      <c r="J59" s="133">
        <v>8.3000000000000007</v>
      </c>
      <c r="K59" s="134">
        <v>22</v>
      </c>
      <c r="L59" s="53">
        <f t="shared" si="67"/>
        <v>7.8550000000000004</v>
      </c>
      <c r="M59" s="58">
        <f t="shared" si="68"/>
        <v>34</v>
      </c>
      <c r="N59" s="222">
        <v>13</v>
      </c>
      <c r="O59" s="223">
        <v>12</v>
      </c>
      <c r="P59" s="140"/>
      <c r="Q59" s="228">
        <f t="shared" si="69"/>
        <v>12.5</v>
      </c>
      <c r="R59" s="229">
        <f t="shared" si="70"/>
        <v>5</v>
      </c>
      <c r="S59" s="241">
        <v>14.5</v>
      </c>
      <c r="T59" s="242">
        <v>7.5</v>
      </c>
      <c r="U59" s="285"/>
      <c r="V59" s="228">
        <f t="shared" si="71"/>
        <v>11</v>
      </c>
      <c r="W59" s="229">
        <f t="shared" si="72"/>
        <v>6</v>
      </c>
      <c r="X59" s="241">
        <v>14</v>
      </c>
      <c r="Y59" s="242">
        <v>10.5</v>
      </c>
      <c r="Z59" s="285"/>
      <c r="AA59" s="228">
        <f t="shared" si="73"/>
        <v>12.25</v>
      </c>
      <c r="AB59" s="229">
        <f t="shared" si="74"/>
        <v>6</v>
      </c>
      <c r="AC59" s="232">
        <f t="shared" si="75"/>
        <v>11.916666666666666</v>
      </c>
      <c r="AD59" s="233">
        <f t="shared" si="76"/>
        <v>17</v>
      </c>
      <c r="AE59" s="242">
        <v>11</v>
      </c>
      <c r="AF59" s="285"/>
      <c r="AG59" s="234">
        <f t="shared" si="77"/>
        <v>11</v>
      </c>
      <c r="AH59" s="235">
        <f t="shared" si="78"/>
        <v>1</v>
      </c>
      <c r="AI59" s="241">
        <v>12.5</v>
      </c>
      <c r="AJ59" s="242">
        <v>4.25</v>
      </c>
      <c r="AK59" s="285">
        <v>12.5</v>
      </c>
      <c r="AL59" s="228">
        <f t="shared" si="79"/>
        <v>12.5</v>
      </c>
      <c r="AM59" s="229">
        <f t="shared" si="80"/>
        <v>3</v>
      </c>
      <c r="AN59" s="241">
        <v>9</v>
      </c>
      <c r="AO59" s="242">
        <v>0.5</v>
      </c>
      <c r="AP59" s="285"/>
      <c r="AQ59" s="228">
        <f t="shared" si="81"/>
        <v>4.75</v>
      </c>
      <c r="AR59" s="229">
        <f t="shared" si="82"/>
        <v>0</v>
      </c>
      <c r="AS59" s="236">
        <f t="shared" si="83"/>
        <v>9.1</v>
      </c>
      <c r="AT59" s="237">
        <f t="shared" si="84"/>
        <v>4</v>
      </c>
      <c r="AU59" s="241">
        <v>9</v>
      </c>
      <c r="AV59" s="242">
        <v>5</v>
      </c>
      <c r="AW59" s="285">
        <v>8</v>
      </c>
      <c r="AX59" s="228">
        <f t="shared" si="85"/>
        <v>8.5</v>
      </c>
      <c r="AY59" s="229">
        <f t="shared" si="86"/>
        <v>0</v>
      </c>
      <c r="AZ59" s="242">
        <v>5</v>
      </c>
      <c r="BA59" s="285">
        <v>11.5</v>
      </c>
      <c r="BB59" s="234">
        <f t="shared" si="87"/>
        <v>11.5</v>
      </c>
      <c r="BC59" s="235">
        <f t="shared" si="88"/>
        <v>1</v>
      </c>
      <c r="BD59" s="236">
        <f t="shared" si="89"/>
        <v>10</v>
      </c>
      <c r="BE59" s="237">
        <f t="shared" si="90"/>
        <v>5</v>
      </c>
      <c r="BF59" s="241">
        <v>14.75</v>
      </c>
      <c r="BG59" s="242">
        <v>8.25</v>
      </c>
      <c r="BH59" s="285"/>
      <c r="BI59" s="228">
        <f t="shared" si="91"/>
        <v>11.5</v>
      </c>
      <c r="BJ59" s="229">
        <f t="shared" si="92"/>
        <v>1</v>
      </c>
      <c r="BK59" s="236">
        <f t="shared" si="93"/>
        <v>11.5</v>
      </c>
      <c r="BL59" s="237">
        <f t="shared" si="94"/>
        <v>1</v>
      </c>
      <c r="BM59" s="239">
        <f t="shared" si="95"/>
        <v>10.607142857142858</v>
      </c>
      <c r="BN59" s="240">
        <f t="shared" si="96"/>
        <v>30</v>
      </c>
      <c r="BO59" s="271">
        <v>12.5</v>
      </c>
      <c r="BP59" s="272">
        <v>4.5</v>
      </c>
      <c r="BQ59" s="140"/>
      <c r="BR59" s="228">
        <f t="shared" si="97"/>
        <v>8.5</v>
      </c>
      <c r="BS59" s="229">
        <f t="shared" si="98"/>
        <v>0</v>
      </c>
      <c r="BT59" s="241">
        <v>13</v>
      </c>
      <c r="BU59" s="242">
        <v>17.5</v>
      </c>
      <c r="BV59" s="285"/>
      <c r="BW59" s="228">
        <f t="shared" si="99"/>
        <v>15.25</v>
      </c>
      <c r="BX59" s="229">
        <f t="shared" si="100"/>
        <v>6</v>
      </c>
      <c r="BY59" s="241">
        <v>3</v>
      </c>
      <c r="BZ59" s="242">
        <v>2</v>
      </c>
      <c r="CA59" s="285"/>
      <c r="CB59" s="228">
        <f t="shared" si="101"/>
        <v>2.5</v>
      </c>
      <c r="CC59" s="229">
        <f t="shared" si="102"/>
        <v>0</v>
      </c>
      <c r="CD59" s="297">
        <f t="shared" si="103"/>
        <v>10</v>
      </c>
      <c r="CE59" s="233">
        <f t="shared" si="104"/>
        <v>16</v>
      </c>
      <c r="CF59" s="241">
        <v>8</v>
      </c>
      <c r="CG59" s="242"/>
      <c r="CH59" s="285">
        <v>9.75</v>
      </c>
      <c r="CI59" s="228">
        <f t="shared" si="105"/>
        <v>8.875</v>
      </c>
      <c r="CJ59" s="229">
        <f t="shared" si="106"/>
        <v>0</v>
      </c>
      <c r="CK59" s="230">
        <v>11</v>
      </c>
      <c r="CL59" s="231">
        <v>2.5</v>
      </c>
      <c r="CM59" s="285">
        <v>8.75</v>
      </c>
      <c r="CN59" s="228">
        <f t="shared" si="107"/>
        <v>9.875</v>
      </c>
      <c r="CO59" s="229">
        <f t="shared" si="108"/>
        <v>0</v>
      </c>
      <c r="CP59" s="232">
        <f t="shared" si="109"/>
        <v>9.375</v>
      </c>
      <c r="CQ59" s="233">
        <f t="shared" si="110"/>
        <v>0</v>
      </c>
      <c r="CR59" s="230">
        <v>13</v>
      </c>
      <c r="CS59" s="231">
        <v>2.5</v>
      </c>
      <c r="CT59" s="285"/>
      <c r="CU59" s="228">
        <f t="shared" si="111"/>
        <v>7.75</v>
      </c>
      <c r="CV59" s="229">
        <f t="shared" si="112"/>
        <v>0</v>
      </c>
      <c r="CW59" s="232">
        <f t="shared" si="113"/>
        <v>7.75</v>
      </c>
      <c r="CX59" s="233">
        <f t="shared" si="114"/>
        <v>0</v>
      </c>
      <c r="CY59" s="231">
        <v>10</v>
      </c>
      <c r="CZ59" s="285"/>
      <c r="DA59" s="234">
        <f t="shared" si="115"/>
        <v>10</v>
      </c>
      <c r="DB59" s="235">
        <f t="shared" si="116"/>
        <v>1</v>
      </c>
      <c r="DC59" s="232">
        <f t="shared" si="117"/>
        <v>10</v>
      </c>
      <c r="DD59" s="233">
        <f t="shared" si="118"/>
        <v>1</v>
      </c>
      <c r="DE59" s="65">
        <f t="shared" si="119"/>
        <v>9.4166666666666661</v>
      </c>
      <c r="DF59" s="66">
        <f t="shared" si="120"/>
        <v>17</v>
      </c>
      <c r="DG59" s="31">
        <f t="shared" si="60"/>
        <v>10.607142857142858</v>
      </c>
      <c r="DH59" s="32">
        <f t="shared" si="61"/>
        <v>30</v>
      </c>
      <c r="DI59" s="33">
        <f t="shared" si="62"/>
        <v>9.4166666666666661</v>
      </c>
      <c r="DJ59" s="34">
        <f t="shared" si="63"/>
        <v>30</v>
      </c>
      <c r="DK59" s="67">
        <f t="shared" si="64"/>
        <v>10.011904761904763</v>
      </c>
      <c r="DL59" s="35">
        <f t="shared" si="65"/>
        <v>60</v>
      </c>
      <c r="DM59" s="59">
        <f t="shared" si="66"/>
        <v>94</v>
      </c>
      <c r="DN59" s="43" t="str">
        <f t="shared" si="122"/>
        <v>ناجح(ة)بتأخير</v>
      </c>
      <c r="DO59" s="44"/>
      <c r="DP59" s="50"/>
      <c r="DQ59" s="46"/>
    </row>
    <row r="60" spans="1:121" s="37" customFormat="1" ht="32.25" customHeight="1" thickBot="1">
      <c r="A60" s="49"/>
      <c r="B60" s="1">
        <f t="shared" si="121"/>
        <v>7</v>
      </c>
      <c r="C60" s="249" t="s">
        <v>184</v>
      </c>
      <c r="D60" s="249" t="s">
        <v>185</v>
      </c>
      <c r="E60" s="47" t="s">
        <v>362</v>
      </c>
      <c r="F60" s="135">
        <v>33850</v>
      </c>
      <c r="G60" s="136" t="s">
        <v>415</v>
      </c>
      <c r="H60" s="131">
        <v>9.2200000000000006</v>
      </c>
      <c r="I60" s="132">
        <v>25</v>
      </c>
      <c r="J60" s="133">
        <v>5.82</v>
      </c>
      <c r="K60" s="134">
        <v>10</v>
      </c>
      <c r="L60" s="53">
        <f t="shared" si="67"/>
        <v>7.5200000000000005</v>
      </c>
      <c r="M60" s="58">
        <f t="shared" si="68"/>
        <v>35</v>
      </c>
      <c r="N60" s="224"/>
      <c r="O60" s="225"/>
      <c r="P60" s="140"/>
      <c r="Q60" s="228">
        <f t="shared" si="69"/>
        <v>0</v>
      </c>
      <c r="R60" s="229">
        <f t="shared" si="70"/>
        <v>0</v>
      </c>
      <c r="S60" s="247"/>
      <c r="T60" s="248"/>
      <c r="U60" s="285"/>
      <c r="V60" s="228">
        <f t="shared" si="71"/>
        <v>0</v>
      </c>
      <c r="W60" s="229">
        <f t="shared" si="72"/>
        <v>0</v>
      </c>
      <c r="X60" s="241">
        <v>0</v>
      </c>
      <c r="Y60" s="242">
        <v>0</v>
      </c>
      <c r="Z60" s="285"/>
      <c r="AA60" s="228">
        <f t="shared" si="73"/>
        <v>0</v>
      </c>
      <c r="AB60" s="229">
        <f t="shared" si="74"/>
        <v>0</v>
      </c>
      <c r="AC60" s="232">
        <f t="shared" si="75"/>
        <v>0</v>
      </c>
      <c r="AD60" s="233">
        <f t="shared" si="76"/>
        <v>0</v>
      </c>
      <c r="AE60" s="248"/>
      <c r="AF60" s="285"/>
      <c r="AG60" s="234">
        <f t="shared" si="77"/>
        <v>0</v>
      </c>
      <c r="AH60" s="235">
        <f t="shared" si="78"/>
        <v>0</v>
      </c>
      <c r="AI60" s="247"/>
      <c r="AJ60" s="248"/>
      <c r="AK60" s="285"/>
      <c r="AL60" s="228">
        <f t="shared" si="79"/>
        <v>0</v>
      </c>
      <c r="AM60" s="229">
        <f t="shared" si="80"/>
        <v>0</v>
      </c>
      <c r="AN60" s="247"/>
      <c r="AO60" s="248"/>
      <c r="AP60" s="285"/>
      <c r="AQ60" s="228">
        <f t="shared" si="81"/>
        <v>0</v>
      </c>
      <c r="AR60" s="229">
        <f t="shared" si="82"/>
        <v>0</v>
      </c>
      <c r="AS60" s="236">
        <f t="shared" si="83"/>
        <v>0</v>
      </c>
      <c r="AT60" s="237">
        <f t="shared" si="84"/>
        <v>0</v>
      </c>
      <c r="AU60" s="247"/>
      <c r="AV60" s="248"/>
      <c r="AW60" s="285"/>
      <c r="AX60" s="228">
        <f t="shared" si="85"/>
        <v>0</v>
      </c>
      <c r="AY60" s="229">
        <f t="shared" si="86"/>
        <v>0</v>
      </c>
      <c r="AZ60" s="248"/>
      <c r="BA60" s="285"/>
      <c r="BB60" s="234">
        <f t="shared" si="87"/>
        <v>0</v>
      </c>
      <c r="BC60" s="235">
        <f t="shared" si="88"/>
        <v>0</v>
      </c>
      <c r="BD60" s="236">
        <f t="shared" si="89"/>
        <v>0</v>
      </c>
      <c r="BE60" s="237">
        <f t="shared" si="90"/>
        <v>0</v>
      </c>
      <c r="BF60" s="247"/>
      <c r="BG60" s="248"/>
      <c r="BH60" s="285"/>
      <c r="BI60" s="228">
        <f t="shared" si="91"/>
        <v>0</v>
      </c>
      <c r="BJ60" s="229">
        <f t="shared" si="92"/>
        <v>0</v>
      </c>
      <c r="BK60" s="236">
        <f t="shared" si="93"/>
        <v>0</v>
      </c>
      <c r="BL60" s="237">
        <f t="shared" si="94"/>
        <v>0</v>
      </c>
      <c r="BM60" s="239">
        <f t="shared" si="95"/>
        <v>0</v>
      </c>
      <c r="BN60" s="240">
        <f t="shared" si="96"/>
        <v>0</v>
      </c>
      <c r="BO60" s="273"/>
      <c r="BP60" s="274"/>
      <c r="BQ60" s="140"/>
      <c r="BR60" s="228">
        <f t="shared" si="97"/>
        <v>0</v>
      </c>
      <c r="BS60" s="229">
        <f t="shared" si="98"/>
        <v>0</v>
      </c>
      <c r="BT60" s="282"/>
      <c r="BU60" s="283"/>
      <c r="BV60" s="285"/>
      <c r="BW60" s="228">
        <f t="shared" si="99"/>
        <v>0</v>
      </c>
      <c r="BX60" s="229">
        <f t="shared" si="100"/>
        <v>0</v>
      </c>
      <c r="BY60" s="282"/>
      <c r="BZ60" s="283"/>
      <c r="CA60" s="285"/>
      <c r="CB60" s="228">
        <f t="shared" si="101"/>
        <v>0</v>
      </c>
      <c r="CC60" s="229">
        <f t="shared" si="102"/>
        <v>0</v>
      </c>
      <c r="CD60" s="297">
        <f t="shared" si="103"/>
        <v>0</v>
      </c>
      <c r="CE60" s="233">
        <f t="shared" si="104"/>
        <v>0</v>
      </c>
      <c r="CF60" s="282">
        <v>0</v>
      </c>
      <c r="CG60" s="283"/>
      <c r="CH60" s="285"/>
      <c r="CI60" s="228">
        <f t="shared" si="105"/>
        <v>0</v>
      </c>
      <c r="CJ60" s="229">
        <f t="shared" si="106"/>
        <v>0</v>
      </c>
      <c r="CK60" s="230"/>
      <c r="CL60" s="231"/>
      <c r="CM60" s="285"/>
      <c r="CN60" s="228">
        <f t="shared" si="107"/>
        <v>0</v>
      </c>
      <c r="CO60" s="229">
        <f t="shared" si="108"/>
        <v>0</v>
      </c>
      <c r="CP60" s="232">
        <f t="shared" si="109"/>
        <v>0</v>
      </c>
      <c r="CQ60" s="233">
        <f t="shared" si="110"/>
        <v>0</v>
      </c>
      <c r="CR60" s="230"/>
      <c r="CS60" s="231"/>
      <c r="CT60" s="285"/>
      <c r="CU60" s="228">
        <f t="shared" si="111"/>
        <v>0</v>
      </c>
      <c r="CV60" s="229">
        <f t="shared" si="112"/>
        <v>0</v>
      </c>
      <c r="CW60" s="232">
        <f t="shared" si="113"/>
        <v>0</v>
      </c>
      <c r="CX60" s="233">
        <f t="shared" si="114"/>
        <v>0</v>
      </c>
      <c r="CY60" s="231"/>
      <c r="CZ60" s="285"/>
      <c r="DA60" s="234">
        <f t="shared" si="115"/>
        <v>0</v>
      </c>
      <c r="DB60" s="235">
        <f t="shared" si="116"/>
        <v>0</v>
      </c>
      <c r="DC60" s="232">
        <f t="shared" si="117"/>
        <v>0</v>
      </c>
      <c r="DD60" s="233">
        <f t="shared" si="118"/>
        <v>0</v>
      </c>
      <c r="DE60" s="65">
        <f t="shared" si="119"/>
        <v>0</v>
      </c>
      <c r="DF60" s="66">
        <f t="shared" si="120"/>
        <v>0</v>
      </c>
      <c r="DG60" s="31">
        <f t="shared" si="60"/>
        <v>0</v>
      </c>
      <c r="DH60" s="32">
        <f t="shared" si="61"/>
        <v>0</v>
      </c>
      <c r="DI60" s="33">
        <f t="shared" si="62"/>
        <v>0</v>
      </c>
      <c r="DJ60" s="34">
        <f t="shared" si="63"/>
        <v>0</v>
      </c>
      <c r="DK60" s="67">
        <f t="shared" si="64"/>
        <v>0</v>
      </c>
      <c r="DL60" s="35">
        <f t="shared" si="65"/>
        <v>0</v>
      </c>
      <c r="DM60" s="59">
        <f t="shared" si="66"/>
        <v>35</v>
      </c>
      <c r="DN60" s="43" t="s">
        <v>509</v>
      </c>
      <c r="DO60" s="44"/>
      <c r="DP60" s="50"/>
      <c r="DQ60" s="46"/>
    </row>
    <row r="61" spans="1:121" s="37" customFormat="1" ht="32.25" customHeight="1" thickBot="1">
      <c r="A61" s="49"/>
      <c r="B61" s="1">
        <f t="shared" si="121"/>
        <v>8</v>
      </c>
      <c r="C61" s="249" t="s">
        <v>514</v>
      </c>
      <c r="D61" s="249" t="s">
        <v>186</v>
      </c>
      <c r="E61" s="137" t="s">
        <v>363</v>
      </c>
      <c r="F61" s="135">
        <v>35115</v>
      </c>
      <c r="G61" s="136" t="s">
        <v>110</v>
      </c>
      <c r="H61" s="131">
        <v>8.9499999999999993</v>
      </c>
      <c r="I61" s="132">
        <v>21</v>
      </c>
      <c r="J61" s="133">
        <v>6.72</v>
      </c>
      <c r="K61" s="134">
        <v>11</v>
      </c>
      <c r="L61" s="53">
        <f t="shared" si="67"/>
        <v>7.8349999999999991</v>
      </c>
      <c r="M61" s="58">
        <f t="shared" si="68"/>
        <v>32</v>
      </c>
      <c r="N61" s="224"/>
      <c r="O61" s="225"/>
      <c r="P61" s="140"/>
      <c r="Q61" s="228">
        <f t="shared" si="69"/>
        <v>0</v>
      </c>
      <c r="R61" s="229">
        <f t="shared" si="70"/>
        <v>0</v>
      </c>
      <c r="S61" s="247"/>
      <c r="T61" s="248"/>
      <c r="U61" s="285"/>
      <c r="V61" s="228">
        <f t="shared" si="71"/>
        <v>0</v>
      </c>
      <c r="W61" s="229">
        <f t="shared" si="72"/>
        <v>0</v>
      </c>
      <c r="X61" s="241">
        <v>0</v>
      </c>
      <c r="Y61" s="242">
        <v>0</v>
      </c>
      <c r="Z61" s="285"/>
      <c r="AA61" s="228">
        <f t="shared" si="73"/>
        <v>0</v>
      </c>
      <c r="AB61" s="229">
        <f t="shared" si="74"/>
        <v>0</v>
      </c>
      <c r="AC61" s="232">
        <f t="shared" si="75"/>
        <v>0</v>
      </c>
      <c r="AD61" s="233">
        <f t="shared" si="76"/>
        <v>0</v>
      </c>
      <c r="AE61" s="248"/>
      <c r="AF61" s="285"/>
      <c r="AG61" s="234">
        <f t="shared" si="77"/>
        <v>0</v>
      </c>
      <c r="AH61" s="235">
        <f t="shared" si="78"/>
        <v>0</v>
      </c>
      <c r="AI61" s="247"/>
      <c r="AJ61" s="248"/>
      <c r="AK61" s="285"/>
      <c r="AL61" s="228">
        <f t="shared" si="79"/>
        <v>0</v>
      </c>
      <c r="AM61" s="229">
        <f t="shared" si="80"/>
        <v>0</v>
      </c>
      <c r="AN61" s="247"/>
      <c r="AO61" s="248"/>
      <c r="AP61" s="285"/>
      <c r="AQ61" s="228">
        <f t="shared" si="81"/>
        <v>0</v>
      </c>
      <c r="AR61" s="229">
        <f t="shared" si="82"/>
        <v>0</v>
      </c>
      <c r="AS61" s="236">
        <f t="shared" si="83"/>
        <v>0</v>
      </c>
      <c r="AT61" s="237">
        <f t="shared" si="84"/>
        <v>0</v>
      </c>
      <c r="AU61" s="247"/>
      <c r="AV61" s="248"/>
      <c r="AW61" s="285"/>
      <c r="AX61" s="228">
        <f t="shared" si="85"/>
        <v>0</v>
      </c>
      <c r="AY61" s="229">
        <f t="shared" si="86"/>
        <v>0</v>
      </c>
      <c r="AZ61" s="248"/>
      <c r="BA61" s="285"/>
      <c r="BB61" s="234">
        <f t="shared" si="87"/>
        <v>0</v>
      </c>
      <c r="BC61" s="235">
        <f t="shared" si="88"/>
        <v>0</v>
      </c>
      <c r="BD61" s="236">
        <f t="shared" si="89"/>
        <v>0</v>
      </c>
      <c r="BE61" s="237">
        <f t="shared" si="90"/>
        <v>0</v>
      </c>
      <c r="BF61" s="247"/>
      <c r="BG61" s="248"/>
      <c r="BH61" s="285"/>
      <c r="BI61" s="228">
        <f t="shared" si="91"/>
        <v>0</v>
      </c>
      <c r="BJ61" s="229">
        <f t="shared" si="92"/>
        <v>0</v>
      </c>
      <c r="BK61" s="236">
        <f t="shared" si="93"/>
        <v>0</v>
      </c>
      <c r="BL61" s="237">
        <f t="shared" si="94"/>
        <v>0</v>
      </c>
      <c r="BM61" s="239">
        <f t="shared" si="95"/>
        <v>0</v>
      </c>
      <c r="BN61" s="240">
        <f t="shared" si="96"/>
        <v>0</v>
      </c>
      <c r="BO61" s="273"/>
      <c r="BP61" s="274"/>
      <c r="BQ61" s="140"/>
      <c r="BR61" s="228">
        <f t="shared" si="97"/>
        <v>0</v>
      </c>
      <c r="BS61" s="229">
        <f t="shared" si="98"/>
        <v>0</v>
      </c>
      <c r="BT61" s="282"/>
      <c r="BU61" s="283"/>
      <c r="BV61" s="285"/>
      <c r="BW61" s="228">
        <f t="shared" si="99"/>
        <v>0</v>
      </c>
      <c r="BX61" s="229">
        <f t="shared" si="100"/>
        <v>0</v>
      </c>
      <c r="BY61" s="282"/>
      <c r="BZ61" s="283"/>
      <c r="CA61" s="285"/>
      <c r="CB61" s="228">
        <f t="shared" si="101"/>
        <v>0</v>
      </c>
      <c r="CC61" s="229">
        <f t="shared" si="102"/>
        <v>0</v>
      </c>
      <c r="CD61" s="297">
        <f t="shared" si="103"/>
        <v>0</v>
      </c>
      <c r="CE61" s="233">
        <f t="shared" si="104"/>
        <v>0</v>
      </c>
      <c r="CF61" s="282">
        <v>0</v>
      </c>
      <c r="CG61" s="283"/>
      <c r="CH61" s="285"/>
      <c r="CI61" s="228">
        <f t="shared" si="105"/>
        <v>0</v>
      </c>
      <c r="CJ61" s="229">
        <f t="shared" si="106"/>
        <v>0</v>
      </c>
      <c r="CK61" s="230"/>
      <c r="CL61" s="231"/>
      <c r="CM61" s="285"/>
      <c r="CN61" s="228">
        <f t="shared" si="107"/>
        <v>0</v>
      </c>
      <c r="CO61" s="229">
        <f t="shared" si="108"/>
        <v>0</v>
      </c>
      <c r="CP61" s="232">
        <f t="shared" si="109"/>
        <v>0</v>
      </c>
      <c r="CQ61" s="233">
        <f t="shared" si="110"/>
        <v>0</v>
      </c>
      <c r="CR61" s="230"/>
      <c r="CS61" s="231"/>
      <c r="CT61" s="285"/>
      <c r="CU61" s="228">
        <f t="shared" si="111"/>
        <v>0</v>
      </c>
      <c r="CV61" s="229">
        <f t="shared" si="112"/>
        <v>0</v>
      </c>
      <c r="CW61" s="232">
        <f t="shared" si="113"/>
        <v>0</v>
      </c>
      <c r="CX61" s="233">
        <f t="shared" si="114"/>
        <v>0</v>
      </c>
      <c r="CY61" s="231"/>
      <c r="CZ61" s="285"/>
      <c r="DA61" s="234">
        <f t="shared" si="115"/>
        <v>0</v>
      </c>
      <c r="DB61" s="235">
        <f t="shared" si="116"/>
        <v>0</v>
      </c>
      <c r="DC61" s="232">
        <f t="shared" si="117"/>
        <v>0</v>
      </c>
      <c r="DD61" s="233">
        <f t="shared" si="118"/>
        <v>0</v>
      </c>
      <c r="DE61" s="65">
        <f t="shared" si="119"/>
        <v>0</v>
      </c>
      <c r="DF61" s="66">
        <f t="shared" si="120"/>
        <v>0</v>
      </c>
      <c r="DG61" s="31">
        <f t="shared" si="60"/>
        <v>0</v>
      </c>
      <c r="DH61" s="32">
        <f t="shared" si="61"/>
        <v>0</v>
      </c>
      <c r="DI61" s="33">
        <f t="shared" si="62"/>
        <v>0</v>
      </c>
      <c r="DJ61" s="34">
        <f t="shared" si="63"/>
        <v>0</v>
      </c>
      <c r="DK61" s="67">
        <f t="shared" si="64"/>
        <v>0</v>
      </c>
      <c r="DL61" s="35">
        <f t="shared" si="65"/>
        <v>0</v>
      </c>
      <c r="DM61" s="59">
        <f t="shared" si="66"/>
        <v>32</v>
      </c>
      <c r="DN61" s="43" t="s">
        <v>504</v>
      </c>
      <c r="DO61" s="44"/>
      <c r="DP61" s="50"/>
      <c r="DQ61" s="46"/>
    </row>
    <row r="62" spans="1:121" s="37" customFormat="1" ht="32.25" customHeight="1" thickBot="1">
      <c r="A62" s="49"/>
      <c r="B62" s="1">
        <f t="shared" si="121"/>
        <v>9</v>
      </c>
      <c r="C62" s="249" t="s">
        <v>187</v>
      </c>
      <c r="D62" s="249" t="s">
        <v>188</v>
      </c>
      <c r="E62" s="47" t="s">
        <v>364</v>
      </c>
      <c r="F62" s="135">
        <v>34633</v>
      </c>
      <c r="G62" s="136" t="s">
        <v>416</v>
      </c>
      <c r="H62" s="131">
        <v>8.3800000000000008</v>
      </c>
      <c r="I62" s="132">
        <v>18</v>
      </c>
      <c r="J62" s="133">
        <v>8.2899999999999991</v>
      </c>
      <c r="K62" s="134">
        <v>16</v>
      </c>
      <c r="L62" s="53">
        <f t="shared" si="67"/>
        <v>8.3350000000000009</v>
      </c>
      <c r="M62" s="58">
        <f t="shared" si="68"/>
        <v>34</v>
      </c>
      <c r="N62" s="222">
        <v>13</v>
      </c>
      <c r="O62" s="223">
        <v>7</v>
      </c>
      <c r="P62" s="140"/>
      <c r="Q62" s="228">
        <f t="shared" si="69"/>
        <v>10</v>
      </c>
      <c r="R62" s="229">
        <f t="shared" si="70"/>
        <v>5</v>
      </c>
      <c r="S62" s="241">
        <v>10.5</v>
      </c>
      <c r="T62" s="242">
        <v>3</v>
      </c>
      <c r="U62" s="285"/>
      <c r="V62" s="228">
        <f t="shared" si="71"/>
        <v>6.75</v>
      </c>
      <c r="W62" s="229">
        <f t="shared" si="72"/>
        <v>0</v>
      </c>
      <c r="X62" s="241">
        <v>13.75</v>
      </c>
      <c r="Y62" s="242">
        <v>6.25</v>
      </c>
      <c r="Z62" s="285"/>
      <c r="AA62" s="228">
        <f t="shared" si="73"/>
        <v>10</v>
      </c>
      <c r="AB62" s="229">
        <f t="shared" si="74"/>
        <v>6</v>
      </c>
      <c r="AC62" s="232">
        <f t="shared" si="75"/>
        <v>8.9166666666666661</v>
      </c>
      <c r="AD62" s="233">
        <f t="shared" si="76"/>
        <v>11</v>
      </c>
      <c r="AE62" s="242">
        <v>6</v>
      </c>
      <c r="AF62" s="285"/>
      <c r="AG62" s="234">
        <f t="shared" si="77"/>
        <v>6</v>
      </c>
      <c r="AH62" s="235">
        <f t="shared" si="78"/>
        <v>0</v>
      </c>
      <c r="AI62" s="241">
        <v>15.5</v>
      </c>
      <c r="AJ62" s="242">
        <v>10.5</v>
      </c>
      <c r="AK62" s="285"/>
      <c r="AL62" s="228">
        <f t="shared" si="79"/>
        <v>13</v>
      </c>
      <c r="AM62" s="229">
        <f t="shared" si="80"/>
        <v>3</v>
      </c>
      <c r="AN62" s="241">
        <v>10</v>
      </c>
      <c r="AO62" s="242">
        <v>0</v>
      </c>
      <c r="AP62" s="285"/>
      <c r="AQ62" s="228">
        <f t="shared" si="81"/>
        <v>5</v>
      </c>
      <c r="AR62" s="229">
        <f t="shared" si="82"/>
        <v>0</v>
      </c>
      <c r="AS62" s="236">
        <f t="shared" si="83"/>
        <v>8.4</v>
      </c>
      <c r="AT62" s="237">
        <f t="shared" si="84"/>
        <v>3</v>
      </c>
      <c r="AU62" s="241">
        <v>9</v>
      </c>
      <c r="AV62" s="242">
        <v>6</v>
      </c>
      <c r="AW62" s="285"/>
      <c r="AX62" s="228">
        <f t="shared" si="85"/>
        <v>7.5</v>
      </c>
      <c r="AY62" s="229">
        <f t="shared" si="86"/>
        <v>0</v>
      </c>
      <c r="AZ62" s="242">
        <v>6</v>
      </c>
      <c r="BA62" s="285"/>
      <c r="BB62" s="234">
        <f t="shared" si="87"/>
        <v>6</v>
      </c>
      <c r="BC62" s="235">
        <f t="shared" si="88"/>
        <v>0</v>
      </c>
      <c r="BD62" s="236">
        <f t="shared" si="89"/>
        <v>6.75</v>
      </c>
      <c r="BE62" s="237">
        <f t="shared" si="90"/>
        <v>0</v>
      </c>
      <c r="BF62" s="241">
        <v>8.75</v>
      </c>
      <c r="BG62" s="242">
        <v>3.75</v>
      </c>
      <c r="BH62" s="285"/>
      <c r="BI62" s="228">
        <f t="shared" si="91"/>
        <v>6.25</v>
      </c>
      <c r="BJ62" s="229">
        <f t="shared" si="92"/>
        <v>0</v>
      </c>
      <c r="BK62" s="236">
        <f t="shared" si="93"/>
        <v>6.25</v>
      </c>
      <c r="BL62" s="237">
        <f t="shared" si="94"/>
        <v>0</v>
      </c>
      <c r="BM62" s="239">
        <f t="shared" si="95"/>
        <v>8.2321428571428577</v>
      </c>
      <c r="BN62" s="240">
        <f t="shared" si="96"/>
        <v>14</v>
      </c>
      <c r="BO62" s="277">
        <v>0</v>
      </c>
      <c r="BP62" s="278">
        <v>0</v>
      </c>
      <c r="BQ62" s="284"/>
      <c r="BR62" s="307">
        <f t="shared" si="97"/>
        <v>0</v>
      </c>
      <c r="BS62" s="229">
        <f t="shared" si="98"/>
        <v>0</v>
      </c>
      <c r="BT62" s="252">
        <v>0</v>
      </c>
      <c r="BU62" s="253">
        <v>0</v>
      </c>
      <c r="BV62" s="305"/>
      <c r="BW62" s="307">
        <f t="shared" si="99"/>
        <v>0</v>
      </c>
      <c r="BX62" s="306">
        <f t="shared" si="100"/>
        <v>0</v>
      </c>
      <c r="BY62" s="252">
        <v>0</v>
      </c>
      <c r="BZ62" s="253">
        <v>0</v>
      </c>
      <c r="CA62" s="305"/>
      <c r="CB62" s="307">
        <f t="shared" si="101"/>
        <v>0</v>
      </c>
      <c r="CC62" s="306">
        <f t="shared" si="102"/>
        <v>0</v>
      </c>
      <c r="CD62" s="308">
        <f t="shared" si="103"/>
        <v>0</v>
      </c>
      <c r="CE62" s="309">
        <f t="shared" si="104"/>
        <v>0</v>
      </c>
      <c r="CF62" s="252">
        <v>0</v>
      </c>
      <c r="CG62" s="253"/>
      <c r="CH62" s="305"/>
      <c r="CI62" s="307">
        <f t="shared" si="105"/>
        <v>0</v>
      </c>
      <c r="CJ62" s="306">
        <f t="shared" si="106"/>
        <v>0</v>
      </c>
      <c r="CK62" s="303">
        <v>0</v>
      </c>
      <c r="CL62" s="304">
        <v>0</v>
      </c>
      <c r="CM62" s="305"/>
      <c r="CN62" s="307">
        <f t="shared" si="107"/>
        <v>0</v>
      </c>
      <c r="CO62" s="306">
        <f t="shared" si="108"/>
        <v>0</v>
      </c>
      <c r="CP62" s="310">
        <v>0</v>
      </c>
      <c r="CQ62" s="309">
        <f t="shared" si="110"/>
        <v>0</v>
      </c>
      <c r="CR62" s="303">
        <v>0</v>
      </c>
      <c r="CS62" s="304">
        <v>0</v>
      </c>
      <c r="CT62" s="305"/>
      <c r="CU62" s="307">
        <f t="shared" si="111"/>
        <v>0</v>
      </c>
      <c r="CV62" s="306">
        <f t="shared" si="112"/>
        <v>0</v>
      </c>
      <c r="CW62" s="310">
        <f t="shared" si="113"/>
        <v>0</v>
      </c>
      <c r="CX62" s="309">
        <f t="shared" si="114"/>
        <v>0</v>
      </c>
      <c r="CY62" s="304">
        <v>0</v>
      </c>
      <c r="CZ62" s="305"/>
      <c r="DA62" s="311">
        <v>0</v>
      </c>
      <c r="DB62" s="312">
        <f t="shared" si="116"/>
        <v>0</v>
      </c>
      <c r="DC62" s="310">
        <f t="shared" si="117"/>
        <v>0</v>
      </c>
      <c r="DD62" s="309">
        <f t="shared" si="118"/>
        <v>0</v>
      </c>
      <c r="DE62" s="313">
        <f t="shared" si="119"/>
        <v>0</v>
      </c>
      <c r="DF62" s="314">
        <f t="shared" si="120"/>
        <v>0</v>
      </c>
      <c r="DG62" s="315">
        <f t="shared" si="60"/>
        <v>8.2321428571428577</v>
      </c>
      <c r="DH62" s="316">
        <f t="shared" si="61"/>
        <v>14</v>
      </c>
      <c r="DI62" s="317">
        <f t="shared" si="62"/>
        <v>0</v>
      </c>
      <c r="DJ62" s="318">
        <f t="shared" si="63"/>
        <v>0</v>
      </c>
      <c r="DK62" s="319">
        <f t="shared" si="64"/>
        <v>4.1160714285714288</v>
      </c>
      <c r="DL62" s="320">
        <f t="shared" si="65"/>
        <v>14</v>
      </c>
      <c r="DM62" s="321">
        <f t="shared" si="66"/>
        <v>48</v>
      </c>
      <c r="DN62" s="43" t="s">
        <v>513</v>
      </c>
      <c r="DO62" s="44"/>
      <c r="DP62" s="50"/>
      <c r="DQ62" s="46"/>
    </row>
    <row r="63" spans="1:121" s="37" customFormat="1" ht="32.25" customHeight="1" thickBot="1">
      <c r="A63" s="49"/>
      <c r="B63" s="1">
        <f t="shared" si="121"/>
        <v>10</v>
      </c>
      <c r="C63" s="249" t="s">
        <v>189</v>
      </c>
      <c r="D63" s="249" t="s">
        <v>121</v>
      </c>
      <c r="E63" s="47" t="s">
        <v>417</v>
      </c>
      <c r="F63" s="135">
        <v>34500</v>
      </c>
      <c r="G63" s="136" t="s">
        <v>110</v>
      </c>
      <c r="H63" s="131">
        <v>6.55</v>
      </c>
      <c r="I63" s="132">
        <v>20</v>
      </c>
      <c r="J63" s="133">
        <v>5.27</v>
      </c>
      <c r="K63" s="134">
        <v>14</v>
      </c>
      <c r="L63" s="53">
        <f t="shared" si="67"/>
        <v>5.91</v>
      </c>
      <c r="M63" s="58">
        <f t="shared" si="68"/>
        <v>34</v>
      </c>
      <c r="N63" s="222">
        <v>10.5</v>
      </c>
      <c r="O63" s="223">
        <v>10.5</v>
      </c>
      <c r="P63" s="140"/>
      <c r="Q63" s="228">
        <f t="shared" si="69"/>
        <v>10.5</v>
      </c>
      <c r="R63" s="229">
        <f t="shared" si="70"/>
        <v>5</v>
      </c>
      <c r="S63" s="247"/>
      <c r="T63" s="248"/>
      <c r="U63" s="285"/>
      <c r="V63" s="228">
        <f t="shared" si="71"/>
        <v>0</v>
      </c>
      <c r="W63" s="229">
        <f t="shared" si="72"/>
        <v>0</v>
      </c>
      <c r="X63" s="241">
        <v>0</v>
      </c>
      <c r="Y63" s="242">
        <v>0</v>
      </c>
      <c r="Z63" s="285"/>
      <c r="AA63" s="228">
        <f t="shared" si="73"/>
        <v>0</v>
      </c>
      <c r="AB63" s="229">
        <f t="shared" si="74"/>
        <v>0</v>
      </c>
      <c r="AC63" s="232">
        <f t="shared" si="75"/>
        <v>3.5</v>
      </c>
      <c r="AD63" s="233">
        <f t="shared" si="76"/>
        <v>5</v>
      </c>
      <c r="AE63" s="248"/>
      <c r="AF63" s="285"/>
      <c r="AG63" s="234">
        <f t="shared" si="77"/>
        <v>0</v>
      </c>
      <c r="AH63" s="235">
        <f t="shared" si="78"/>
        <v>0</v>
      </c>
      <c r="AI63" s="247"/>
      <c r="AJ63" s="248"/>
      <c r="AK63" s="285"/>
      <c r="AL63" s="228">
        <f t="shared" si="79"/>
        <v>0</v>
      </c>
      <c r="AM63" s="229">
        <f t="shared" si="80"/>
        <v>0</v>
      </c>
      <c r="AN63" s="247"/>
      <c r="AO63" s="248"/>
      <c r="AP63" s="285"/>
      <c r="AQ63" s="228">
        <f t="shared" si="81"/>
        <v>0</v>
      </c>
      <c r="AR63" s="229">
        <f t="shared" si="82"/>
        <v>0</v>
      </c>
      <c r="AS63" s="236">
        <f t="shared" si="83"/>
        <v>0</v>
      </c>
      <c r="AT63" s="237">
        <f t="shared" si="84"/>
        <v>0</v>
      </c>
      <c r="AU63" s="247"/>
      <c r="AV63" s="248"/>
      <c r="AW63" s="285"/>
      <c r="AX63" s="228">
        <f t="shared" si="85"/>
        <v>0</v>
      </c>
      <c r="AY63" s="229">
        <f t="shared" si="86"/>
        <v>0</v>
      </c>
      <c r="AZ63" s="248"/>
      <c r="BA63" s="285"/>
      <c r="BB63" s="234">
        <f t="shared" si="87"/>
        <v>0</v>
      </c>
      <c r="BC63" s="235">
        <f t="shared" si="88"/>
        <v>0</v>
      </c>
      <c r="BD63" s="236">
        <f t="shared" si="89"/>
        <v>0</v>
      </c>
      <c r="BE63" s="237">
        <f t="shared" si="90"/>
        <v>0</v>
      </c>
      <c r="BF63" s="245">
        <v>11.5</v>
      </c>
      <c r="BG63" s="246">
        <v>11.5</v>
      </c>
      <c r="BH63" s="285"/>
      <c r="BI63" s="228">
        <f t="shared" si="91"/>
        <v>11.5</v>
      </c>
      <c r="BJ63" s="229">
        <f t="shared" si="92"/>
        <v>1</v>
      </c>
      <c r="BK63" s="236">
        <f t="shared" si="93"/>
        <v>11.5</v>
      </c>
      <c r="BL63" s="237">
        <f t="shared" si="94"/>
        <v>1</v>
      </c>
      <c r="BM63" s="239">
        <f t="shared" si="95"/>
        <v>2.3214285714285716</v>
      </c>
      <c r="BN63" s="240">
        <f t="shared" si="96"/>
        <v>6</v>
      </c>
      <c r="BO63" s="273"/>
      <c r="BP63" s="274"/>
      <c r="BQ63" s="140"/>
      <c r="BR63" s="228">
        <f t="shared" si="97"/>
        <v>0</v>
      </c>
      <c r="BS63" s="229">
        <f t="shared" si="98"/>
        <v>0</v>
      </c>
      <c r="BT63" s="282">
        <v>13.5</v>
      </c>
      <c r="BU63" s="283">
        <v>13.5</v>
      </c>
      <c r="BV63" s="285"/>
      <c r="BW63" s="228">
        <f t="shared" si="99"/>
        <v>13.5</v>
      </c>
      <c r="BX63" s="229">
        <f t="shared" si="100"/>
        <v>6</v>
      </c>
      <c r="BY63" s="282"/>
      <c r="BZ63" s="283"/>
      <c r="CA63" s="285"/>
      <c r="CB63" s="228">
        <f t="shared" si="101"/>
        <v>0</v>
      </c>
      <c r="CC63" s="229">
        <f t="shared" si="102"/>
        <v>0</v>
      </c>
      <c r="CD63" s="297">
        <f t="shared" si="103"/>
        <v>5.4</v>
      </c>
      <c r="CE63" s="233">
        <f t="shared" si="104"/>
        <v>6</v>
      </c>
      <c r="CF63" s="282">
        <v>0</v>
      </c>
      <c r="CG63" s="283"/>
      <c r="CH63" s="285"/>
      <c r="CI63" s="228">
        <f t="shared" si="105"/>
        <v>0</v>
      </c>
      <c r="CJ63" s="229">
        <f t="shared" si="106"/>
        <v>0</v>
      </c>
      <c r="CK63" s="230"/>
      <c r="CL63" s="231"/>
      <c r="CM63" s="285"/>
      <c r="CN63" s="228">
        <f t="shared" si="107"/>
        <v>0</v>
      </c>
      <c r="CO63" s="229">
        <f t="shared" si="108"/>
        <v>0</v>
      </c>
      <c r="CP63" s="232">
        <f t="shared" si="109"/>
        <v>0</v>
      </c>
      <c r="CQ63" s="233">
        <f t="shared" si="110"/>
        <v>0</v>
      </c>
      <c r="CR63" s="230"/>
      <c r="CS63" s="231"/>
      <c r="CT63" s="285"/>
      <c r="CU63" s="228">
        <f t="shared" si="111"/>
        <v>0</v>
      </c>
      <c r="CV63" s="229">
        <f t="shared" si="112"/>
        <v>0</v>
      </c>
      <c r="CW63" s="232">
        <f t="shared" si="113"/>
        <v>0</v>
      </c>
      <c r="CX63" s="233">
        <f t="shared" si="114"/>
        <v>0</v>
      </c>
      <c r="CY63" s="231"/>
      <c r="CZ63" s="285"/>
      <c r="DA63" s="234">
        <f t="shared" si="115"/>
        <v>0</v>
      </c>
      <c r="DB63" s="235">
        <f t="shared" si="116"/>
        <v>0</v>
      </c>
      <c r="DC63" s="232">
        <f t="shared" si="117"/>
        <v>0</v>
      </c>
      <c r="DD63" s="233">
        <f t="shared" si="118"/>
        <v>0</v>
      </c>
      <c r="DE63" s="65">
        <f t="shared" si="119"/>
        <v>2.25</v>
      </c>
      <c r="DF63" s="66">
        <f t="shared" si="120"/>
        <v>6</v>
      </c>
      <c r="DG63" s="31">
        <f t="shared" si="60"/>
        <v>2.3214285714285716</v>
      </c>
      <c r="DH63" s="32">
        <f t="shared" si="61"/>
        <v>6</v>
      </c>
      <c r="DI63" s="33">
        <f t="shared" si="62"/>
        <v>2.25</v>
      </c>
      <c r="DJ63" s="34">
        <f t="shared" si="63"/>
        <v>6</v>
      </c>
      <c r="DK63" s="67">
        <f t="shared" si="64"/>
        <v>2.2857142857142856</v>
      </c>
      <c r="DL63" s="35">
        <f t="shared" si="65"/>
        <v>12</v>
      </c>
      <c r="DM63" s="59">
        <f t="shared" si="66"/>
        <v>46</v>
      </c>
      <c r="DN63" s="43" t="s">
        <v>503</v>
      </c>
      <c r="DO63" s="44"/>
      <c r="DP63" s="50"/>
      <c r="DQ63" s="46"/>
    </row>
    <row r="64" spans="1:121" s="37" customFormat="1" ht="32.25" customHeight="1" thickBot="1">
      <c r="A64" s="49"/>
      <c r="B64" s="1">
        <f t="shared" si="121"/>
        <v>11</v>
      </c>
      <c r="C64" s="249" t="s">
        <v>190</v>
      </c>
      <c r="D64" s="249" t="s">
        <v>191</v>
      </c>
      <c r="E64" s="47" t="s">
        <v>419</v>
      </c>
      <c r="F64" s="135">
        <v>34554</v>
      </c>
      <c r="G64" s="136" t="s">
        <v>418</v>
      </c>
      <c r="H64" s="131">
        <v>10.14</v>
      </c>
      <c r="I64" s="132">
        <v>30</v>
      </c>
      <c r="J64" s="133">
        <v>9.8699999999999992</v>
      </c>
      <c r="K64" s="134">
        <v>30</v>
      </c>
      <c r="L64" s="53">
        <f t="shared" si="67"/>
        <v>10.004999999999999</v>
      </c>
      <c r="M64" s="58">
        <f t="shared" si="68"/>
        <v>60</v>
      </c>
      <c r="N64" s="222">
        <v>10.5</v>
      </c>
      <c r="O64" s="223">
        <v>10.5</v>
      </c>
      <c r="P64" s="140"/>
      <c r="Q64" s="228">
        <f t="shared" si="69"/>
        <v>10.5</v>
      </c>
      <c r="R64" s="229">
        <f t="shared" si="70"/>
        <v>5</v>
      </c>
      <c r="S64" s="247"/>
      <c r="T64" s="248"/>
      <c r="U64" s="285"/>
      <c r="V64" s="228">
        <f t="shared" si="71"/>
        <v>0</v>
      </c>
      <c r="W64" s="229">
        <f t="shared" si="72"/>
        <v>0</v>
      </c>
      <c r="X64" s="241">
        <v>11.5</v>
      </c>
      <c r="Y64" s="242">
        <v>6.5</v>
      </c>
      <c r="Z64" s="285">
        <v>8.5</v>
      </c>
      <c r="AA64" s="228">
        <f t="shared" si="73"/>
        <v>10</v>
      </c>
      <c r="AB64" s="229">
        <f t="shared" si="74"/>
        <v>6</v>
      </c>
      <c r="AC64" s="232">
        <f t="shared" si="75"/>
        <v>6.833333333333333</v>
      </c>
      <c r="AD64" s="233">
        <f t="shared" si="76"/>
        <v>11</v>
      </c>
      <c r="AE64" s="242">
        <v>12.5</v>
      </c>
      <c r="AF64" s="285"/>
      <c r="AG64" s="234">
        <f t="shared" si="77"/>
        <v>12.5</v>
      </c>
      <c r="AH64" s="235">
        <f t="shared" si="78"/>
        <v>1</v>
      </c>
      <c r="AI64" s="241">
        <v>10.75</v>
      </c>
      <c r="AJ64" s="242">
        <v>6.25</v>
      </c>
      <c r="AK64" s="285">
        <v>10.75</v>
      </c>
      <c r="AL64" s="228">
        <f t="shared" si="79"/>
        <v>10.75</v>
      </c>
      <c r="AM64" s="229">
        <f t="shared" si="80"/>
        <v>3</v>
      </c>
      <c r="AN64" s="241">
        <v>9</v>
      </c>
      <c r="AO64" s="242">
        <v>5</v>
      </c>
      <c r="AP64" s="285"/>
      <c r="AQ64" s="228">
        <f t="shared" si="81"/>
        <v>7</v>
      </c>
      <c r="AR64" s="229">
        <f t="shared" si="82"/>
        <v>0</v>
      </c>
      <c r="AS64" s="236">
        <f t="shared" si="83"/>
        <v>9.6</v>
      </c>
      <c r="AT64" s="237">
        <f t="shared" si="84"/>
        <v>4</v>
      </c>
      <c r="AU64" s="245">
        <v>15.5</v>
      </c>
      <c r="AV64" s="242">
        <v>15.5</v>
      </c>
      <c r="AW64" s="285"/>
      <c r="AX64" s="228">
        <f t="shared" si="85"/>
        <v>15.5</v>
      </c>
      <c r="AY64" s="229">
        <f t="shared" si="86"/>
        <v>4</v>
      </c>
      <c r="AZ64" s="242">
        <v>11</v>
      </c>
      <c r="BA64" s="285"/>
      <c r="BB64" s="234">
        <f t="shared" si="87"/>
        <v>11</v>
      </c>
      <c r="BC64" s="235">
        <f t="shared" si="88"/>
        <v>1</v>
      </c>
      <c r="BD64" s="236">
        <f t="shared" si="89"/>
        <v>13.25</v>
      </c>
      <c r="BE64" s="237">
        <f t="shared" si="90"/>
        <v>5</v>
      </c>
      <c r="BF64" s="245">
        <v>13.25</v>
      </c>
      <c r="BG64" s="246">
        <v>13.25</v>
      </c>
      <c r="BH64" s="285"/>
      <c r="BI64" s="228">
        <f t="shared" si="91"/>
        <v>13.25</v>
      </c>
      <c r="BJ64" s="229">
        <f t="shared" si="92"/>
        <v>1</v>
      </c>
      <c r="BK64" s="236">
        <f t="shared" si="93"/>
        <v>13.25</v>
      </c>
      <c r="BL64" s="237">
        <f t="shared" si="94"/>
        <v>1</v>
      </c>
      <c r="BM64" s="239">
        <f t="shared" si="95"/>
        <v>9.1964285714285712</v>
      </c>
      <c r="BN64" s="240">
        <f t="shared" si="96"/>
        <v>21</v>
      </c>
      <c r="BO64" s="271">
        <v>11.5</v>
      </c>
      <c r="BP64" s="272">
        <v>0</v>
      </c>
      <c r="BQ64" s="140">
        <v>13</v>
      </c>
      <c r="BR64" s="228">
        <f t="shared" si="97"/>
        <v>12.25</v>
      </c>
      <c r="BS64" s="229">
        <f t="shared" si="98"/>
        <v>6</v>
      </c>
      <c r="BT64" s="241">
        <v>10.5</v>
      </c>
      <c r="BU64" s="242">
        <v>10.5</v>
      </c>
      <c r="BV64" s="285"/>
      <c r="BW64" s="228">
        <f t="shared" si="99"/>
        <v>10.5</v>
      </c>
      <c r="BX64" s="229">
        <f t="shared" si="100"/>
        <v>6</v>
      </c>
      <c r="BY64" s="241">
        <v>7</v>
      </c>
      <c r="BZ64" s="242">
        <v>5</v>
      </c>
      <c r="CA64" s="285"/>
      <c r="CB64" s="228">
        <f t="shared" si="101"/>
        <v>6</v>
      </c>
      <c r="CC64" s="229">
        <f t="shared" si="102"/>
        <v>0</v>
      </c>
      <c r="CD64" s="297">
        <f t="shared" si="103"/>
        <v>10.3</v>
      </c>
      <c r="CE64" s="233">
        <f t="shared" si="104"/>
        <v>16</v>
      </c>
      <c r="CF64" s="241">
        <v>8</v>
      </c>
      <c r="CG64" s="242">
        <v>9.5</v>
      </c>
      <c r="CH64" s="285"/>
      <c r="CI64" s="228">
        <f t="shared" si="105"/>
        <v>8.75</v>
      </c>
      <c r="CJ64" s="229">
        <f t="shared" si="106"/>
        <v>0</v>
      </c>
      <c r="CK64" s="230">
        <v>12</v>
      </c>
      <c r="CL64" s="231">
        <v>8</v>
      </c>
      <c r="CM64" s="285"/>
      <c r="CN64" s="228">
        <f t="shared" si="107"/>
        <v>10</v>
      </c>
      <c r="CO64" s="229">
        <f t="shared" si="108"/>
        <v>5</v>
      </c>
      <c r="CP64" s="232">
        <f t="shared" si="109"/>
        <v>9.375</v>
      </c>
      <c r="CQ64" s="233">
        <f t="shared" si="110"/>
        <v>5</v>
      </c>
      <c r="CR64" s="230">
        <v>14</v>
      </c>
      <c r="CS64" s="231">
        <v>12.5</v>
      </c>
      <c r="CT64" s="285"/>
      <c r="CU64" s="228">
        <f t="shared" si="111"/>
        <v>13.25</v>
      </c>
      <c r="CV64" s="229">
        <f t="shared" si="112"/>
        <v>3</v>
      </c>
      <c r="CW64" s="232">
        <f t="shared" si="113"/>
        <v>13.25</v>
      </c>
      <c r="CX64" s="233">
        <f t="shared" si="114"/>
        <v>3</v>
      </c>
      <c r="CY64" s="231">
        <v>10</v>
      </c>
      <c r="CZ64" s="285"/>
      <c r="DA64" s="234">
        <f t="shared" si="115"/>
        <v>10</v>
      </c>
      <c r="DB64" s="235">
        <f t="shared" si="116"/>
        <v>1</v>
      </c>
      <c r="DC64" s="232">
        <f t="shared" si="117"/>
        <v>10</v>
      </c>
      <c r="DD64" s="233">
        <f t="shared" si="118"/>
        <v>1</v>
      </c>
      <c r="DE64" s="65">
        <f t="shared" si="119"/>
        <v>10.458333333333334</v>
      </c>
      <c r="DF64" s="66">
        <f t="shared" si="120"/>
        <v>30</v>
      </c>
      <c r="DG64" s="31">
        <f t="shared" si="60"/>
        <v>9.1964285714285712</v>
      </c>
      <c r="DH64" s="32">
        <f t="shared" si="61"/>
        <v>21</v>
      </c>
      <c r="DI64" s="33">
        <f t="shared" si="62"/>
        <v>10.458333333333334</v>
      </c>
      <c r="DJ64" s="34">
        <f t="shared" si="63"/>
        <v>30</v>
      </c>
      <c r="DK64" s="67">
        <f t="shared" si="64"/>
        <v>9.8273809523809526</v>
      </c>
      <c r="DL64" s="35">
        <f t="shared" si="65"/>
        <v>51</v>
      </c>
      <c r="DM64" s="59">
        <f t="shared" si="66"/>
        <v>111</v>
      </c>
      <c r="DN64" s="43" t="str">
        <f t="shared" si="122"/>
        <v>ناجح(ة)بتأخير</v>
      </c>
      <c r="DO64" s="44"/>
      <c r="DP64" s="51"/>
      <c r="DQ64" s="46"/>
    </row>
    <row r="65" spans="1:121" s="37" customFormat="1" ht="32.25" customHeight="1" thickBot="1">
      <c r="A65" s="49"/>
      <c r="B65" s="1">
        <f t="shared" si="121"/>
        <v>12</v>
      </c>
      <c r="C65" s="249" t="s">
        <v>192</v>
      </c>
      <c r="D65" s="249" t="s">
        <v>146</v>
      </c>
      <c r="E65" s="47" t="s">
        <v>420</v>
      </c>
      <c r="F65" s="135">
        <v>34172</v>
      </c>
      <c r="G65" s="136" t="s">
        <v>110</v>
      </c>
      <c r="H65" s="131">
        <v>10.09</v>
      </c>
      <c r="I65" s="132">
        <v>30</v>
      </c>
      <c r="J65" s="133">
        <v>6.75</v>
      </c>
      <c r="K65" s="134">
        <v>16</v>
      </c>
      <c r="L65" s="53">
        <f t="shared" si="67"/>
        <v>8.42</v>
      </c>
      <c r="M65" s="58">
        <f t="shared" si="68"/>
        <v>46</v>
      </c>
      <c r="N65" s="222">
        <v>10</v>
      </c>
      <c r="O65" s="223">
        <v>10</v>
      </c>
      <c r="P65" s="140"/>
      <c r="Q65" s="228">
        <f t="shared" si="69"/>
        <v>10</v>
      </c>
      <c r="R65" s="229">
        <f t="shared" si="70"/>
        <v>5</v>
      </c>
      <c r="S65" s="241">
        <v>11</v>
      </c>
      <c r="T65" s="242">
        <v>11</v>
      </c>
      <c r="U65" s="285"/>
      <c r="V65" s="228">
        <f t="shared" si="71"/>
        <v>11</v>
      </c>
      <c r="W65" s="229">
        <f t="shared" si="72"/>
        <v>6</v>
      </c>
      <c r="X65" s="241">
        <v>0</v>
      </c>
      <c r="Y65" s="242">
        <v>0</v>
      </c>
      <c r="Z65" s="285"/>
      <c r="AA65" s="228">
        <f t="shared" si="73"/>
        <v>0</v>
      </c>
      <c r="AB65" s="229">
        <f t="shared" si="74"/>
        <v>0</v>
      </c>
      <c r="AC65" s="232">
        <f t="shared" si="75"/>
        <v>7</v>
      </c>
      <c r="AD65" s="233">
        <f t="shared" si="76"/>
        <v>11</v>
      </c>
      <c r="AE65" s="242">
        <v>13</v>
      </c>
      <c r="AF65" s="285"/>
      <c r="AG65" s="234">
        <f t="shared" si="77"/>
        <v>13</v>
      </c>
      <c r="AH65" s="235">
        <f t="shared" si="78"/>
        <v>1</v>
      </c>
      <c r="AI65" s="247"/>
      <c r="AJ65" s="248"/>
      <c r="AK65" s="285"/>
      <c r="AL65" s="228">
        <f t="shared" si="79"/>
        <v>0</v>
      </c>
      <c r="AM65" s="229">
        <f t="shared" si="80"/>
        <v>0</v>
      </c>
      <c r="AN65" s="247"/>
      <c r="AO65" s="248"/>
      <c r="AP65" s="285"/>
      <c r="AQ65" s="228">
        <f t="shared" si="81"/>
        <v>0</v>
      </c>
      <c r="AR65" s="229">
        <f t="shared" si="82"/>
        <v>0</v>
      </c>
      <c r="AS65" s="236">
        <f t="shared" si="83"/>
        <v>2.6</v>
      </c>
      <c r="AT65" s="237">
        <f t="shared" si="84"/>
        <v>1</v>
      </c>
      <c r="AU65" s="247"/>
      <c r="AV65" s="248"/>
      <c r="AW65" s="285"/>
      <c r="AX65" s="228">
        <f t="shared" si="85"/>
        <v>0</v>
      </c>
      <c r="AY65" s="229">
        <f t="shared" si="86"/>
        <v>0</v>
      </c>
      <c r="AZ65" s="242">
        <v>10</v>
      </c>
      <c r="BA65" s="285"/>
      <c r="BB65" s="234">
        <f t="shared" si="87"/>
        <v>10</v>
      </c>
      <c r="BC65" s="235">
        <f t="shared" si="88"/>
        <v>1</v>
      </c>
      <c r="BD65" s="236">
        <f t="shared" si="89"/>
        <v>5</v>
      </c>
      <c r="BE65" s="237">
        <f t="shared" si="90"/>
        <v>1</v>
      </c>
      <c r="BF65" s="245">
        <v>11.5</v>
      </c>
      <c r="BG65" s="246">
        <v>11.5</v>
      </c>
      <c r="BH65" s="285"/>
      <c r="BI65" s="228">
        <f t="shared" si="91"/>
        <v>11.5</v>
      </c>
      <c r="BJ65" s="229">
        <f t="shared" si="92"/>
        <v>1</v>
      </c>
      <c r="BK65" s="236">
        <f t="shared" si="93"/>
        <v>11.5</v>
      </c>
      <c r="BL65" s="237">
        <f t="shared" si="94"/>
        <v>1</v>
      </c>
      <c r="BM65" s="239">
        <f t="shared" si="95"/>
        <v>5.4642857142857144</v>
      </c>
      <c r="BN65" s="240">
        <f t="shared" si="96"/>
        <v>14</v>
      </c>
      <c r="BO65" s="273"/>
      <c r="BP65" s="274">
        <v>0</v>
      </c>
      <c r="BQ65" s="140"/>
      <c r="BR65" s="228">
        <f t="shared" si="97"/>
        <v>0</v>
      </c>
      <c r="BS65" s="229">
        <f t="shared" si="98"/>
        <v>0</v>
      </c>
      <c r="BT65" s="241">
        <v>10.5</v>
      </c>
      <c r="BU65" s="242">
        <v>10.5</v>
      </c>
      <c r="BV65" s="285"/>
      <c r="BW65" s="228">
        <f t="shared" si="99"/>
        <v>10.5</v>
      </c>
      <c r="BX65" s="229">
        <f t="shared" si="100"/>
        <v>6</v>
      </c>
      <c r="BY65" s="282"/>
      <c r="BZ65" s="283"/>
      <c r="CA65" s="285"/>
      <c r="CB65" s="228">
        <f t="shared" si="101"/>
        <v>0</v>
      </c>
      <c r="CC65" s="229">
        <f t="shared" si="102"/>
        <v>0</v>
      </c>
      <c r="CD65" s="297">
        <f t="shared" si="103"/>
        <v>4.2</v>
      </c>
      <c r="CE65" s="233">
        <f t="shared" si="104"/>
        <v>6</v>
      </c>
      <c r="CF65" s="241">
        <v>0</v>
      </c>
      <c r="CG65" s="283"/>
      <c r="CH65" s="285"/>
      <c r="CI65" s="228">
        <f t="shared" si="105"/>
        <v>0</v>
      </c>
      <c r="CJ65" s="229">
        <f t="shared" si="106"/>
        <v>0</v>
      </c>
      <c r="CK65" s="230"/>
      <c r="CL65" s="231">
        <v>0</v>
      </c>
      <c r="CM65" s="285"/>
      <c r="CN65" s="228">
        <f t="shared" si="107"/>
        <v>0</v>
      </c>
      <c r="CO65" s="229">
        <f t="shared" si="108"/>
        <v>0</v>
      </c>
      <c r="CP65" s="232">
        <f t="shared" si="109"/>
        <v>0</v>
      </c>
      <c r="CQ65" s="233">
        <f t="shared" si="110"/>
        <v>0</v>
      </c>
      <c r="CR65" s="230"/>
      <c r="CS65" s="231"/>
      <c r="CT65" s="285"/>
      <c r="CU65" s="228">
        <f t="shared" si="111"/>
        <v>0</v>
      </c>
      <c r="CV65" s="229">
        <f t="shared" si="112"/>
        <v>0</v>
      </c>
      <c r="CW65" s="232">
        <f t="shared" si="113"/>
        <v>0</v>
      </c>
      <c r="CX65" s="233">
        <f t="shared" si="114"/>
        <v>0</v>
      </c>
      <c r="CY65" s="231"/>
      <c r="CZ65" s="285"/>
      <c r="DA65" s="234">
        <f t="shared" si="115"/>
        <v>0</v>
      </c>
      <c r="DB65" s="235">
        <f t="shared" si="116"/>
        <v>0</v>
      </c>
      <c r="DC65" s="232">
        <f t="shared" si="117"/>
        <v>0</v>
      </c>
      <c r="DD65" s="233">
        <f t="shared" si="118"/>
        <v>0</v>
      </c>
      <c r="DE65" s="65">
        <f t="shared" si="119"/>
        <v>1.75</v>
      </c>
      <c r="DF65" s="66">
        <f t="shared" si="120"/>
        <v>6</v>
      </c>
      <c r="DG65" s="31">
        <f t="shared" si="60"/>
        <v>5.4642857142857144</v>
      </c>
      <c r="DH65" s="32">
        <f t="shared" si="61"/>
        <v>14</v>
      </c>
      <c r="DI65" s="33">
        <f t="shared" si="62"/>
        <v>1.75</v>
      </c>
      <c r="DJ65" s="34">
        <f t="shared" si="63"/>
        <v>6</v>
      </c>
      <c r="DK65" s="67">
        <f t="shared" si="64"/>
        <v>3.6071428571428572</v>
      </c>
      <c r="DL65" s="35">
        <f t="shared" si="65"/>
        <v>20</v>
      </c>
      <c r="DM65" s="59">
        <f t="shared" si="66"/>
        <v>66</v>
      </c>
      <c r="DN65" s="43" t="s">
        <v>503</v>
      </c>
      <c r="DO65" s="44"/>
      <c r="DP65" s="50"/>
      <c r="DQ65" s="46"/>
    </row>
    <row r="66" spans="1:121" s="37" customFormat="1" ht="32.25" customHeight="1" thickBot="1">
      <c r="A66" s="49"/>
      <c r="B66" s="1">
        <f t="shared" si="121"/>
        <v>13</v>
      </c>
      <c r="C66" s="249" t="s">
        <v>193</v>
      </c>
      <c r="D66" s="249" t="s">
        <v>194</v>
      </c>
      <c r="E66" s="47" t="s">
        <v>365</v>
      </c>
      <c r="F66" s="135">
        <v>36025</v>
      </c>
      <c r="G66" s="52" t="s">
        <v>421</v>
      </c>
      <c r="H66" s="131">
        <v>9.0399999999999991</v>
      </c>
      <c r="I66" s="132">
        <v>30</v>
      </c>
      <c r="J66" s="133">
        <v>10.97</v>
      </c>
      <c r="K66" s="134">
        <v>30</v>
      </c>
      <c r="L66" s="53">
        <f t="shared" si="67"/>
        <v>10.004999999999999</v>
      </c>
      <c r="M66" s="58">
        <f t="shared" si="68"/>
        <v>60</v>
      </c>
      <c r="N66" s="222">
        <v>13</v>
      </c>
      <c r="O66" s="223">
        <v>1</v>
      </c>
      <c r="P66" s="140"/>
      <c r="Q66" s="228">
        <f t="shared" si="69"/>
        <v>7</v>
      </c>
      <c r="R66" s="229">
        <f t="shared" si="70"/>
        <v>0</v>
      </c>
      <c r="S66" s="241">
        <v>12</v>
      </c>
      <c r="T66" s="242">
        <v>10</v>
      </c>
      <c r="U66" s="285"/>
      <c r="V66" s="228">
        <f t="shared" si="71"/>
        <v>11</v>
      </c>
      <c r="W66" s="229">
        <f t="shared" si="72"/>
        <v>6</v>
      </c>
      <c r="X66" s="241">
        <v>9</v>
      </c>
      <c r="Y66" s="242">
        <v>6</v>
      </c>
      <c r="Z66" s="285"/>
      <c r="AA66" s="228">
        <f t="shared" si="73"/>
        <v>7.5</v>
      </c>
      <c r="AB66" s="229">
        <f t="shared" si="74"/>
        <v>0</v>
      </c>
      <c r="AC66" s="232">
        <f t="shared" si="75"/>
        <v>8.5</v>
      </c>
      <c r="AD66" s="233">
        <f t="shared" si="76"/>
        <v>6</v>
      </c>
      <c r="AE66" s="242">
        <v>13.5</v>
      </c>
      <c r="AF66" s="285"/>
      <c r="AG66" s="234">
        <f t="shared" si="77"/>
        <v>13.5</v>
      </c>
      <c r="AH66" s="235">
        <f t="shared" si="78"/>
        <v>1</v>
      </c>
      <c r="AI66" s="241">
        <v>11.5</v>
      </c>
      <c r="AJ66" s="242">
        <v>10</v>
      </c>
      <c r="AK66" s="285"/>
      <c r="AL66" s="228">
        <f t="shared" si="79"/>
        <v>10.75</v>
      </c>
      <c r="AM66" s="229">
        <f t="shared" si="80"/>
        <v>3</v>
      </c>
      <c r="AN66" s="241">
        <v>8.75</v>
      </c>
      <c r="AO66" s="242">
        <v>7.5</v>
      </c>
      <c r="AP66" s="285"/>
      <c r="AQ66" s="228">
        <f t="shared" si="81"/>
        <v>8.125</v>
      </c>
      <c r="AR66" s="229">
        <f t="shared" si="82"/>
        <v>0</v>
      </c>
      <c r="AS66" s="236">
        <f t="shared" si="83"/>
        <v>10.25</v>
      </c>
      <c r="AT66" s="237">
        <f t="shared" si="84"/>
        <v>7</v>
      </c>
      <c r="AU66" s="241">
        <v>11</v>
      </c>
      <c r="AV66" s="242">
        <v>13</v>
      </c>
      <c r="AW66" s="285"/>
      <c r="AX66" s="228">
        <f t="shared" si="85"/>
        <v>12</v>
      </c>
      <c r="AY66" s="229">
        <f t="shared" si="86"/>
        <v>4</v>
      </c>
      <c r="AZ66" s="242">
        <v>15.5</v>
      </c>
      <c r="BA66" s="285"/>
      <c r="BB66" s="234">
        <f t="shared" si="87"/>
        <v>15.5</v>
      </c>
      <c r="BC66" s="235">
        <f t="shared" si="88"/>
        <v>1</v>
      </c>
      <c r="BD66" s="236">
        <f t="shared" si="89"/>
        <v>13.75</v>
      </c>
      <c r="BE66" s="237">
        <f t="shared" si="90"/>
        <v>5</v>
      </c>
      <c r="BF66" s="241">
        <v>15.75</v>
      </c>
      <c r="BG66" s="242">
        <v>8.75</v>
      </c>
      <c r="BH66" s="285"/>
      <c r="BI66" s="228">
        <f t="shared" si="91"/>
        <v>12.25</v>
      </c>
      <c r="BJ66" s="229">
        <f t="shared" si="92"/>
        <v>1</v>
      </c>
      <c r="BK66" s="236">
        <f t="shared" si="93"/>
        <v>12.25</v>
      </c>
      <c r="BL66" s="237">
        <f t="shared" si="94"/>
        <v>1</v>
      </c>
      <c r="BM66" s="239">
        <f t="shared" si="95"/>
        <v>10.142857142857142</v>
      </c>
      <c r="BN66" s="240">
        <f t="shared" si="96"/>
        <v>30</v>
      </c>
      <c r="BO66" s="271">
        <v>13</v>
      </c>
      <c r="BP66" s="272">
        <v>11</v>
      </c>
      <c r="BQ66" s="140"/>
      <c r="BR66" s="228">
        <f t="shared" si="97"/>
        <v>12</v>
      </c>
      <c r="BS66" s="229">
        <f t="shared" si="98"/>
        <v>6</v>
      </c>
      <c r="BT66" s="241">
        <v>13</v>
      </c>
      <c r="BU66" s="242">
        <v>15</v>
      </c>
      <c r="BV66" s="285"/>
      <c r="BW66" s="228">
        <f t="shared" si="99"/>
        <v>14</v>
      </c>
      <c r="BX66" s="229">
        <f t="shared" si="100"/>
        <v>6</v>
      </c>
      <c r="BY66" s="241">
        <v>6</v>
      </c>
      <c r="BZ66" s="242">
        <v>4</v>
      </c>
      <c r="CA66" s="285"/>
      <c r="CB66" s="228">
        <f t="shared" si="101"/>
        <v>5</v>
      </c>
      <c r="CC66" s="229">
        <f t="shared" si="102"/>
        <v>0</v>
      </c>
      <c r="CD66" s="297">
        <f t="shared" si="103"/>
        <v>11.4</v>
      </c>
      <c r="CE66" s="233">
        <f t="shared" si="104"/>
        <v>16</v>
      </c>
      <c r="CF66" s="241">
        <v>11.5</v>
      </c>
      <c r="CG66" s="242">
        <v>8.5</v>
      </c>
      <c r="CH66" s="285"/>
      <c r="CI66" s="228">
        <f t="shared" si="105"/>
        <v>10</v>
      </c>
      <c r="CJ66" s="229">
        <f t="shared" si="106"/>
        <v>5</v>
      </c>
      <c r="CK66" s="230">
        <v>12</v>
      </c>
      <c r="CL66" s="231">
        <v>5.5</v>
      </c>
      <c r="CM66" s="285"/>
      <c r="CN66" s="228">
        <f t="shared" si="107"/>
        <v>8.75</v>
      </c>
      <c r="CO66" s="229">
        <f t="shared" si="108"/>
        <v>0</v>
      </c>
      <c r="CP66" s="232">
        <f t="shared" si="109"/>
        <v>9.375</v>
      </c>
      <c r="CQ66" s="233">
        <f t="shared" si="110"/>
        <v>5</v>
      </c>
      <c r="CR66" s="230">
        <v>14</v>
      </c>
      <c r="CS66" s="231">
        <v>1.75</v>
      </c>
      <c r="CT66" s="285"/>
      <c r="CU66" s="228">
        <f t="shared" si="111"/>
        <v>7.875</v>
      </c>
      <c r="CV66" s="229">
        <f t="shared" si="112"/>
        <v>0</v>
      </c>
      <c r="CW66" s="232">
        <f t="shared" si="113"/>
        <v>7.875</v>
      </c>
      <c r="CX66" s="233">
        <f t="shared" si="114"/>
        <v>0</v>
      </c>
      <c r="CY66" s="231">
        <v>12</v>
      </c>
      <c r="CZ66" s="285"/>
      <c r="DA66" s="234">
        <f t="shared" si="115"/>
        <v>12</v>
      </c>
      <c r="DB66" s="235">
        <f t="shared" si="116"/>
        <v>1</v>
      </c>
      <c r="DC66" s="232">
        <f t="shared" si="117"/>
        <v>12</v>
      </c>
      <c r="DD66" s="233">
        <f t="shared" si="118"/>
        <v>1</v>
      </c>
      <c r="DE66" s="65">
        <f t="shared" si="119"/>
        <v>10.1875</v>
      </c>
      <c r="DF66" s="66">
        <f t="shared" si="120"/>
        <v>30</v>
      </c>
      <c r="DG66" s="31">
        <f t="shared" si="60"/>
        <v>10.142857142857142</v>
      </c>
      <c r="DH66" s="32">
        <f t="shared" si="61"/>
        <v>30</v>
      </c>
      <c r="DI66" s="33">
        <f t="shared" si="62"/>
        <v>10.1875</v>
      </c>
      <c r="DJ66" s="34">
        <f t="shared" si="63"/>
        <v>30</v>
      </c>
      <c r="DK66" s="67">
        <f t="shared" si="64"/>
        <v>10.165178571428571</v>
      </c>
      <c r="DL66" s="35">
        <f t="shared" si="65"/>
        <v>60</v>
      </c>
      <c r="DM66" s="59">
        <f t="shared" si="66"/>
        <v>120</v>
      </c>
      <c r="DN66" s="43" t="str">
        <f t="shared" si="122"/>
        <v>ناجح(ة) دورة2</v>
      </c>
      <c r="DO66" s="44"/>
      <c r="DP66" s="50"/>
      <c r="DQ66" s="46"/>
    </row>
    <row r="67" spans="1:121" s="37" customFormat="1" ht="32.25" customHeight="1" thickBot="1">
      <c r="A67" s="49"/>
      <c r="B67" s="1">
        <f t="shared" si="121"/>
        <v>14</v>
      </c>
      <c r="C67" s="249" t="s">
        <v>195</v>
      </c>
      <c r="D67" s="249" t="s">
        <v>196</v>
      </c>
      <c r="E67" s="47" t="s">
        <v>422</v>
      </c>
      <c r="F67" s="135">
        <v>35001</v>
      </c>
      <c r="G67" s="136" t="s">
        <v>110</v>
      </c>
      <c r="H67" s="131">
        <v>9.98</v>
      </c>
      <c r="I67" s="132">
        <v>15</v>
      </c>
      <c r="J67" s="133">
        <v>9.6300000000000008</v>
      </c>
      <c r="K67" s="134">
        <v>24</v>
      </c>
      <c r="L67" s="53">
        <f t="shared" si="67"/>
        <v>9.8049999999999997</v>
      </c>
      <c r="M67" s="58">
        <f t="shared" si="68"/>
        <v>39</v>
      </c>
      <c r="N67" s="222">
        <v>11</v>
      </c>
      <c r="O67" s="223">
        <v>11</v>
      </c>
      <c r="P67" s="140"/>
      <c r="Q67" s="228">
        <f t="shared" si="69"/>
        <v>11</v>
      </c>
      <c r="R67" s="229">
        <f t="shared" si="70"/>
        <v>5</v>
      </c>
      <c r="S67" s="241">
        <v>6.38</v>
      </c>
      <c r="T67" s="242">
        <v>6.38</v>
      </c>
      <c r="U67" s="285"/>
      <c r="V67" s="228">
        <f t="shared" si="71"/>
        <v>6.38</v>
      </c>
      <c r="W67" s="229">
        <f t="shared" si="72"/>
        <v>0</v>
      </c>
      <c r="X67" s="245">
        <v>13.5</v>
      </c>
      <c r="Y67" s="246">
        <v>13.5</v>
      </c>
      <c r="Z67" s="285"/>
      <c r="AA67" s="228">
        <f t="shared" si="73"/>
        <v>13.5</v>
      </c>
      <c r="AB67" s="229">
        <f t="shared" si="74"/>
        <v>6</v>
      </c>
      <c r="AC67" s="232">
        <f t="shared" si="75"/>
        <v>10.293333333333333</v>
      </c>
      <c r="AD67" s="233">
        <f t="shared" si="76"/>
        <v>17</v>
      </c>
      <c r="AE67" s="242">
        <v>10</v>
      </c>
      <c r="AF67" s="285"/>
      <c r="AG67" s="234">
        <f t="shared" si="77"/>
        <v>10</v>
      </c>
      <c r="AH67" s="235">
        <f t="shared" si="78"/>
        <v>1</v>
      </c>
      <c r="AI67" s="241">
        <v>13.5</v>
      </c>
      <c r="AJ67" s="242">
        <v>7.5</v>
      </c>
      <c r="AK67" s="285"/>
      <c r="AL67" s="228">
        <f t="shared" si="79"/>
        <v>10.5</v>
      </c>
      <c r="AM67" s="229">
        <f t="shared" si="80"/>
        <v>3</v>
      </c>
      <c r="AN67" s="241">
        <v>8.5</v>
      </c>
      <c r="AO67" s="242">
        <v>0.5</v>
      </c>
      <c r="AP67" s="285"/>
      <c r="AQ67" s="228">
        <f t="shared" si="81"/>
        <v>4.5</v>
      </c>
      <c r="AR67" s="229">
        <f t="shared" si="82"/>
        <v>0</v>
      </c>
      <c r="AS67" s="236">
        <f t="shared" si="83"/>
        <v>8</v>
      </c>
      <c r="AT67" s="237">
        <f t="shared" si="84"/>
        <v>4</v>
      </c>
      <c r="AU67" s="245">
        <v>11</v>
      </c>
      <c r="AV67" s="242">
        <v>11</v>
      </c>
      <c r="AW67" s="285"/>
      <c r="AX67" s="228">
        <f t="shared" si="85"/>
        <v>11</v>
      </c>
      <c r="AY67" s="229">
        <f t="shared" si="86"/>
        <v>4</v>
      </c>
      <c r="AZ67" s="242">
        <v>11.5</v>
      </c>
      <c r="BA67" s="285"/>
      <c r="BB67" s="234">
        <f t="shared" si="87"/>
        <v>11.5</v>
      </c>
      <c r="BC67" s="235">
        <f t="shared" si="88"/>
        <v>1</v>
      </c>
      <c r="BD67" s="236">
        <f t="shared" si="89"/>
        <v>11.25</v>
      </c>
      <c r="BE67" s="237">
        <f t="shared" si="90"/>
        <v>5</v>
      </c>
      <c r="BF67" s="245">
        <v>10.5</v>
      </c>
      <c r="BG67" s="246">
        <v>10.5</v>
      </c>
      <c r="BH67" s="285"/>
      <c r="BI67" s="228">
        <f t="shared" si="91"/>
        <v>10.5</v>
      </c>
      <c r="BJ67" s="229">
        <f t="shared" si="92"/>
        <v>1</v>
      </c>
      <c r="BK67" s="236">
        <f t="shared" si="93"/>
        <v>10.5</v>
      </c>
      <c r="BL67" s="237">
        <f t="shared" si="94"/>
        <v>1</v>
      </c>
      <c r="BM67" s="239">
        <f t="shared" si="95"/>
        <v>9.6257142857142846</v>
      </c>
      <c r="BN67" s="240">
        <f t="shared" si="96"/>
        <v>27</v>
      </c>
      <c r="BO67" s="271">
        <v>12.5</v>
      </c>
      <c r="BP67" s="272">
        <v>12.5</v>
      </c>
      <c r="BQ67" s="140"/>
      <c r="BR67" s="228">
        <f t="shared" si="97"/>
        <v>12.5</v>
      </c>
      <c r="BS67" s="229">
        <f t="shared" si="98"/>
        <v>6</v>
      </c>
      <c r="BT67" s="241">
        <v>10</v>
      </c>
      <c r="BU67" s="242">
        <v>10</v>
      </c>
      <c r="BV67" s="285"/>
      <c r="BW67" s="228">
        <f t="shared" si="99"/>
        <v>10</v>
      </c>
      <c r="BX67" s="229">
        <f t="shared" si="100"/>
        <v>6</v>
      </c>
      <c r="BY67" s="241">
        <v>5</v>
      </c>
      <c r="BZ67" s="242">
        <v>5</v>
      </c>
      <c r="CA67" s="285"/>
      <c r="CB67" s="228">
        <f t="shared" si="101"/>
        <v>5</v>
      </c>
      <c r="CC67" s="229">
        <f t="shared" si="102"/>
        <v>0</v>
      </c>
      <c r="CD67" s="297">
        <f t="shared" si="103"/>
        <v>10</v>
      </c>
      <c r="CE67" s="233">
        <f t="shared" si="104"/>
        <v>16</v>
      </c>
      <c r="CF67" s="241">
        <v>8</v>
      </c>
      <c r="CG67" s="242">
        <v>8.5</v>
      </c>
      <c r="CH67" s="285"/>
      <c r="CI67" s="228">
        <f t="shared" si="105"/>
        <v>8.25</v>
      </c>
      <c r="CJ67" s="229">
        <f t="shared" si="106"/>
        <v>0</v>
      </c>
      <c r="CK67" s="230">
        <v>10</v>
      </c>
      <c r="CL67" s="231">
        <v>1</v>
      </c>
      <c r="CM67" s="285"/>
      <c r="CN67" s="228">
        <f t="shared" si="107"/>
        <v>5.5</v>
      </c>
      <c r="CO67" s="229">
        <f t="shared" si="108"/>
        <v>0</v>
      </c>
      <c r="CP67" s="232">
        <f t="shared" si="109"/>
        <v>6.875</v>
      </c>
      <c r="CQ67" s="233">
        <f t="shared" si="110"/>
        <v>0</v>
      </c>
      <c r="CR67" s="230">
        <v>13.5</v>
      </c>
      <c r="CS67" s="231">
        <v>0</v>
      </c>
      <c r="CT67" s="285"/>
      <c r="CU67" s="228">
        <f t="shared" si="111"/>
        <v>6.75</v>
      </c>
      <c r="CV67" s="229">
        <f t="shared" si="112"/>
        <v>0</v>
      </c>
      <c r="CW67" s="232">
        <f t="shared" si="113"/>
        <v>6.75</v>
      </c>
      <c r="CX67" s="233">
        <f t="shared" si="114"/>
        <v>0</v>
      </c>
      <c r="CY67" s="231">
        <v>1</v>
      </c>
      <c r="CZ67" s="285">
        <v>6.5</v>
      </c>
      <c r="DA67" s="234">
        <f t="shared" si="115"/>
        <v>6.5</v>
      </c>
      <c r="DB67" s="235">
        <f t="shared" si="116"/>
        <v>0</v>
      </c>
      <c r="DC67" s="232">
        <f t="shared" si="117"/>
        <v>6.5</v>
      </c>
      <c r="DD67" s="233">
        <f t="shared" si="118"/>
        <v>0</v>
      </c>
      <c r="DE67" s="65">
        <f t="shared" si="119"/>
        <v>8.125</v>
      </c>
      <c r="DF67" s="66">
        <f t="shared" si="120"/>
        <v>16</v>
      </c>
      <c r="DG67" s="31">
        <f t="shared" si="60"/>
        <v>9.6257142857142846</v>
      </c>
      <c r="DH67" s="32">
        <f t="shared" si="61"/>
        <v>27</v>
      </c>
      <c r="DI67" s="33">
        <f t="shared" si="62"/>
        <v>8.125</v>
      </c>
      <c r="DJ67" s="34">
        <f t="shared" si="63"/>
        <v>16</v>
      </c>
      <c r="DK67" s="67">
        <f t="shared" si="64"/>
        <v>8.8753571428571423</v>
      </c>
      <c r="DL67" s="35">
        <f t="shared" si="65"/>
        <v>43</v>
      </c>
      <c r="DM67" s="59">
        <f t="shared" si="66"/>
        <v>82</v>
      </c>
      <c r="DN67" s="43" t="str">
        <f t="shared" si="122"/>
        <v>راسب(ة)</v>
      </c>
      <c r="DO67" s="44"/>
      <c r="DP67" s="50"/>
      <c r="DQ67" s="46"/>
    </row>
    <row r="68" spans="1:121" s="37" customFormat="1" ht="32.25" customHeight="1" thickBot="1">
      <c r="A68" s="49"/>
      <c r="B68" s="1">
        <f t="shared" si="121"/>
        <v>15</v>
      </c>
      <c r="C68" s="249" t="s">
        <v>197</v>
      </c>
      <c r="D68" s="249" t="s">
        <v>198</v>
      </c>
      <c r="E68" s="47" t="s">
        <v>423</v>
      </c>
      <c r="F68" s="135">
        <v>31168</v>
      </c>
      <c r="G68" s="136" t="s">
        <v>110</v>
      </c>
      <c r="H68" s="131">
        <v>6.93</v>
      </c>
      <c r="I68" s="132">
        <v>17</v>
      </c>
      <c r="J68" s="133">
        <v>6.58</v>
      </c>
      <c r="K68" s="134">
        <v>18</v>
      </c>
      <c r="L68" s="53">
        <f t="shared" si="67"/>
        <v>6.7549999999999999</v>
      </c>
      <c r="M68" s="58">
        <f t="shared" si="68"/>
        <v>35</v>
      </c>
      <c r="N68" s="222">
        <v>10.5</v>
      </c>
      <c r="O68" s="223">
        <v>10.5</v>
      </c>
      <c r="P68" s="140"/>
      <c r="Q68" s="228">
        <f t="shared" si="69"/>
        <v>10.5</v>
      </c>
      <c r="R68" s="229">
        <f t="shared" si="70"/>
        <v>5</v>
      </c>
      <c r="S68" s="241">
        <v>10.5</v>
      </c>
      <c r="T68" s="242">
        <v>7.5</v>
      </c>
      <c r="U68" s="285">
        <v>15</v>
      </c>
      <c r="V68" s="228">
        <f t="shared" si="71"/>
        <v>12.75</v>
      </c>
      <c r="W68" s="229">
        <f t="shared" si="72"/>
        <v>6</v>
      </c>
      <c r="X68" s="241">
        <v>11.5</v>
      </c>
      <c r="Y68" s="242">
        <v>7.5</v>
      </c>
      <c r="Z68" s="285"/>
      <c r="AA68" s="228">
        <f t="shared" si="73"/>
        <v>9.5</v>
      </c>
      <c r="AB68" s="229">
        <f t="shared" si="74"/>
        <v>0</v>
      </c>
      <c r="AC68" s="232">
        <f t="shared" si="75"/>
        <v>10.916666666666666</v>
      </c>
      <c r="AD68" s="233">
        <f t="shared" si="76"/>
        <v>17</v>
      </c>
      <c r="AE68" s="242">
        <v>6</v>
      </c>
      <c r="AF68" s="285"/>
      <c r="AG68" s="234">
        <f t="shared" si="77"/>
        <v>6</v>
      </c>
      <c r="AH68" s="235">
        <f t="shared" si="78"/>
        <v>0</v>
      </c>
      <c r="AI68" s="241">
        <v>6</v>
      </c>
      <c r="AJ68" s="242">
        <v>2</v>
      </c>
      <c r="AK68" s="285">
        <v>4</v>
      </c>
      <c r="AL68" s="228">
        <f t="shared" si="79"/>
        <v>5</v>
      </c>
      <c r="AM68" s="229">
        <f t="shared" si="80"/>
        <v>0</v>
      </c>
      <c r="AN68" s="241">
        <v>9.5</v>
      </c>
      <c r="AO68" s="242">
        <v>3.5</v>
      </c>
      <c r="AP68" s="285"/>
      <c r="AQ68" s="228">
        <f t="shared" si="81"/>
        <v>6.5</v>
      </c>
      <c r="AR68" s="229">
        <f t="shared" si="82"/>
        <v>0</v>
      </c>
      <c r="AS68" s="236">
        <f t="shared" si="83"/>
        <v>5.8</v>
      </c>
      <c r="AT68" s="237">
        <f t="shared" si="84"/>
        <v>0</v>
      </c>
      <c r="AU68" s="241">
        <v>8</v>
      </c>
      <c r="AV68" s="242">
        <v>6</v>
      </c>
      <c r="AW68" s="285"/>
      <c r="AX68" s="228">
        <f t="shared" si="85"/>
        <v>7</v>
      </c>
      <c r="AY68" s="229">
        <f t="shared" si="86"/>
        <v>0</v>
      </c>
      <c r="AZ68" s="242">
        <v>10</v>
      </c>
      <c r="BA68" s="285"/>
      <c r="BB68" s="234">
        <f t="shared" si="87"/>
        <v>10</v>
      </c>
      <c r="BC68" s="235">
        <f t="shared" si="88"/>
        <v>1</v>
      </c>
      <c r="BD68" s="236">
        <f t="shared" si="89"/>
        <v>8.5</v>
      </c>
      <c r="BE68" s="237">
        <f t="shared" si="90"/>
        <v>1</v>
      </c>
      <c r="BF68" s="241"/>
      <c r="BG68" s="242">
        <v>1.75</v>
      </c>
      <c r="BH68" s="285"/>
      <c r="BI68" s="228">
        <f t="shared" si="91"/>
        <v>0.875</v>
      </c>
      <c r="BJ68" s="229">
        <f t="shared" si="92"/>
        <v>0</v>
      </c>
      <c r="BK68" s="236">
        <f t="shared" si="93"/>
        <v>0.875</v>
      </c>
      <c r="BL68" s="237">
        <f t="shared" si="94"/>
        <v>0</v>
      </c>
      <c r="BM68" s="239">
        <f t="shared" si="95"/>
        <v>8.0267857142857135</v>
      </c>
      <c r="BN68" s="240">
        <f t="shared" si="96"/>
        <v>18</v>
      </c>
      <c r="BO68" s="271">
        <v>6</v>
      </c>
      <c r="BP68" s="272">
        <v>3</v>
      </c>
      <c r="BQ68" s="140"/>
      <c r="BR68" s="228">
        <f t="shared" si="97"/>
        <v>4.5</v>
      </c>
      <c r="BS68" s="229">
        <f t="shared" si="98"/>
        <v>0</v>
      </c>
      <c r="BT68" s="241">
        <v>10</v>
      </c>
      <c r="BU68" s="242">
        <v>10</v>
      </c>
      <c r="BV68" s="285"/>
      <c r="BW68" s="228">
        <f t="shared" si="99"/>
        <v>10</v>
      </c>
      <c r="BX68" s="229">
        <f t="shared" si="100"/>
        <v>6</v>
      </c>
      <c r="BY68" s="282"/>
      <c r="BZ68" s="242">
        <v>3.5</v>
      </c>
      <c r="CA68" s="285"/>
      <c r="CB68" s="228">
        <f t="shared" si="101"/>
        <v>1.75</v>
      </c>
      <c r="CC68" s="229">
        <f t="shared" si="102"/>
        <v>0</v>
      </c>
      <c r="CD68" s="297">
        <f t="shared" si="103"/>
        <v>6.15</v>
      </c>
      <c r="CE68" s="233">
        <f t="shared" si="104"/>
        <v>6</v>
      </c>
      <c r="CF68" s="241">
        <v>0</v>
      </c>
      <c r="CG68" s="242">
        <v>5.75</v>
      </c>
      <c r="CH68" s="285"/>
      <c r="CI68" s="228">
        <f t="shared" si="105"/>
        <v>2.875</v>
      </c>
      <c r="CJ68" s="229">
        <f t="shared" si="106"/>
        <v>0</v>
      </c>
      <c r="CK68" s="230">
        <v>11</v>
      </c>
      <c r="CL68" s="231">
        <v>4</v>
      </c>
      <c r="CM68" s="285">
        <v>6.5</v>
      </c>
      <c r="CN68" s="228">
        <f t="shared" si="107"/>
        <v>8.75</v>
      </c>
      <c r="CO68" s="229">
        <f t="shared" si="108"/>
        <v>0</v>
      </c>
      <c r="CP68" s="232">
        <f t="shared" si="109"/>
        <v>5.8125</v>
      </c>
      <c r="CQ68" s="233">
        <f t="shared" si="110"/>
        <v>0</v>
      </c>
      <c r="CR68" s="230">
        <v>14</v>
      </c>
      <c r="CS68" s="231">
        <v>1.5</v>
      </c>
      <c r="CT68" s="285">
        <v>10.5</v>
      </c>
      <c r="CU68" s="228">
        <f t="shared" si="111"/>
        <v>12.25</v>
      </c>
      <c r="CV68" s="229">
        <f t="shared" si="112"/>
        <v>3</v>
      </c>
      <c r="CW68" s="232">
        <f t="shared" si="113"/>
        <v>12.25</v>
      </c>
      <c r="CX68" s="233">
        <f t="shared" si="114"/>
        <v>3</v>
      </c>
      <c r="CY68" s="231"/>
      <c r="CZ68" s="285"/>
      <c r="DA68" s="234">
        <f t="shared" si="115"/>
        <v>0</v>
      </c>
      <c r="DB68" s="235">
        <f t="shared" si="116"/>
        <v>0</v>
      </c>
      <c r="DC68" s="232">
        <f t="shared" si="117"/>
        <v>0</v>
      </c>
      <c r="DD68" s="233">
        <f t="shared" si="118"/>
        <v>0</v>
      </c>
      <c r="DE68" s="65">
        <f t="shared" si="119"/>
        <v>6.541666666666667</v>
      </c>
      <c r="DF68" s="66">
        <f t="shared" si="120"/>
        <v>9</v>
      </c>
      <c r="DG68" s="31">
        <f t="shared" si="60"/>
        <v>8.0267857142857135</v>
      </c>
      <c r="DH68" s="32">
        <f t="shared" si="61"/>
        <v>18</v>
      </c>
      <c r="DI68" s="33">
        <f t="shared" si="62"/>
        <v>6.541666666666667</v>
      </c>
      <c r="DJ68" s="34">
        <f t="shared" si="63"/>
        <v>9</v>
      </c>
      <c r="DK68" s="67">
        <f t="shared" si="64"/>
        <v>7.2842261904761898</v>
      </c>
      <c r="DL68" s="35">
        <f t="shared" si="65"/>
        <v>27</v>
      </c>
      <c r="DM68" s="59">
        <f t="shared" si="66"/>
        <v>62</v>
      </c>
      <c r="DN68" s="43" t="str">
        <f t="shared" si="122"/>
        <v>راسب(ة)</v>
      </c>
      <c r="DO68" s="44"/>
      <c r="DP68" s="50"/>
      <c r="DQ68" s="46"/>
    </row>
    <row r="69" spans="1:121" s="37" customFormat="1" ht="32.25" customHeight="1" thickBot="1">
      <c r="A69" s="49"/>
      <c r="B69" s="1">
        <f t="shared" si="121"/>
        <v>16</v>
      </c>
      <c r="C69" s="249" t="s">
        <v>199</v>
      </c>
      <c r="D69" s="249" t="s">
        <v>166</v>
      </c>
      <c r="E69" s="47" t="s">
        <v>424</v>
      </c>
      <c r="F69" s="135">
        <v>34701</v>
      </c>
      <c r="G69" s="136" t="s">
        <v>110</v>
      </c>
      <c r="H69" s="131">
        <v>8.3800000000000008</v>
      </c>
      <c r="I69" s="132">
        <v>17</v>
      </c>
      <c r="J69" s="133">
        <v>8.42</v>
      </c>
      <c r="K69" s="134">
        <v>16</v>
      </c>
      <c r="L69" s="53">
        <f t="shared" si="67"/>
        <v>8.4</v>
      </c>
      <c r="M69" s="58">
        <f t="shared" si="68"/>
        <v>33</v>
      </c>
      <c r="N69" s="222">
        <v>13</v>
      </c>
      <c r="O69" s="223">
        <v>7</v>
      </c>
      <c r="P69" s="140"/>
      <c r="Q69" s="228">
        <f t="shared" si="69"/>
        <v>10</v>
      </c>
      <c r="R69" s="229">
        <f t="shared" si="70"/>
        <v>5</v>
      </c>
      <c r="S69" s="241">
        <v>11.5</v>
      </c>
      <c r="T69" s="242">
        <v>10</v>
      </c>
      <c r="U69" s="285"/>
      <c r="V69" s="228">
        <f t="shared" si="71"/>
        <v>10.75</v>
      </c>
      <c r="W69" s="229">
        <f t="shared" si="72"/>
        <v>6</v>
      </c>
      <c r="X69" s="241">
        <v>10</v>
      </c>
      <c r="Y69" s="242">
        <v>10</v>
      </c>
      <c r="Z69" s="285"/>
      <c r="AA69" s="228">
        <f t="shared" si="73"/>
        <v>10</v>
      </c>
      <c r="AB69" s="229">
        <f t="shared" si="74"/>
        <v>6</v>
      </c>
      <c r="AC69" s="232">
        <f t="shared" si="75"/>
        <v>10.25</v>
      </c>
      <c r="AD69" s="233">
        <f t="shared" si="76"/>
        <v>17</v>
      </c>
      <c r="AE69" s="242">
        <v>11.5</v>
      </c>
      <c r="AF69" s="285"/>
      <c r="AG69" s="234">
        <f t="shared" si="77"/>
        <v>11.5</v>
      </c>
      <c r="AH69" s="235">
        <f t="shared" si="78"/>
        <v>1</v>
      </c>
      <c r="AI69" s="241">
        <v>8</v>
      </c>
      <c r="AJ69" s="242">
        <v>0</v>
      </c>
      <c r="AK69" s="285">
        <v>9</v>
      </c>
      <c r="AL69" s="228">
        <f t="shared" si="79"/>
        <v>8.5</v>
      </c>
      <c r="AM69" s="229">
        <f t="shared" si="80"/>
        <v>0</v>
      </c>
      <c r="AN69" s="241">
        <v>9</v>
      </c>
      <c r="AO69" s="242">
        <v>0</v>
      </c>
      <c r="AP69" s="285"/>
      <c r="AQ69" s="228">
        <f t="shared" si="81"/>
        <v>4.5</v>
      </c>
      <c r="AR69" s="229">
        <f t="shared" si="82"/>
        <v>0</v>
      </c>
      <c r="AS69" s="236">
        <f t="shared" si="83"/>
        <v>7.5</v>
      </c>
      <c r="AT69" s="237">
        <f t="shared" si="84"/>
        <v>1</v>
      </c>
      <c r="AU69" s="241">
        <v>1</v>
      </c>
      <c r="AV69" s="242">
        <v>7</v>
      </c>
      <c r="AW69" s="285"/>
      <c r="AX69" s="228">
        <f t="shared" si="85"/>
        <v>4</v>
      </c>
      <c r="AY69" s="229">
        <f t="shared" si="86"/>
        <v>0</v>
      </c>
      <c r="AZ69" s="242">
        <v>14</v>
      </c>
      <c r="BA69" s="285"/>
      <c r="BB69" s="234">
        <f t="shared" si="87"/>
        <v>14</v>
      </c>
      <c r="BC69" s="235">
        <f t="shared" si="88"/>
        <v>1</v>
      </c>
      <c r="BD69" s="236">
        <f t="shared" si="89"/>
        <v>9</v>
      </c>
      <c r="BE69" s="237">
        <f t="shared" si="90"/>
        <v>1</v>
      </c>
      <c r="BF69" s="245">
        <v>11.5</v>
      </c>
      <c r="BG69" s="246">
        <v>11.5</v>
      </c>
      <c r="BH69" s="285"/>
      <c r="BI69" s="228">
        <f t="shared" si="91"/>
        <v>11.5</v>
      </c>
      <c r="BJ69" s="229">
        <f t="shared" si="92"/>
        <v>1</v>
      </c>
      <c r="BK69" s="236">
        <f t="shared" si="93"/>
        <v>11.5</v>
      </c>
      <c r="BL69" s="237">
        <f t="shared" si="94"/>
        <v>1</v>
      </c>
      <c r="BM69" s="239">
        <f t="shared" si="95"/>
        <v>9.1785714285714288</v>
      </c>
      <c r="BN69" s="240">
        <f t="shared" si="96"/>
        <v>20</v>
      </c>
      <c r="BO69" s="271">
        <v>12</v>
      </c>
      <c r="BP69" s="272">
        <v>12</v>
      </c>
      <c r="BQ69" s="140"/>
      <c r="BR69" s="228">
        <f t="shared" si="97"/>
        <v>12</v>
      </c>
      <c r="BS69" s="229">
        <f t="shared" si="98"/>
        <v>6</v>
      </c>
      <c r="BT69" s="241">
        <v>12.5</v>
      </c>
      <c r="BU69" s="242">
        <v>12.5</v>
      </c>
      <c r="BV69" s="285"/>
      <c r="BW69" s="228">
        <f t="shared" si="99"/>
        <v>12.5</v>
      </c>
      <c r="BX69" s="229">
        <f t="shared" si="100"/>
        <v>6</v>
      </c>
      <c r="BY69" s="241">
        <v>5.5</v>
      </c>
      <c r="BZ69" s="242">
        <v>5.5</v>
      </c>
      <c r="CA69" s="285"/>
      <c r="CB69" s="228">
        <f t="shared" si="101"/>
        <v>5.5</v>
      </c>
      <c r="CC69" s="229">
        <f t="shared" si="102"/>
        <v>0</v>
      </c>
      <c r="CD69" s="297">
        <f t="shared" si="103"/>
        <v>10.9</v>
      </c>
      <c r="CE69" s="233">
        <f t="shared" si="104"/>
        <v>16</v>
      </c>
      <c r="CF69" s="300">
        <v>10</v>
      </c>
      <c r="CG69" s="301">
        <v>10</v>
      </c>
      <c r="CH69" s="285"/>
      <c r="CI69" s="228">
        <f t="shared" si="105"/>
        <v>10</v>
      </c>
      <c r="CJ69" s="229">
        <f t="shared" si="106"/>
        <v>5</v>
      </c>
      <c r="CK69" s="230">
        <v>9</v>
      </c>
      <c r="CL69" s="231">
        <v>11.5</v>
      </c>
      <c r="CM69" s="285"/>
      <c r="CN69" s="228">
        <f t="shared" si="107"/>
        <v>10.25</v>
      </c>
      <c r="CO69" s="229">
        <f t="shared" si="108"/>
        <v>5</v>
      </c>
      <c r="CP69" s="232">
        <f t="shared" si="109"/>
        <v>10.125</v>
      </c>
      <c r="CQ69" s="233">
        <f t="shared" si="110"/>
        <v>10</v>
      </c>
      <c r="CR69" s="230">
        <v>13</v>
      </c>
      <c r="CS69" s="231">
        <v>11.25</v>
      </c>
      <c r="CT69" s="285"/>
      <c r="CU69" s="228">
        <f t="shared" si="111"/>
        <v>12.125</v>
      </c>
      <c r="CV69" s="229">
        <f t="shared" si="112"/>
        <v>3</v>
      </c>
      <c r="CW69" s="232">
        <f t="shared" si="113"/>
        <v>12.125</v>
      </c>
      <c r="CX69" s="233">
        <f t="shared" si="114"/>
        <v>3</v>
      </c>
      <c r="CY69" s="231">
        <v>11</v>
      </c>
      <c r="CZ69" s="285"/>
      <c r="DA69" s="234">
        <f t="shared" si="115"/>
        <v>11</v>
      </c>
      <c r="DB69" s="235">
        <f t="shared" si="116"/>
        <v>1</v>
      </c>
      <c r="DC69" s="232">
        <f t="shared" si="117"/>
        <v>11</v>
      </c>
      <c r="DD69" s="233">
        <f t="shared" si="118"/>
        <v>1</v>
      </c>
      <c r="DE69" s="65">
        <f t="shared" si="119"/>
        <v>10.854166666666666</v>
      </c>
      <c r="DF69" s="66">
        <f t="shared" si="120"/>
        <v>30</v>
      </c>
      <c r="DG69" s="31">
        <f t="shared" si="60"/>
        <v>9.1785714285714288</v>
      </c>
      <c r="DH69" s="32">
        <f t="shared" si="61"/>
        <v>30</v>
      </c>
      <c r="DI69" s="33">
        <f t="shared" si="62"/>
        <v>10.854166666666666</v>
      </c>
      <c r="DJ69" s="34">
        <f t="shared" si="63"/>
        <v>30</v>
      </c>
      <c r="DK69" s="67">
        <f t="shared" si="64"/>
        <v>10.016369047619047</v>
      </c>
      <c r="DL69" s="35">
        <f t="shared" si="65"/>
        <v>60</v>
      </c>
      <c r="DM69" s="59">
        <f t="shared" si="66"/>
        <v>93</v>
      </c>
      <c r="DN69" s="43" t="str">
        <f t="shared" si="122"/>
        <v>ناجح(ة)بتأخير</v>
      </c>
      <c r="DO69" s="44"/>
      <c r="DP69" s="50"/>
      <c r="DQ69" s="46"/>
    </row>
    <row r="70" spans="1:121" s="37" customFormat="1" ht="32.25" customHeight="1" thickBot="1">
      <c r="A70" s="49"/>
      <c r="B70" s="1">
        <f t="shared" si="121"/>
        <v>17</v>
      </c>
      <c r="C70" s="249" t="s">
        <v>367</v>
      </c>
      <c r="D70" s="249" t="s">
        <v>366</v>
      </c>
      <c r="E70" s="47" t="s">
        <v>368</v>
      </c>
      <c r="F70" s="135">
        <v>35185</v>
      </c>
      <c r="G70" s="136" t="s">
        <v>110</v>
      </c>
      <c r="H70" s="131">
        <v>10</v>
      </c>
      <c r="I70" s="132">
        <v>30</v>
      </c>
      <c r="J70" s="133">
        <v>10</v>
      </c>
      <c r="K70" s="134">
        <v>30</v>
      </c>
      <c r="L70" s="53">
        <f t="shared" si="67"/>
        <v>10</v>
      </c>
      <c r="M70" s="58">
        <f t="shared" si="68"/>
        <v>60</v>
      </c>
      <c r="N70" s="222">
        <v>13</v>
      </c>
      <c r="O70" s="223">
        <v>7</v>
      </c>
      <c r="P70" s="140"/>
      <c r="Q70" s="228">
        <f t="shared" si="69"/>
        <v>10</v>
      </c>
      <c r="R70" s="229">
        <f t="shared" si="70"/>
        <v>5</v>
      </c>
      <c r="S70" s="241">
        <v>13.5</v>
      </c>
      <c r="T70" s="242">
        <v>6.75</v>
      </c>
      <c r="U70" s="285"/>
      <c r="V70" s="228">
        <f t="shared" si="71"/>
        <v>10.125</v>
      </c>
      <c r="W70" s="229">
        <f t="shared" si="72"/>
        <v>6</v>
      </c>
      <c r="X70" s="241">
        <v>10</v>
      </c>
      <c r="Y70" s="242">
        <v>5</v>
      </c>
      <c r="Z70" s="285">
        <v>7</v>
      </c>
      <c r="AA70" s="228">
        <f t="shared" si="73"/>
        <v>8.5</v>
      </c>
      <c r="AB70" s="229">
        <f t="shared" si="74"/>
        <v>0</v>
      </c>
      <c r="AC70" s="232">
        <f t="shared" si="75"/>
        <v>9.5416666666666661</v>
      </c>
      <c r="AD70" s="233">
        <f t="shared" si="76"/>
        <v>11</v>
      </c>
      <c r="AE70" s="242">
        <v>6.5</v>
      </c>
      <c r="AF70" s="285"/>
      <c r="AG70" s="234">
        <f t="shared" si="77"/>
        <v>6.5</v>
      </c>
      <c r="AH70" s="235">
        <f t="shared" si="78"/>
        <v>0</v>
      </c>
      <c r="AI70" s="241">
        <v>2</v>
      </c>
      <c r="AJ70" s="242">
        <v>0</v>
      </c>
      <c r="AK70" s="285"/>
      <c r="AL70" s="228">
        <f t="shared" si="79"/>
        <v>1</v>
      </c>
      <c r="AM70" s="229">
        <f t="shared" si="80"/>
        <v>0</v>
      </c>
      <c r="AN70" s="241">
        <v>11.5</v>
      </c>
      <c r="AO70" s="242">
        <v>0</v>
      </c>
      <c r="AP70" s="285"/>
      <c r="AQ70" s="228">
        <f t="shared" si="81"/>
        <v>5.75</v>
      </c>
      <c r="AR70" s="229">
        <f t="shared" si="82"/>
        <v>0</v>
      </c>
      <c r="AS70" s="236">
        <f t="shared" si="83"/>
        <v>4</v>
      </c>
      <c r="AT70" s="237">
        <f t="shared" si="84"/>
        <v>0</v>
      </c>
      <c r="AU70" s="241">
        <v>3</v>
      </c>
      <c r="AV70" s="242">
        <v>1</v>
      </c>
      <c r="AW70" s="285"/>
      <c r="AX70" s="228">
        <f t="shared" si="85"/>
        <v>2</v>
      </c>
      <c r="AY70" s="229">
        <f t="shared" si="86"/>
        <v>0</v>
      </c>
      <c r="AZ70" s="242">
        <v>15</v>
      </c>
      <c r="BA70" s="285"/>
      <c r="BB70" s="234">
        <f t="shared" si="87"/>
        <v>15</v>
      </c>
      <c r="BC70" s="235">
        <f t="shared" si="88"/>
        <v>1</v>
      </c>
      <c r="BD70" s="236">
        <f t="shared" si="89"/>
        <v>8.5</v>
      </c>
      <c r="BE70" s="237">
        <f t="shared" si="90"/>
        <v>1</v>
      </c>
      <c r="BF70" s="241">
        <v>16.5</v>
      </c>
      <c r="BG70" s="242">
        <v>13</v>
      </c>
      <c r="BH70" s="285"/>
      <c r="BI70" s="228">
        <f t="shared" si="91"/>
        <v>14.75</v>
      </c>
      <c r="BJ70" s="229">
        <f t="shared" si="92"/>
        <v>1</v>
      </c>
      <c r="BK70" s="236">
        <f t="shared" si="93"/>
        <v>14.75</v>
      </c>
      <c r="BL70" s="237">
        <f t="shared" si="94"/>
        <v>1</v>
      </c>
      <c r="BM70" s="239">
        <f t="shared" si="95"/>
        <v>7.7857142857142856</v>
      </c>
      <c r="BN70" s="240">
        <f t="shared" si="96"/>
        <v>13</v>
      </c>
      <c r="BO70" s="273"/>
      <c r="BP70" s="274"/>
      <c r="BQ70" s="140"/>
      <c r="BR70" s="228">
        <f t="shared" si="97"/>
        <v>0</v>
      </c>
      <c r="BS70" s="229">
        <f t="shared" si="98"/>
        <v>0</v>
      </c>
      <c r="BT70" s="241">
        <v>11.5</v>
      </c>
      <c r="BU70" s="242">
        <v>10.5</v>
      </c>
      <c r="BV70" s="285"/>
      <c r="BW70" s="228">
        <f t="shared" si="99"/>
        <v>11</v>
      </c>
      <c r="BX70" s="229">
        <f t="shared" si="100"/>
        <v>6</v>
      </c>
      <c r="BY70" s="241">
        <v>2</v>
      </c>
      <c r="BZ70" s="242">
        <v>0</v>
      </c>
      <c r="CA70" s="285"/>
      <c r="CB70" s="228">
        <f t="shared" si="101"/>
        <v>1</v>
      </c>
      <c r="CC70" s="229">
        <f t="shared" si="102"/>
        <v>0</v>
      </c>
      <c r="CD70" s="297">
        <f t="shared" si="103"/>
        <v>4.5999999999999996</v>
      </c>
      <c r="CE70" s="233">
        <f t="shared" si="104"/>
        <v>6</v>
      </c>
      <c r="CF70" s="241">
        <v>11</v>
      </c>
      <c r="CG70" s="242">
        <v>11</v>
      </c>
      <c r="CH70" s="285"/>
      <c r="CI70" s="228">
        <f t="shared" si="105"/>
        <v>11</v>
      </c>
      <c r="CJ70" s="229">
        <f t="shared" si="106"/>
        <v>5</v>
      </c>
      <c r="CK70" s="230">
        <v>10</v>
      </c>
      <c r="CL70" s="231">
        <v>4</v>
      </c>
      <c r="CM70" s="285"/>
      <c r="CN70" s="228">
        <f t="shared" si="107"/>
        <v>7</v>
      </c>
      <c r="CO70" s="229">
        <f t="shared" si="108"/>
        <v>0</v>
      </c>
      <c r="CP70" s="232">
        <f t="shared" si="109"/>
        <v>9</v>
      </c>
      <c r="CQ70" s="233">
        <f t="shared" si="110"/>
        <v>5</v>
      </c>
      <c r="CR70" s="230"/>
      <c r="CS70" s="231">
        <v>2</v>
      </c>
      <c r="CT70" s="285"/>
      <c r="CU70" s="228">
        <f t="shared" si="111"/>
        <v>1</v>
      </c>
      <c r="CV70" s="229">
        <f t="shared" si="112"/>
        <v>0</v>
      </c>
      <c r="CW70" s="232">
        <f t="shared" si="113"/>
        <v>1</v>
      </c>
      <c r="CX70" s="233">
        <f t="shared" si="114"/>
        <v>0</v>
      </c>
      <c r="CY70" s="231">
        <v>1</v>
      </c>
      <c r="CZ70" s="285"/>
      <c r="DA70" s="234">
        <f t="shared" si="115"/>
        <v>1</v>
      </c>
      <c r="DB70" s="235">
        <f t="shared" si="116"/>
        <v>0</v>
      </c>
      <c r="DC70" s="232">
        <f t="shared" si="117"/>
        <v>1</v>
      </c>
      <c r="DD70" s="233">
        <f t="shared" si="118"/>
        <v>0</v>
      </c>
      <c r="DE70" s="65">
        <f t="shared" si="119"/>
        <v>5.166666666666667</v>
      </c>
      <c r="DF70" s="66">
        <f t="shared" si="120"/>
        <v>11</v>
      </c>
      <c r="DG70" s="31">
        <f t="shared" si="60"/>
        <v>7.7857142857142856</v>
      </c>
      <c r="DH70" s="32">
        <f t="shared" si="61"/>
        <v>13</v>
      </c>
      <c r="DI70" s="33">
        <f t="shared" si="62"/>
        <v>5.166666666666667</v>
      </c>
      <c r="DJ70" s="34">
        <f t="shared" si="63"/>
        <v>11</v>
      </c>
      <c r="DK70" s="67">
        <f t="shared" si="64"/>
        <v>6.4761904761904763</v>
      </c>
      <c r="DL70" s="35">
        <f t="shared" si="65"/>
        <v>24</v>
      </c>
      <c r="DM70" s="59">
        <f t="shared" si="66"/>
        <v>84</v>
      </c>
      <c r="DN70" s="43" t="str">
        <f t="shared" si="122"/>
        <v>راسب(ة)</v>
      </c>
      <c r="DP70" s="51"/>
      <c r="DQ70" s="46"/>
    </row>
    <row r="71" spans="1:121" s="37" customFormat="1" ht="32.25" customHeight="1" thickBot="1">
      <c r="A71" s="49"/>
      <c r="B71" s="1">
        <f t="shared" si="121"/>
        <v>18</v>
      </c>
      <c r="C71" s="249" t="s">
        <v>200</v>
      </c>
      <c r="D71" s="249" t="s">
        <v>201</v>
      </c>
      <c r="E71" s="47" t="s">
        <v>369</v>
      </c>
      <c r="F71" s="135">
        <v>35099</v>
      </c>
      <c r="G71" s="136" t="s">
        <v>397</v>
      </c>
      <c r="H71" s="131">
        <v>9.24</v>
      </c>
      <c r="I71" s="132">
        <v>30</v>
      </c>
      <c r="J71" s="133">
        <v>10.77</v>
      </c>
      <c r="K71" s="134">
        <v>30</v>
      </c>
      <c r="L71" s="53">
        <f t="shared" si="67"/>
        <v>10.004999999999999</v>
      </c>
      <c r="M71" s="58">
        <f t="shared" si="68"/>
        <v>60</v>
      </c>
      <c r="N71" s="222">
        <v>15</v>
      </c>
      <c r="O71" s="223">
        <v>16</v>
      </c>
      <c r="P71" s="140"/>
      <c r="Q71" s="228">
        <f t="shared" si="69"/>
        <v>15.5</v>
      </c>
      <c r="R71" s="229">
        <f t="shared" si="70"/>
        <v>5</v>
      </c>
      <c r="S71" s="241">
        <v>12</v>
      </c>
      <c r="T71" s="242">
        <v>1</v>
      </c>
      <c r="U71" s="285">
        <v>2.5</v>
      </c>
      <c r="V71" s="228">
        <f t="shared" si="71"/>
        <v>7.25</v>
      </c>
      <c r="W71" s="229">
        <f t="shared" si="72"/>
        <v>0</v>
      </c>
      <c r="X71" s="241">
        <v>10</v>
      </c>
      <c r="Y71" s="242">
        <v>2</v>
      </c>
      <c r="Z71" s="285">
        <v>3.5</v>
      </c>
      <c r="AA71" s="228">
        <f t="shared" si="73"/>
        <v>6.75</v>
      </c>
      <c r="AB71" s="229">
        <f t="shared" si="74"/>
        <v>0</v>
      </c>
      <c r="AC71" s="232">
        <f t="shared" si="75"/>
        <v>9.8333333333333339</v>
      </c>
      <c r="AD71" s="233">
        <f t="shared" si="76"/>
        <v>5</v>
      </c>
      <c r="AE71" s="242">
        <v>10</v>
      </c>
      <c r="AF71" s="285"/>
      <c r="AG71" s="234">
        <f t="shared" si="77"/>
        <v>10</v>
      </c>
      <c r="AH71" s="235">
        <f t="shared" si="78"/>
        <v>1</v>
      </c>
      <c r="AI71" s="241">
        <v>3</v>
      </c>
      <c r="AJ71" s="242">
        <v>6.5</v>
      </c>
      <c r="AK71" s="285"/>
      <c r="AL71" s="228">
        <f t="shared" si="79"/>
        <v>4.75</v>
      </c>
      <c r="AM71" s="229">
        <f t="shared" si="80"/>
        <v>0</v>
      </c>
      <c r="AN71" s="241">
        <v>8.5</v>
      </c>
      <c r="AO71" s="242">
        <v>3.5</v>
      </c>
      <c r="AP71" s="285"/>
      <c r="AQ71" s="228">
        <f t="shared" si="81"/>
        <v>6</v>
      </c>
      <c r="AR71" s="229">
        <f t="shared" si="82"/>
        <v>0</v>
      </c>
      <c r="AS71" s="236">
        <f t="shared" si="83"/>
        <v>6.3</v>
      </c>
      <c r="AT71" s="237">
        <f t="shared" si="84"/>
        <v>1</v>
      </c>
      <c r="AU71" s="241">
        <v>1</v>
      </c>
      <c r="AV71" s="242">
        <v>4</v>
      </c>
      <c r="AW71" s="285"/>
      <c r="AX71" s="228">
        <f t="shared" si="85"/>
        <v>2.5</v>
      </c>
      <c r="AY71" s="229">
        <f t="shared" si="86"/>
        <v>0</v>
      </c>
      <c r="AZ71" s="242">
        <v>1</v>
      </c>
      <c r="BA71" s="285"/>
      <c r="BB71" s="234">
        <f t="shared" si="87"/>
        <v>1</v>
      </c>
      <c r="BC71" s="235">
        <f t="shared" si="88"/>
        <v>0</v>
      </c>
      <c r="BD71" s="236">
        <f t="shared" si="89"/>
        <v>1.75</v>
      </c>
      <c r="BE71" s="237">
        <f t="shared" si="90"/>
        <v>0</v>
      </c>
      <c r="BF71" s="241">
        <v>8</v>
      </c>
      <c r="BG71" s="242">
        <v>7.5</v>
      </c>
      <c r="BH71" s="285"/>
      <c r="BI71" s="228">
        <f t="shared" si="91"/>
        <v>7.75</v>
      </c>
      <c r="BJ71" s="229">
        <f t="shared" si="92"/>
        <v>0</v>
      </c>
      <c r="BK71" s="236">
        <f t="shared" si="93"/>
        <v>7.75</v>
      </c>
      <c r="BL71" s="237">
        <f t="shared" si="94"/>
        <v>0</v>
      </c>
      <c r="BM71" s="239">
        <f t="shared" si="95"/>
        <v>7.2678571428571432</v>
      </c>
      <c r="BN71" s="240">
        <f t="shared" si="96"/>
        <v>6</v>
      </c>
      <c r="BO71" s="271">
        <v>11</v>
      </c>
      <c r="BP71" s="272">
        <v>2.5</v>
      </c>
      <c r="BQ71" s="140"/>
      <c r="BR71" s="228">
        <f t="shared" si="97"/>
        <v>6.75</v>
      </c>
      <c r="BS71" s="229">
        <f t="shared" si="98"/>
        <v>0</v>
      </c>
      <c r="BT71" s="241">
        <v>14</v>
      </c>
      <c r="BU71" s="242">
        <v>6</v>
      </c>
      <c r="BV71" s="285"/>
      <c r="BW71" s="228">
        <f t="shared" si="99"/>
        <v>10</v>
      </c>
      <c r="BX71" s="229">
        <f t="shared" si="100"/>
        <v>6</v>
      </c>
      <c r="BY71" s="241">
        <v>4</v>
      </c>
      <c r="BZ71" s="242">
        <v>2</v>
      </c>
      <c r="CA71" s="285"/>
      <c r="CB71" s="228">
        <f t="shared" si="101"/>
        <v>3</v>
      </c>
      <c r="CC71" s="229">
        <f t="shared" si="102"/>
        <v>0</v>
      </c>
      <c r="CD71" s="297">
        <f t="shared" si="103"/>
        <v>7.3</v>
      </c>
      <c r="CE71" s="233">
        <f t="shared" si="104"/>
        <v>6</v>
      </c>
      <c r="CF71" s="241">
        <v>6</v>
      </c>
      <c r="CG71" s="242">
        <v>3.75</v>
      </c>
      <c r="CH71" s="285"/>
      <c r="CI71" s="228">
        <f t="shared" si="105"/>
        <v>4.875</v>
      </c>
      <c r="CJ71" s="229">
        <f t="shared" si="106"/>
        <v>0</v>
      </c>
      <c r="CK71" s="230">
        <v>8</v>
      </c>
      <c r="CL71" s="231">
        <v>4</v>
      </c>
      <c r="CM71" s="285"/>
      <c r="CN71" s="228">
        <f t="shared" si="107"/>
        <v>6</v>
      </c>
      <c r="CO71" s="229">
        <f t="shared" si="108"/>
        <v>0</v>
      </c>
      <c r="CP71" s="232">
        <f t="shared" si="109"/>
        <v>5.4375</v>
      </c>
      <c r="CQ71" s="233">
        <f t="shared" si="110"/>
        <v>0</v>
      </c>
      <c r="CR71" s="230"/>
      <c r="CS71" s="231">
        <v>0</v>
      </c>
      <c r="CT71" s="285"/>
      <c r="CU71" s="228">
        <f t="shared" si="111"/>
        <v>0</v>
      </c>
      <c r="CV71" s="229">
        <f t="shared" si="112"/>
        <v>0</v>
      </c>
      <c r="CW71" s="232">
        <f t="shared" si="113"/>
        <v>0</v>
      </c>
      <c r="CX71" s="233">
        <f t="shared" si="114"/>
        <v>0</v>
      </c>
      <c r="CY71" s="231">
        <v>2</v>
      </c>
      <c r="CZ71" s="285"/>
      <c r="DA71" s="234">
        <f t="shared" si="115"/>
        <v>2</v>
      </c>
      <c r="DB71" s="235">
        <f t="shared" si="116"/>
        <v>0</v>
      </c>
      <c r="DC71" s="232">
        <f t="shared" si="117"/>
        <v>2</v>
      </c>
      <c r="DD71" s="233">
        <f t="shared" si="118"/>
        <v>0</v>
      </c>
      <c r="DE71" s="65">
        <f t="shared" si="119"/>
        <v>5.020833333333333</v>
      </c>
      <c r="DF71" s="66">
        <f t="shared" si="120"/>
        <v>6</v>
      </c>
      <c r="DG71" s="31">
        <f t="shared" si="60"/>
        <v>7.2678571428571432</v>
      </c>
      <c r="DH71" s="32">
        <f t="shared" si="61"/>
        <v>6</v>
      </c>
      <c r="DI71" s="33">
        <f t="shared" si="62"/>
        <v>5.020833333333333</v>
      </c>
      <c r="DJ71" s="34">
        <f t="shared" si="63"/>
        <v>6</v>
      </c>
      <c r="DK71" s="67">
        <f t="shared" si="64"/>
        <v>6.1443452380952381</v>
      </c>
      <c r="DL71" s="35">
        <f t="shared" si="65"/>
        <v>12</v>
      </c>
      <c r="DM71" s="59">
        <f t="shared" si="66"/>
        <v>72</v>
      </c>
      <c r="DN71" s="43" t="str">
        <f t="shared" si="122"/>
        <v>راسب(ة)</v>
      </c>
      <c r="DP71" s="51"/>
      <c r="DQ71" s="46"/>
    </row>
    <row r="72" spans="1:121" s="37" customFormat="1" ht="32.25" customHeight="1" thickBot="1">
      <c r="A72" s="49"/>
      <c r="B72" s="1">
        <f t="shared" si="121"/>
        <v>19</v>
      </c>
      <c r="C72" s="249" t="s">
        <v>202</v>
      </c>
      <c r="D72" s="249" t="s">
        <v>203</v>
      </c>
      <c r="E72" s="47" t="s">
        <v>370</v>
      </c>
      <c r="F72" s="135">
        <v>34304</v>
      </c>
      <c r="G72" s="136" t="s">
        <v>110</v>
      </c>
      <c r="H72" s="131">
        <v>7.49</v>
      </c>
      <c r="I72" s="132">
        <v>12</v>
      </c>
      <c r="J72" s="133">
        <v>9.3699999999999992</v>
      </c>
      <c r="K72" s="134">
        <v>18</v>
      </c>
      <c r="L72" s="53">
        <f t="shared" si="67"/>
        <v>8.43</v>
      </c>
      <c r="M72" s="58">
        <f t="shared" si="68"/>
        <v>30</v>
      </c>
      <c r="N72" s="222">
        <v>15</v>
      </c>
      <c r="O72" s="223">
        <v>9</v>
      </c>
      <c r="P72" s="140"/>
      <c r="Q72" s="228">
        <f t="shared" si="69"/>
        <v>12</v>
      </c>
      <c r="R72" s="229">
        <f t="shared" si="70"/>
        <v>5</v>
      </c>
      <c r="S72" s="241"/>
      <c r="T72" s="242"/>
      <c r="U72" s="285"/>
      <c r="V72" s="228">
        <f t="shared" si="71"/>
        <v>0</v>
      </c>
      <c r="W72" s="229">
        <f t="shared" si="72"/>
        <v>0</v>
      </c>
      <c r="X72" s="241">
        <v>6</v>
      </c>
      <c r="Y72" s="242">
        <v>5</v>
      </c>
      <c r="Z72" s="285"/>
      <c r="AA72" s="228">
        <f t="shared" si="73"/>
        <v>5.5</v>
      </c>
      <c r="AB72" s="229">
        <f t="shared" si="74"/>
        <v>0</v>
      </c>
      <c r="AC72" s="232">
        <f t="shared" si="75"/>
        <v>5.833333333333333</v>
      </c>
      <c r="AD72" s="233">
        <f t="shared" si="76"/>
        <v>5</v>
      </c>
      <c r="AE72" s="242">
        <v>3</v>
      </c>
      <c r="AF72" s="285"/>
      <c r="AG72" s="234">
        <f t="shared" si="77"/>
        <v>3</v>
      </c>
      <c r="AH72" s="235">
        <f t="shared" si="78"/>
        <v>0</v>
      </c>
      <c r="AI72" s="241">
        <v>5.5</v>
      </c>
      <c r="AJ72" s="242">
        <v>4.5</v>
      </c>
      <c r="AK72" s="285"/>
      <c r="AL72" s="228">
        <f t="shared" si="79"/>
        <v>5</v>
      </c>
      <c r="AM72" s="229">
        <f t="shared" si="80"/>
        <v>0</v>
      </c>
      <c r="AN72" s="241">
        <v>8.5</v>
      </c>
      <c r="AO72" s="242">
        <v>0.5</v>
      </c>
      <c r="AP72" s="285"/>
      <c r="AQ72" s="228">
        <f t="shared" si="81"/>
        <v>4.5</v>
      </c>
      <c r="AR72" s="229">
        <f t="shared" si="82"/>
        <v>0</v>
      </c>
      <c r="AS72" s="236">
        <f t="shared" si="83"/>
        <v>4.4000000000000004</v>
      </c>
      <c r="AT72" s="237">
        <f t="shared" si="84"/>
        <v>0</v>
      </c>
      <c r="AU72" s="241">
        <v>2</v>
      </c>
      <c r="AV72" s="242">
        <v>1</v>
      </c>
      <c r="AW72" s="285"/>
      <c r="AX72" s="228">
        <f t="shared" si="85"/>
        <v>1.5</v>
      </c>
      <c r="AY72" s="229">
        <f t="shared" si="86"/>
        <v>0</v>
      </c>
      <c r="AZ72" s="242">
        <v>0</v>
      </c>
      <c r="BA72" s="285"/>
      <c r="BB72" s="234">
        <f t="shared" si="87"/>
        <v>0</v>
      </c>
      <c r="BC72" s="235">
        <f t="shared" si="88"/>
        <v>0</v>
      </c>
      <c r="BD72" s="236">
        <f t="shared" si="89"/>
        <v>0.75</v>
      </c>
      <c r="BE72" s="237">
        <f t="shared" si="90"/>
        <v>0</v>
      </c>
      <c r="BF72" s="241">
        <v>12.25</v>
      </c>
      <c r="BG72" s="242">
        <v>5.5</v>
      </c>
      <c r="BH72" s="285"/>
      <c r="BI72" s="228">
        <f t="shared" si="91"/>
        <v>8.875</v>
      </c>
      <c r="BJ72" s="229">
        <f t="shared" si="92"/>
        <v>0</v>
      </c>
      <c r="BK72" s="236">
        <f t="shared" si="93"/>
        <v>8.875</v>
      </c>
      <c r="BL72" s="237">
        <f t="shared" si="94"/>
        <v>0</v>
      </c>
      <c r="BM72" s="239">
        <f t="shared" si="95"/>
        <v>4.8125</v>
      </c>
      <c r="BN72" s="240">
        <f t="shared" si="96"/>
        <v>5</v>
      </c>
      <c r="BO72" s="271">
        <v>5</v>
      </c>
      <c r="BP72" s="272"/>
      <c r="BQ72" s="140"/>
      <c r="BR72" s="228">
        <f t="shared" si="97"/>
        <v>2.5</v>
      </c>
      <c r="BS72" s="229">
        <f t="shared" si="98"/>
        <v>0</v>
      </c>
      <c r="BT72" s="282"/>
      <c r="BU72" s="283"/>
      <c r="BV72" s="285"/>
      <c r="BW72" s="228">
        <f t="shared" si="99"/>
        <v>0</v>
      </c>
      <c r="BX72" s="229">
        <f t="shared" si="100"/>
        <v>0</v>
      </c>
      <c r="BY72" s="282"/>
      <c r="BZ72" s="283"/>
      <c r="CA72" s="285"/>
      <c r="CB72" s="228">
        <f t="shared" si="101"/>
        <v>0</v>
      </c>
      <c r="CC72" s="229">
        <f t="shared" si="102"/>
        <v>0</v>
      </c>
      <c r="CD72" s="297">
        <f t="shared" si="103"/>
        <v>1</v>
      </c>
      <c r="CE72" s="233">
        <f t="shared" si="104"/>
        <v>0</v>
      </c>
      <c r="CF72" s="282">
        <v>0</v>
      </c>
      <c r="CG72" s="283"/>
      <c r="CH72" s="285"/>
      <c r="CI72" s="228">
        <f t="shared" si="105"/>
        <v>0</v>
      </c>
      <c r="CJ72" s="229">
        <f t="shared" si="106"/>
        <v>0</v>
      </c>
      <c r="CK72" s="230">
        <v>5</v>
      </c>
      <c r="CL72" s="231"/>
      <c r="CM72" s="285"/>
      <c r="CN72" s="228">
        <f t="shared" si="107"/>
        <v>2.5</v>
      </c>
      <c r="CO72" s="229">
        <f t="shared" si="108"/>
        <v>0</v>
      </c>
      <c r="CP72" s="232">
        <f t="shared" si="109"/>
        <v>1.25</v>
      </c>
      <c r="CQ72" s="233">
        <f t="shared" si="110"/>
        <v>0</v>
      </c>
      <c r="CR72" s="230"/>
      <c r="CS72" s="231"/>
      <c r="CT72" s="285"/>
      <c r="CU72" s="228">
        <f t="shared" si="111"/>
        <v>0</v>
      </c>
      <c r="CV72" s="229">
        <f t="shared" si="112"/>
        <v>0</v>
      </c>
      <c r="CW72" s="232">
        <f t="shared" si="113"/>
        <v>0</v>
      </c>
      <c r="CX72" s="233">
        <f t="shared" si="114"/>
        <v>0</v>
      </c>
      <c r="CY72" s="231"/>
      <c r="CZ72" s="285"/>
      <c r="DA72" s="234">
        <f t="shared" si="115"/>
        <v>0</v>
      </c>
      <c r="DB72" s="235">
        <f t="shared" si="116"/>
        <v>0</v>
      </c>
      <c r="DC72" s="232">
        <f t="shared" si="117"/>
        <v>0</v>
      </c>
      <c r="DD72" s="233">
        <f t="shared" si="118"/>
        <v>0</v>
      </c>
      <c r="DE72" s="65">
        <f t="shared" si="119"/>
        <v>0.83333333333333337</v>
      </c>
      <c r="DF72" s="66">
        <f t="shared" si="120"/>
        <v>0</v>
      </c>
      <c r="DG72" s="31">
        <f t="shared" si="60"/>
        <v>4.8125</v>
      </c>
      <c r="DH72" s="32">
        <f t="shared" si="61"/>
        <v>5</v>
      </c>
      <c r="DI72" s="33">
        <f t="shared" si="62"/>
        <v>0.83333333333333337</v>
      </c>
      <c r="DJ72" s="34">
        <f t="shared" si="63"/>
        <v>0</v>
      </c>
      <c r="DK72" s="67">
        <f t="shared" si="64"/>
        <v>2.8229166666666665</v>
      </c>
      <c r="DL72" s="35">
        <f t="shared" si="65"/>
        <v>5</v>
      </c>
      <c r="DM72" s="59">
        <f t="shared" si="66"/>
        <v>35</v>
      </c>
      <c r="DN72" s="43" t="s">
        <v>509</v>
      </c>
      <c r="DO72" s="44"/>
      <c r="DP72" s="50"/>
      <c r="DQ72" s="46"/>
    </row>
    <row r="73" spans="1:121" s="37" customFormat="1" ht="32.25" customHeight="1" thickBot="1">
      <c r="A73" s="49"/>
      <c r="B73" s="1">
        <f t="shared" si="121"/>
        <v>20</v>
      </c>
      <c r="C73" s="249" t="s">
        <v>204</v>
      </c>
      <c r="D73" s="249" t="s">
        <v>205</v>
      </c>
      <c r="E73" s="137" t="s">
        <v>371</v>
      </c>
      <c r="F73" s="135">
        <v>35683</v>
      </c>
      <c r="G73" s="136" t="s">
        <v>110</v>
      </c>
      <c r="H73" s="131">
        <v>9.94</v>
      </c>
      <c r="I73" s="132">
        <v>16</v>
      </c>
      <c r="J73" s="133">
        <v>9.48</v>
      </c>
      <c r="K73" s="134">
        <v>20</v>
      </c>
      <c r="L73" s="53">
        <f t="shared" si="67"/>
        <v>9.7100000000000009</v>
      </c>
      <c r="M73" s="58">
        <f t="shared" si="68"/>
        <v>36</v>
      </c>
      <c r="N73" s="222">
        <v>15</v>
      </c>
      <c r="O73" s="223">
        <v>7</v>
      </c>
      <c r="P73" s="140"/>
      <c r="Q73" s="228">
        <f t="shared" si="69"/>
        <v>11</v>
      </c>
      <c r="R73" s="229">
        <f t="shared" si="70"/>
        <v>5</v>
      </c>
      <c r="S73" s="241">
        <v>12</v>
      </c>
      <c r="T73" s="242">
        <v>2</v>
      </c>
      <c r="U73" s="285">
        <v>11</v>
      </c>
      <c r="V73" s="228">
        <f t="shared" si="71"/>
        <v>11.5</v>
      </c>
      <c r="W73" s="229">
        <f t="shared" si="72"/>
        <v>6</v>
      </c>
      <c r="X73" s="241">
        <v>7</v>
      </c>
      <c r="Y73" s="242">
        <v>4.75</v>
      </c>
      <c r="Z73" s="285"/>
      <c r="AA73" s="228">
        <f t="shared" si="73"/>
        <v>5.875</v>
      </c>
      <c r="AB73" s="229">
        <f t="shared" si="74"/>
        <v>0</v>
      </c>
      <c r="AC73" s="232">
        <f t="shared" si="75"/>
        <v>9.4583333333333339</v>
      </c>
      <c r="AD73" s="233">
        <f t="shared" si="76"/>
        <v>11</v>
      </c>
      <c r="AE73" s="242">
        <v>1.5</v>
      </c>
      <c r="AF73" s="285"/>
      <c r="AG73" s="234">
        <f t="shared" si="77"/>
        <v>1.5</v>
      </c>
      <c r="AH73" s="235">
        <f t="shared" si="78"/>
        <v>0</v>
      </c>
      <c r="AI73" s="241">
        <v>2.5</v>
      </c>
      <c r="AJ73" s="242">
        <v>1.25</v>
      </c>
      <c r="AK73" s="285"/>
      <c r="AL73" s="228">
        <f t="shared" si="79"/>
        <v>1.875</v>
      </c>
      <c r="AM73" s="229">
        <f t="shared" si="80"/>
        <v>0</v>
      </c>
      <c r="AN73" s="241">
        <v>8.25</v>
      </c>
      <c r="AO73" s="242">
        <v>1.5</v>
      </c>
      <c r="AP73" s="285"/>
      <c r="AQ73" s="228">
        <f t="shared" si="81"/>
        <v>4.875</v>
      </c>
      <c r="AR73" s="229">
        <f t="shared" si="82"/>
        <v>0</v>
      </c>
      <c r="AS73" s="236">
        <f t="shared" si="83"/>
        <v>3</v>
      </c>
      <c r="AT73" s="237">
        <f t="shared" si="84"/>
        <v>0</v>
      </c>
      <c r="AU73" s="241"/>
      <c r="AV73" s="242">
        <v>1</v>
      </c>
      <c r="AW73" s="285">
        <v>4</v>
      </c>
      <c r="AX73" s="228">
        <f t="shared" si="85"/>
        <v>2</v>
      </c>
      <c r="AY73" s="229">
        <f t="shared" si="86"/>
        <v>0</v>
      </c>
      <c r="AZ73" s="242">
        <v>5</v>
      </c>
      <c r="BA73" s="285"/>
      <c r="BB73" s="234">
        <f t="shared" si="87"/>
        <v>5</v>
      </c>
      <c r="BC73" s="235">
        <f t="shared" si="88"/>
        <v>0</v>
      </c>
      <c r="BD73" s="236">
        <f t="shared" si="89"/>
        <v>3.5</v>
      </c>
      <c r="BE73" s="237">
        <f t="shared" si="90"/>
        <v>0</v>
      </c>
      <c r="BF73" s="241">
        <v>10</v>
      </c>
      <c r="BG73" s="242">
        <v>5.5</v>
      </c>
      <c r="BH73" s="285">
        <v>12.5</v>
      </c>
      <c r="BI73" s="228">
        <f t="shared" si="91"/>
        <v>11.25</v>
      </c>
      <c r="BJ73" s="229">
        <f t="shared" si="92"/>
        <v>1</v>
      </c>
      <c r="BK73" s="236">
        <f t="shared" si="93"/>
        <v>11.25</v>
      </c>
      <c r="BL73" s="237">
        <f t="shared" si="94"/>
        <v>1</v>
      </c>
      <c r="BM73" s="239">
        <f t="shared" si="95"/>
        <v>6.4285714285714288</v>
      </c>
      <c r="BN73" s="240">
        <f t="shared" si="96"/>
        <v>12</v>
      </c>
      <c r="BO73" s="271">
        <v>10</v>
      </c>
      <c r="BP73" s="272">
        <v>2.5</v>
      </c>
      <c r="BQ73" s="140"/>
      <c r="BR73" s="228">
        <f t="shared" si="97"/>
        <v>6.25</v>
      </c>
      <c r="BS73" s="229">
        <f t="shared" si="98"/>
        <v>0</v>
      </c>
      <c r="BT73" s="241">
        <v>10</v>
      </c>
      <c r="BU73" s="242">
        <v>14.5</v>
      </c>
      <c r="BV73" s="285"/>
      <c r="BW73" s="228">
        <f t="shared" si="99"/>
        <v>12.25</v>
      </c>
      <c r="BX73" s="229">
        <f t="shared" si="100"/>
        <v>6</v>
      </c>
      <c r="BY73" s="282"/>
      <c r="BZ73" s="283">
        <v>0</v>
      </c>
      <c r="CA73" s="285"/>
      <c r="CB73" s="228">
        <f t="shared" si="101"/>
        <v>0</v>
      </c>
      <c r="CC73" s="229">
        <f t="shared" si="102"/>
        <v>0</v>
      </c>
      <c r="CD73" s="297">
        <f t="shared" si="103"/>
        <v>7.4</v>
      </c>
      <c r="CE73" s="233">
        <f t="shared" si="104"/>
        <v>6</v>
      </c>
      <c r="CF73" s="241">
        <v>3</v>
      </c>
      <c r="CG73" s="242">
        <v>8.5</v>
      </c>
      <c r="CH73" s="285"/>
      <c r="CI73" s="228">
        <f t="shared" si="105"/>
        <v>5.75</v>
      </c>
      <c r="CJ73" s="229">
        <f t="shared" si="106"/>
        <v>0</v>
      </c>
      <c r="CK73" s="230">
        <v>10</v>
      </c>
      <c r="CL73" s="231">
        <v>3.5</v>
      </c>
      <c r="CM73" s="285"/>
      <c r="CN73" s="228">
        <f t="shared" si="107"/>
        <v>6.75</v>
      </c>
      <c r="CO73" s="229">
        <f t="shared" si="108"/>
        <v>0</v>
      </c>
      <c r="CP73" s="232">
        <f t="shared" si="109"/>
        <v>6.25</v>
      </c>
      <c r="CQ73" s="233">
        <f t="shared" si="110"/>
        <v>0</v>
      </c>
      <c r="CR73" s="230">
        <v>15</v>
      </c>
      <c r="CS73" s="231">
        <v>0</v>
      </c>
      <c r="CT73" s="285"/>
      <c r="CU73" s="228">
        <f t="shared" si="111"/>
        <v>7.5</v>
      </c>
      <c r="CV73" s="229">
        <f t="shared" si="112"/>
        <v>0</v>
      </c>
      <c r="CW73" s="232">
        <f t="shared" si="113"/>
        <v>7.5</v>
      </c>
      <c r="CX73" s="233">
        <f t="shared" si="114"/>
        <v>0</v>
      </c>
      <c r="CY73" s="231">
        <v>8</v>
      </c>
      <c r="CZ73" s="285"/>
      <c r="DA73" s="234">
        <f t="shared" si="115"/>
        <v>8</v>
      </c>
      <c r="DB73" s="235">
        <f t="shared" si="116"/>
        <v>0</v>
      </c>
      <c r="DC73" s="232">
        <f t="shared" si="117"/>
        <v>8</v>
      </c>
      <c r="DD73" s="233">
        <f t="shared" si="118"/>
        <v>0</v>
      </c>
      <c r="DE73" s="65">
        <f t="shared" si="119"/>
        <v>7.083333333333333</v>
      </c>
      <c r="DF73" s="66">
        <f t="shared" si="120"/>
        <v>6</v>
      </c>
      <c r="DG73" s="31">
        <f t="shared" si="60"/>
        <v>6.4285714285714288</v>
      </c>
      <c r="DH73" s="32">
        <f t="shared" si="61"/>
        <v>12</v>
      </c>
      <c r="DI73" s="33">
        <f t="shared" si="62"/>
        <v>7.083333333333333</v>
      </c>
      <c r="DJ73" s="34">
        <f t="shared" si="63"/>
        <v>6</v>
      </c>
      <c r="DK73" s="67">
        <f t="shared" si="64"/>
        <v>6.7559523809523814</v>
      </c>
      <c r="DL73" s="35">
        <f t="shared" si="65"/>
        <v>18</v>
      </c>
      <c r="DM73" s="59">
        <f t="shared" si="66"/>
        <v>54</v>
      </c>
      <c r="DN73" s="43" t="str">
        <f t="shared" si="122"/>
        <v>راسب(ة)</v>
      </c>
      <c r="DO73" s="44"/>
      <c r="DP73" s="50"/>
      <c r="DQ73" s="46"/>
    </row>
    <row r="74" spans="1:121" s="37" customFormat="1" ht="32.25" customHeight="1" thickBot="1">
      <c r="A74" s="49"/>
      <c r="B74" s="1">
        <f t="shared" si="121"/>
        <v>21</v>
      </c>
      <c r="C74" s="249" t="s">
        <v>206</v>
      </c>
      <c r="D74" s="249" t="s">
        <v>207</v>
      </c>
      <c r="E74" s="47" t="s">
        <v>425</v>
      </c>
      <c r="F74" s="135">
        <v>33853</v>
      </c>
      <c r="G74" s="136" t="s">
        <v>110</v>
      </c>
      <c r="H74" s="131">
        <v>7.47</v>
      </c>
      <c r="I74" s="132">
        <v>15</v>
      </c>
      <c r="J74" s="133">
        <v>7.4</v>
      </c>
      <c r="K74" s="134">
        <v>21</v>
      </c>
      <c r="L74" s="53">
        <f t="shared" si="67"/>
        <v>7.4350000000000005</v>
      </c>
      <c r="M74" s="58">
        <f t="shared" si="68"/>
        <v>36</v>
      </c>
      <c r="N74" s="250">
        <v>9.5</v>
      </c>
      <c r="O74" s="251">
        <v>9.5</v>
      </c>
      <c r="P74" s="140"/>
      <c r="Q74" s="228">
        <f t="shared" si="69"/>
        <v>9.5</v>
      </c>
      <c r="R74" s="229">
        <f t="shared" si="70"/>
        <v>0</v>
      </c>
      <c r="S74" s="252">
        <v>8.25</v>
      </c>
      <c r="T74" s="253">
        <v>8.25</v>
      </c>
      <c r="U74" s="285"/>
      <c r="V74" s="228">
        <f t="shared" si="71"/>
        <v>8.25</v>
      </c>
      <c r="W74" s="229">
        <f t="shared" si="72"/>
        <v>0</v>
      </c>
      <c r="X74" s="241">
        <v>12.25</v>
      </c>
      <c r="Y74" s="242">
        <v>12.25</v>
      </c>
      <c r="Z74" s="285"/>
      <c r="AA74" s="228">
        <f t="shared" si="73"/>
        <v>12.25</v>
      </c>
      <c r="AB74" s="229">
        <f t="shared" si="74"/>
        <v>6</v>
      </c>
      <c r="AC74" s="232">
        <f t="shared" si="75"/>
        <v>10</v>
      </c>
      <c r="AD74" s="233">
        <f t="shared" si="76"/>
        <v>17</v>
      </c>
      <c r="AE74" s="242">
        <v>10</v>
      </c>
      <c r="AF74" s="285"/>
      <c r="AG74" s="234">
        <f t="shared" si="77"/>
        <v>10</v>
      </c>
      <c r="AH74" s="235">
        <f t="shared" si="78"/>
        <v>1</v>
      </c>
      <c r="AI74" s="241">
        <v>11.5</v>
      </c>
      <c r="AJ74" s="242">
        <v>10.5</v>
      </c>
      <c r="AK74" s="285"/>
      <c r="AL74" s="228">
        <f t="shared" si="79"/>
        <v>11</v>
      </c>
      <c r="AM74" s="229">
        <f t="shared" si="80"/>
        <v>3</v>
      </c>
      <c r="AN74" s="241">
        <v>8</v>
      </c>
      <c r="AO74" s="242">
        <v>0.5</v>
      </c>
      <c r="AP74" s="285"/>
      <c r="AQ74" s="228">
        <f t="shared" si="81"/>
        <v>4.25</v>
      </c>
      <c r="AR74" s="229">
        <f t="shared" si="82"/>
        <v>0</v>
      </c>
      <c r="AS74" s="236">
        <f t="shared" si="83"/>
        <v>8.1</v>
      </c>
      <c r="AT74" s="237">
        <f t="shared" si="84"/>
        <v>4</v>
      </c>
      <c r="AU74" s="252">
        <v>10</v>
      </c>
      <c r="AV74" s="253">
        <v>10</v>
      </c>
      <c r="AW74" s="285"/>
      <c r="AX74" s="228">
        <f t="shared" si="85"/>
        <v>10</v>
      </c>
      <c r="AY74" s="229">
        <f t="shared" si="86"/>
        <v>4</v>
      </c>
      <c r="AZ74" s="242">
        <v>5.5</v>
      </c>
      <c r="BA74" s="285"/>
      <c r="BB74" s="234">
        <f t="shared" si="87"/>
        <v>5.5</v>
      </c>
      <c r="BC74" s="235">
        <f t="shared" si="88"/>
        <v>0</v>
      </c>
      <c r="BD74" s="236">
        <f t="shared" si="89"/>
        <v>7.75</v>
      </c>
      <c r="BE74" s="237">
        <f t="shared" si="90"/>
        <v>4</v>
      </c>
      <c r="BF74" s="252">
        <v>11.25</v>
      </c>
      <c r="BG74" s="253">
        <v>11.25</v>
      </c>
      <c r="BH74" s="285"/>
      <c r="BI74" s="228">
        <f t="shared" si="91"/>
        <v>11.25</v>
      </c>
      <c r="BJ74" s="229">
        <f t="shared" si="92"/>
        <v>1</v>
      </c>
      <c r="BK74" s="236">
        <f t="shared" si="93"/>
        <v>11.25</v>
      </c>
      <c r="BL74" s="237">
        <f t="shared" si="94"/>
        <v>1</v>
      </c>
      <c r="BM74" s="239">
        <f t="shared" si="95"/>
        <v>9.0892857142857135</v>
      </c>
      <c r="BN74" s="240">
        <f t="shared" si="96"/>
        <v>26</v>
      </c>
      <c r="BO74" s="271">
        <v>13.5</v>
      </c>
      <c r="BP74" s="272">
        <v>10</v>
      </c>
      <c r="BQ74" s="140"/>
      <c r="BR74" s="228">
        <f t="shared" si="97"/>
        <v>11.75</v>
      </c>
      <c r="BS74" s="229">
        <f t="shared" si="98"/>
        <v>6</v>
      </c>
      <c r="BT74" s="241">
        <v>15</v>
      </c>
      <c r="BU74" s="242">
        <v>13.5</v>
      </c>
      <c r="BV74" s="285"/>
      <c r="BW74" s="228">
        <f t="shared" si="99"/>
        <v>14.25</v>
      </c>
      <c r="BX74" s="229">
        <f t="shared" si="100"/>
        <v>6</v>
      </c>
      <c r="BY74" s="241">
        <v>2</v>
      </c>
      <c r="BZ74" s="242">
        <v>0</v>
      </c>
      <c r="CA74" s="285"/>
      <c r="CB74" s="228">
        <f t="shared" si="101"/>
        <v>1</v>
      </c>
      <c r="CC74" s="229">
        <f t="shared" si="102"/>
        <v>0</v>
      </c>
      <c r="CD74" s="297">
        <f t="shared" si="103"/>
        <v>10.6</v>
      </c>
      <c r="CE74" s="233">
        <f t="shared" si="104"/>
        <v>16</v>
      </c>
      <c r="CF74" s="241">
        <v>15</v>
      </c>
      <c r="CG74" s="242">
        <v>15</v>
      </c>
      <c r="CH74" s="285"/>
      <c r="CI74" s="228">
        <f t="shared" si="105"/>
        <v>15</v>
      </c>
      <c r="CJ74" s="229">
        <f t="shared" si="106"/>
        <v>5</v>
      </c>
      <c r="CK74" s="230">
        <v>12</v>
      </c>
      <c r="CL74" s="231">
        <v>10</v>
      </c>
      <c r="CM74" s="285"/>
      <c r="CN74" s="228">
        <f t="shared" si="107"/>
        <v>11</v>
      </c>
      <c r="CO74" s="229">
        <f t="shared" si="108"/>
        <v>5</v>
      </c>
      <c r="CP74" s="232">
        <f t="shared" si="109"/>
        <v>13</v>
      </c>
      <c r="CQ74" s="233">
        <f t="shared" si="110"/>
        <v>10</v>
      </c>
      <c r="CR74" s="230">
        <v>16.5</v>
      </c>
      <c r="CS74" s="231">
        <v>13.5</v>
      </c>
      <c r="CT74" s="285"/>
      <c r="CU74" s="228">
        <f t="shared" si="111"/>
        <v>15</v>
      </c>
      <c r="CV74" s="229">
        <f t="shared" si="112"/>
        <v>3</v>
      </c>
      <c r="CW74" s="232">
        <f t="shared" si="113"/>
        <v>15</v>
      </c>
      <c r="CX74" s="233">
        <f t="shared" si="114"/>
        <v>3</v>
      </c>
      <c r="CY74" s="231">
        <v>10</v>
      </c>
      <c r="CZ74" s="285"/>
      <c r="DA74" s="234">
        <f t="shared" si="115"/>
        <v>10</v>
      </c>
      <c r="DB74" s="235">
        <f t="shared" si="116"/>
        <v>1</v>
      </c>
      <c r="DC74" s="232">
        <f t="shared" si="117"/>
        <v>10</v>
      </c>
      <c r="DD74" s="233">
        <f t="shared" si="118"/>
        <v>1</v>
      </c>
      <c r="DE74" s="65">
        <f t="shared" si="119"/>
        <v>12.083333333333334</v>
      </c>
      <c r="DF74" s="66">
        <f t="shared" si="120"/>
        <v>30</v>
      </c>
      <c r="DG74" s="31">
        <f t="shared" si="60"/>
        <v>9.0892857142857135</v>
      </c>
      <c r="DH74" s="32">
        <f t="shared" si="61"/>
        <v>30</v>
      </c>
      <c r="DI74" s="33">
        <f t="shared" si="62"/>
        <v>12.083333333333334</v>
      </c>
      <c r="DJ74" s="34">
        <f t="shared" si="63"/>
        <v>30</v>
      </c>
      <c r="DK74" s="67">
        <f t="shared" si="64"/>
        <v>10.586309523809524</v>
      </c>
      <c r="DL74" s="35">
        <f t="shared" si="65"/>
        <v>60</v>
      </c>
      <c r="DM74" s="59">
        <f t="shared" si="66"/>
        <v>96</v>
      </c>
      <c r="DN74" s="43" t="str">
        <f t="shared" si="122"/>
        <v>ناجح(ة)بتأخير</v>
      </c>
      <c r="DO74" s="44"/>
      <c r="DP74" s="50"/>
      <c r="DQ74" s="46"/>
    </row>
    <row r="75" spans="1:121" s="37" customFormat="1" ht="32.25" customHeight="1" thickBot="1">
      <c r="A75" s="49"/>
      <c r="B75" s="1">
        <f t="shared" si="121"/>
        <v>22</v>
      </c>
      <c r="C75" s="249" t="s">
        <v>208</v>
      </c>
      <c r="D75" s="249" t="s">
        <v>209</v>
      </c>
      <c r="E75" s="47" t="s">
        <v>372</v>
      </c>
      <c r="F75" s="135">
        <v>32839</v>
      </c>
      <c r="G75" s="52" t="s">
        <v>110</v>
      </c>
      <c r="H75" s="131">
        <v>8.8800000000000008</v>
      </c>
      <c r="I75" s="132">
        <v>28</v>
      </c>
      <c r="J75" s="133">
        <v>5.5</v>
      </c>
      <c r="K75" s="134">
        <v>10</v>
      </c>
      <c r="L75" s="53">
        <f t="shared" si="67"/>
        <v>7.19</v>
      </c>
      <c r="M75" s="58">
        <f t="shared" si="68"/>
        <v>38</v>
      </c>
      <c r="N75" s="279"/>
      <c r="O75" s="280"/>
      <c r="P75" s="281"/>
      <c r="Q75" s="286">
        <f t="shared" si="69"/>
        <v>0</v>
      </c>
      <c r="R75" s="287">
        <f t="shared" si="70"/>
        <v>0</v>
      </c>
      <c r="S75" s="282"/>
      <c r="T75" s="283"/>
      <c r="U75" s="288"/>
      <c r="V75" s="286">
        <f t="shared" si="71"/>
        <v>0</v>
      </c>
      <c r="W75" s="287">
        <f t="shared" si="72"/>
        <v>0</v>
      </c>
      <c r="X75" s="282">
        <v>0</v>
      </c>
      <c r="Y75" s="283"/>
      <c r="Z75" s="288"/>
      <c r="AA75" s="286">
        <f t="shared" si="73"/>
        <v>0</v>
      </c>
      <c r="AB75" s="287">
        <f t="shared" si="74"/>
        <v>0</v>
      </c>
      <c r="AC75" s="289">
        <f t="shared" si="75"/>
        <v>0</v>
      </c>
      <c r="AD75" s="290">
        <f t="shared" si="76"/>
        <v>0</v>
      </c>
      <c r="AE75" s="283"/>
      <c r="AF75" s="288"/>
      <c r="AG75" s="291">
        <f t="shared" si="77"/>
        <v>0</v>
      </c>
      <c r="AH75" s="292">
        <f t="shared" si="78"/>
        <v>0</v>
      </c>
      <c r="AI75" s="282"/>
      <c r="AJ75" s="283"/>
      <c r="AK75" s="288"/>
      <c r="AL75" s="286">
        <f t="shared" si="79"/>
        <v>0</v>
      </c>
      <c r="AM75" s="287">
        <f t="shared" si="80"/>
        <v>0</v>
      </c>
      <c r="AN75" s="282"/>
      <c r="AO75" s="283"/>
      <c r="AP75" s="288"/>
      <c r="AQ75" s="286">
        <f t="shared" si="81"/>
        <v>0</v>
      </c>
      <c r="AR75" s="287">
        <f t="shared" si="82"/>
        <v>0</v>
      </c>
      <c r="AS75" s="293">
        <f t="shared" si="83"/>
        <v>0</v>
      </c>
      <c r="AT75" s="294">
        <f t="shared" si="84"/>
        <v>0</v>
      </c>
      <c r="AU75" s="282"/>
      <c r="AV75" s="283"/>
      <c r="AW75" s="288"/>
      <c r="AX75" s="286">
        <f t="shared" si="85"/>
        <v>0</v>
      </c>
      <c r="AY75" s="287">
        <f t="shared" si="86"/>
        <v>0</v>
      </c>
      <c r="AZ75" s="283"/>
      <c r="BA75" s="288"/>
      <c r="BB75" s="291">
        <f t="shared" si="87"/>
        <v>0</v>
      </c>
      <c r="BC75" s="292">
        <f t="shared" si="88"/>
        <v>0</v>
      </c>
      <c r="BD75" s="293">
        <f t="shared" si="89"/>
        <v>0</v>
      </c>
      <c r="BE75" s="294">
        <f t="shared" si="90"/>
        <v>0</v>
      </c>
      <c r="BF75" s="282"/>
      <c r="BG75" s="283"/>
      <c r="BH75" s="288"/>
      <c r="BI75" s="286">
        <f t="shared" si="91"/>
        <v>0</v>
      </c>
      <c r="BJ75" s="287">
        <f t="shared" si="92"/>
        <v>0</v>
      </c>
      <c r="BK75" s="293">
        <f t="shared" si="93"/>
        <v>0</v>
      </c>
      <c r="BL75" s="294">
        <f t="shared" si="94"/>
        <v>0</v>
      </c>
      <c r="BM75" s="295">
        <f t="shared" si="95"/>
        <v>0</v>
      </c>
      <c r="BN75" s="296">
        <f t="shared" si="96"/>
        <v>0</v>
      </c>
      <c r="BO75" s="273"/>
      <c r="BP75" s="274"/>
      <c r="BQ75" s="281"/>
      <c r="BR75" s="286">
        <f t="shared" si="97"/>
        <v>0</v>
      </c>
      <c r="BS75" s="287">
        <f t="shared" si="98"/>
        <v>0</v>
      </c>
      <c r="BT75" s="282"/>
      <c r="BU75" s="283"/>
      <c r="BV75" s="288"/>
      <c r="BW75" s="286">
        <f t="shared" si="99"/>
        <v>0</v>
      </c>
      <c r="BX75" s="287">
        <f t="shared" si="100"/>
        <v>0</v>
      </c>
      <c r="BY75" s="282"/>
      <c r="BZ75" s="283"/>
      <c r="CA75" s="288"/>
      <c r="CB75" s="286">
        <f t="shared" si="101"/>
        <v>0</v>
      </c>
      <c r="CC75" s="287">
        <f t="shared" si="102"/>
        <v>0</v>
      </c>
      <c r="CD75" s="302">
        <f t="shared" si="103"/>
        <v>0</v>
      </c>
      <c r="CE75" s="290">
        <f t="shared" si="104"/>
        <v>0</v>
      </c>
      <c r="CF75" s="282">
        <v>0</v>
      </c>
      <c r="CG75" s="283"/>
      <c r="CH75" s="288"/>
      <c r="CI75" s="286">
        <f t="shared" si="105"/>
        <v>0</v>
      </c>
      <c r="CJ75" s="287">
        <f t="shared" si="106"/>
        <v>0</v>
      </c>
      <c r="CK75" s="298"/>
      <c r="CL75" s="299"/>
      <c r="CM75" s="288"/>
      <c r="CN75" s="286">
        <f t="shared" si="107"/>
        <v>0</v>
      </c>
      <c r="CO75" s="287">
        <f t="shared" si="108"/>
        <v>0</v>
      </c>
      <c r="CP75" s="289">
        <f t="shared" si="109"/>
        <v>0</v>
      </c>
      <c r="CQ75" s="290">
        <f t="shared" si="110"/>
        <v>0</v>
      </c>
      <c r="CR75" s="298"/>
      <c r="CS75" s="299"/>
      <c r="CT75" s="288"/>
      <c r="CU75" s="286">
        <f t="shared" si="111"/>
        <v>0</v>
      </c>
      <c r="CV75" s="287">
        <f t="shared" si="112"/>
        <v>0</v>
      </c>
      <c r="CW75" s="289">
        <f t="shared" si="113"/>
        <v>0</v>
      </c>
      <c r="CX75" s="290">
        <f t="shared" si="114"/>
        <v>0</v>
      </c>
      <c r="CY75" s="299"/>
      <c r="CZ75" s="288"/>
      <c r="DA75" s="291">
        <f t="shared" si="115"/>
        <v>0</v>
      </c>
      <c r="DB75" s="292">
        <f t="shared" si="116"/>
        <v>0</v>
      </c>
      <c r="DC75" s="289">
        <f t="shared" si="117"/>
        <v>0</v>
      </c>
      <c r="DD75" s="290">
        <f t="shared" si="118"/>
        <v>0</v>
      </c>
      <c r="DE75" s="254">
        <f t="shared" si="119"/>
        <v>0</v>
      </c>
      <c r="DF75" s="255">
        <f t="shared" si="120"/>
        <v>0</v>
      </c>
      <c r="DG75" s="256">
        <f t="shared" si="60"/>
        <v>0</v>
      </c>
      <c r="DH75" s="257">
        <f t="shared" si="61"/>
        <v>0</v>
      </c>
      <c r="DI75" s="258">
        <f t="shared" si="62"/>
        <v>0</v>
      </c>
      <c r="DJ75" s="259">
        <f t="shared" si="63"/>
        <v>0</v>
      </c>
      <c r="DK75" s="260">
        <f t="shared" si="64"/>
        <v>0</v>
      </c>
      <c r="DL75" s="261">
        <f t="shared" si="65"/>
        <v>0</v>
      </c>
      <c r="DM75" s="59">
        <f t="shared" si="66"/>
        <v>38</v>
      </c>
      <c r="DN75" s="43" t="s">
        <v>508</v>
      </c>
      <c r="DO75" s="44"/>
      <c r="DP75" s="50"/>
      <c r="DQ75" s="46"/>
    </row>
    <row r="76" spans="1:121" s="37" customFormat="1" ht="32.25" customHeight="1" thickBot="1">
      <c r="A76" s="49"/>
      <c r="B76" s="1">
        <f t="shared" si="121"/>
        <v>23</v>
      </c>
      <c r="C76" s="249" t="s">
        <v>210</v>
      </c>
      <c r="D76" s="249" t="s">
        <v>211</v>
      </c>
      <c r="E76" s="45" t="s">
        <v>426</v>
      </c>
      <c r="F76" s="135">
        <v>29150</v>
      </c>
      <c r="G76" s="136" t="s">
        <v>402</v>
      </c>
      <c r="H76" s="131">
        <v>7.07</v>
      </c>
      <c r="I76" s="132">
        <v>23</v>
      </c>
      <c r="J76" s="133">
        <v>4.4400000000000004</v>
      </c>
      <c r="K76" s="134">
        <v>11</v>
      </c>
      <c r="L76" s="53">
        <f t="shared" si="67"/>
        <v>5.7550000000000008</v>
      </c>
      <c r="M76" s="58">
        <f t="shared" si="68"/>
        <v>34</v>
      </c>
      <c r="N76" s="222">
        <v>15</v>
      </c>
      <c r="O76" s="223">
        <v>7</v>
      </c>
      <c r="P76" s="140"/>
      <c r="Q76" s="228">
        <f t="shared" si="69"/>
        <v>11</v>
      </c>
      <c r="R76" s="229">
        <f t="shared" si="70"/>
        <v>5</v>
      </c>
      <c r="S76" s="241">
        <v>10</v>
      </c>
      <c r="T76" s="242">
        <v>0</v>
      </c>
      <c r="U76" s="285">
        <v>5.25</v>
      </c>
      <c r="V76" s="228">
        <f t="shared" si="71"/>
        <v>7.625</v>
      </c>
      <c r="W76" s="229">
        <f t="shared" si="72"/>
        <v>0</v>
      </c>
      <c r="X76" s="241">
        <v>9</v>
      </c>
      <c r="Y76" s="242">
        <v>5.5</v>
      </c>
      <c r="Z76" s="285">
        <v>11</v>
      </c>
      <c r="AA76" s="228">
        <f t="shared" si="73"/>
        <v>10</v>
      </c>
      <c r="AB76" s="229">
        <f t="shared" si="74"/>
        <v>6</v>
      </c>
      <c r="AC76" s="232">
        <f t="shared" si="75"/>
        <v>9.5416666666666661</v>
      </c>
      <c r="AD76" s="233">
        <f t="shared" si="76"/>
        <v>11</v>
      </c>
      <c r="AE76" s="242">
        <v>12.5</v>
      </c>
      <c r="AF76" s="285"/>
      <c r="AG76" s="234">
        <f t="shared" si="77"/>
        <v>12.5</v>
      </c>
      <c r="AH76" s="235">
        <f t="shared" si="78"/>
        <v>1</v>
      </c>
      <c r="AI76" s="241">
        <v>9</v>
      </c>
      <c r="AJ76" s="242">
        <v>0</v>
      </c>
      <c r="AK76" s="285">
        <v>9.75</v>
      </c>
      <c r="AL76" s="228">
        <f t="shared" si="79"/>
        <v>9.375</v>
      </c>
      <c r="AM76" s="229">
        <f t="shared" si="80"/>
        <v>0</v>
      </c>
      <c r="AN76" s="241">
        <v>10</v>
      </c>
      <c r="AO76" s="242"/>
      <c r="AP76" s="285">
        <v>7.25</v>
      </c>
      <c r="AQ76" s="228">
        <f t="shared" si="81"/>
        <v>8.625</v>
      </c>
      <c r="AR76" s="229">
        <f t="shared" si="82"/>
        <v>0</v>
      </c>
      <c r="AS76" s="236">
        <f t="shared" si="83"/>
        <v>9.6999999999999993</v>
      </c>
      <c r="AT76" s="237">
        <f t="shared" si="84"/>
        <v>1</v>
      </c>
      <c r="AU76" s="245">
        <v>10.5</v>
      </c>
      <c r="AV76" s="242">
        <v>10.5</v>
      </c>
      <c r="AW76" s="285"/>
      <c r="AX76" s="228">
        <f t="shared" si="85"/>
        <v>10.5</v>
      </c>
      <c r="AY76" s="229">
        <f t="shared" si="86"/>
        <v>4</v>
      </c>
      <c r="AZ76" s="242"/>
      <c r="BA76" s="285">
        <v>10</v>
      </c>
      <c r="BB76" s="234">
        <f t="shared" si="87"/>
        <v>10</v>
      </c>
      <c r="BC76" s="235">
        <f t="shared" si="88"/>
        <v>1</v>
      </c>
      <c r="BD76" s="236">
        <f t="shared" si="89"/>
        <v>10.25</v>
      </c>
      <c r="BE76" s="237">
        <f t="shared" si="90"/>
        <v>5</v>
      </c>
      <c r="BF76" s="245">
        <v>14</v>
      </c>
      <c r="BG76" s="246">
        <v>14</v>
      </c>
      <c r="BH76" s="285"/>
      <c r="BI76" s="228">
        <f t="shared" si="91"/>
        <v>14</v>
      </c>
      <c r="BJ76" s="229">
        <f t="shared" si="92"/>
        <v>1</v>
      </c>
      <c r="BK76" s="236">
        <f t="shared" si="93"/>
        <v>14</v>
      </c>
      <c r="BL76" s="237">
        <f t="shared" si="94"/>
        <v>1</v>
      </c>
      <c r="BM76" s="239">
        <f t="shared" si="95"/>
        <v>10.017857142857142</v>
      </c>
      <c r="BN76" s="240">
        <f t="shared" si="96"/>
        <v>30</v>
      </c>
      <c r="BO76" s="271">
        <v>13.5</v>
      </c>
      <c r="BP76" s="272">
        <v>13.5</v>
      </c>
      <c r="BQ76" s="140"/>
      <c r="BR76" s="228">
        <f t="shared" si="97"/>
        <v>13.5</v>
      </c>
      <c r="BS76" s="229">
        <f t="shared" si="98"/>
        <v>6</v>
      </c>
      <c r="BT76" s="241">
        <v>11</v>
      </c>
      <c r="BU76" s="242">
        <v>6</v>
      </c>
      <c r="BV76" s="285">
        <v>10</v>
      </c>
      <c r="BW76" s="228">
        <f t="shared" si="99"/>
        <v>10.5</v>
      </c>
      <c r="BX76" s="229">
        <f t="shared" si="100"/>
        <v>6</v>
      </c>
      <c r="BY76" s="241">
        <v>11.5</v>
      </c>
      <c r="BZ76" s="242">
        <v>11.5</v>
      </c>
      <c r="CA76" s="285"/>
      <c r="CB76" s="228">
        <f t="shared" si="101"/>
        <v>11.5</v>
      </c>
      <c r="CC76" s="229">
        <f t="shared" si="102"/>
        <v>4</v>
      </c>
      <c r="CD76" s="297">
        <f t="shared" si="103"/>
        <v>11.9</v>
      </c>
      <c r="CE76" s="233">
        <f t="shared" si="104"/>
        <v>16</v>
      </c>
      <c r="CF76" s="241">
        <v>9</v>
      </c>
      <c r="CG76" s="242">
        <v>5</v>
      </c>
      <c r="CH76" s="285"/>
      <c r="CI76" s="228">
        <f t="shared" si="105"/>
        <v>7</v>
      </c>
      <c r="CJ76" s="229">
        <f t="shared" si="106"/>
        <v>0</v>
      </c>
      <c r="CK76" s="230">
        <v>12</v>
      </c>
      <c r="CL76" s="231">
        <v>3.5</v>
      </c>
      <c r="CM76" s="285">
        <v>6</v>
      </c>
      <c r="CN76" s="228">
        <f t="shared" si="107"/>
        <v>9</v>
      </c>
      <c r="CO76" s="229">
        <f t="shared" si="108"/>
        <v>0</v>
      </c>
      <c r="CP76" s="232">
        <f t="shared" si="109"/>
        <v>8</v>
      </c>
      <c r="CQ76" s="233">
        <f t="shared" si="110"/>
        <v>0</v>
      </c>
      <c r="CR76" s="230">
        <v>15</v>
      </c>
      <c r="CS76" s="231">
        <v>5.25</v>
      </c>
      <c r="CT76" s="285"/>
      <c r="CU76" s="228">
        <f t="shared" si="111"/>
        <v>10.125</v>
      </c>
      <c r="CV76" s="229">
        <f t="shared" si="112"/>
        <v>3</v>
      </c>
      <c r="CW76" s="232">
        <f t="shared" si="113"/>
        <v>10.125</v>
      </c>
      <c r="CX76" s="233">
        <f t="shared" si="114"/>
        <v>3</v>
      </c>
      <c r="CY76" s="231">
        <v>11</v>
      </c>
      <c r="CZ76" s="285"/>
      <c r="DA76" s="234">
        <f t="shared" si="115"/>
        <v>11</v>
      </c>
      <c r="DB76" s="235">
        <f t="shared" si="116"/>
        <v>1</v>
      </c>
      <c r="DC76" s="232">
        <f t="shared" si="117"/>
        <v>11</v>
      </c>
      <c r="DD76" s="233">
        <f t="shared" si="118"/>
        <v>1</v>
      </c>
      <c r="DE76" s="65">
        <f t="shared" si="119"/>
        <v>10.229166666666666</v>
      </c>
      <c r="DF76" s="66">
        <f t="shared" si="120"/>
        <v>30</v>
      </c>
      <c r="DG76" s="31">
        <f t="shared" si="60"/>
        <v>10.017857142857142</v>
      </c>
      <c r="DH76" s="32">
        <f t="shared" si="61"/>
        <v>30</v>
      </c>
      <c r="DI76" s="33">
        <f t="shared" si="62"/>
        <v>10.229166666666666</v>
      </c>
      <c r="DJ76" s="34">
        <f t="shared" si="63"/>
        <v>30</v>
      </c>
      <c r="DK76" s="67">
        <f t="shared" si="64"/>
        <v>10.123511904761905</v>
      </c>
      <c r="DL76" s="35">
        <f t="shared" si="65"/>
        <v>60</v>
      </c>
      <c r="DM76" s="59">
        <f t="shared" si="66"/>
        <v>94</v>
      </c>
      <c r="DN76" s="43" t="str">
        <f t="shared" si="122"/>
        <v>ناجح(ة)بتأخير</v>
      </c>
      <c r="DO76" s="44"/>
      <c r="DP76" s="50"/>
      <c r="DQ76" s="46"/>
    </row>
    <row r="77" spans="1:121" s="37" customFormat="1" ht="32.25" customHeight="1" thickBot="1">
      <c r="A77" s="49"/>
      <c r="B77" s="1">
        <f t="shared" si="121"/>
        <v>24</v>
      </c>
      <c r="C77" s="249" t="s">
        <v>212</v>
      </c>
      <c r="D77" s="249" t="s">
        <v>213</v>
      </c>
      <c r="E77" s="47" t="s">
        <v>373</v>
      </c>
      <c r="F77" s="135">
        <v>34348</v>
      </c>
      <c r="G77" s="136" t="s">
        <v>110</v>
      </c>
      <c r="H77" s="131">
        <v>9.89</v>
      </c>
      <c r="I77" s="132">
        <v>29</v>
      </c>
      <c r="J77" s="133">
        <v>5.48</v>
      </c>
      <c r="K77" s="134">
        <v>10</v>
      </c>
      <c r="L77" s="53">
        <f t="shared" si="67"/>
        <v>7.6850000000000005</v>
      </c>
      <c r="M77" s="58">
        <f t="shared" si="68"/>
        <v>39</v>
      </c>
      <c r="N77" s="222">
        <v>10</v>
      </c>
      <c r="O77" s="223">
        <v>1</v>
      </c>
      <c r="P77" s="140">
        <v>10</v>
      </c>
      <c r="Q77" s="228">
        <f t="shared" si="69"/>
        <v>10</v>
      </c>
      <c r="R77" s="229">
        <f t="shared" si="70"/>
        <v>5</v>
      </c>
      <c r="S77" s="241">
        <v>7.5</v>
      </c>
      <c r="T77" s="242"/>
      <c r="U77" s="285">
        <v>15</v>
      </c>
      <c r="V77" s="228">
        <f t="shared" si="71"/>
        <v>11.25</v>
      </c>
      <c r="W77" s="229">
        <f t="shared" si="72"/>
        <v>6</v>
      </c>
      <c r="X77" s="241">
        <v>9</v>
      </c>
      <c r="Y77" s="242">
        <v>5.75</v>
      </c>
      <c r="Z77" s="285">
        <v>7.5</v>
      </c>
      <c r="AA77" s="228">
        <f t="shared" si="73"/>
        <v>8.25</v>
      </c>
      <c r="AB77" s="229">
        <f t="shared" si="74"/>
        <v>0</v>
      </c>
      <c r="AC77" s="232">
        <f t="shared" si="75"/>
        <v>9.8333333333333339</v>
      </c>
      <c r="AD77" s="233">
        <f t="shared" si="76"/>
        <v>11</v>
      </c>
      <c r="AE77" s="242">
        <v>8.5</v>
      </c>
      <c r="AF77" s="285">
        <v>11</v>
      </c>
      <c r="AG77" s="234">
        <f t="shared" si="77"/>
        <v>11</v>
      </c>
      <c r="AH77" s="235">
        <f t="shared" si="78"/>
        <v>1</v>
      </c>
      <c r="AI77" s="241">
        <v>5.5</v>
      </c>
      <c r="AJ77" s="242">
        <v>0</v>
      </c>
      <c r="AK77" s="285">
        <v>5</v>
      </c>
      <c r="AL77" s="228">
        <f t="shared" si="79"/>
        <v>5.25</v>
      </c>
      <c r="AM77" s="229">
        <f t="shared" si="80"/>
        <v>0</v>
      </c>
      <c r="AN77" s="241">
        <v>10</v>
      </c>
      <c r="AO77" s="242">
        <v>1</v>
      </c>
      <c r="AP77" s="285"/>
      <c r="AQ77" s="228">
        <f t="shared" si="81"/>
        <v>5.5</v>
      </c>
      <c r="AR77" s="229">
        <f t="shared" si="82"/>
        <v>0</v>
      </c>
      <c r="AS77" s="236">
        <f t="shared" si="83"/>
        <v>6.5</v>
      </c>
      <c r="AT77" s="237">
        <f t="shared" si="84"/>
        <v>1</v>
      </c>
      <c r="AU77" s="241">
        <v>6</v>
      </c>
      <c r="AV77" s="242">
        <v>3</v>
      </c>
      <c r="AW77" s="285">
        <v>8</v>
      </c>
      <c r="AX77" s="228">
        <f t="shared" si="85"/>
        <v>7</v>
      </c>
      <c r="AY77" s="229">
        <f t="shared" si="86"/>
        <v>0</v>
      </c>
      <c r="AZ77" s="242">
        <v>7.5</v>
      </c>
      <c r="BA77" s="285">
        <v>16</v>
      </c>
      <c r="BB77" s="234">
        <f t="shared" si="87"/>
        <v>16</v>
      </c>
      <c r="BC77" s="235">
        <f t="shared" si="88"/>
        <v>1</v>
      </c>
      <c r="BD77" s="236">
        <f t="shared" si="89"/>
        <v>11.5</v>
      </c>
      <c r="BE77" s="237">
        <f t="shared" si="90"/>
        <v>5</v>
      </c>
      <c r="BF77" s="241">
        <v>15</v>
      </c>
      <c r="BG77" s="242">
        <v>6</v>
      </c>
      <c r="BH77" s="285"/>
      <c r="BI77" s="228">
        <f t="shared" si="91"/>
        <v>10.5</v>
      </c>
      <c r="BJ77" s="229">
        <f t="shared" si="92"/>
        <v>1</v>
      </c>
      <c r="BK77" s="236">
        <f t="shared" si="93"/>
        <v>10.5</v>
      </c>
      <c r="BL77" s="237">
        <f t="shared" si="94"/>
        <v>1</v>
      </c>
      <c r="BM77" s="239">
        <f t="shared" si="95"/>
        <v>8.9285714285714288</v>
      </c>
      <c r="BN77" s="240">
        <f t="shared" si="96"/>
        <v>18</v>
      </c>
      <c r="BO77" s="271">
        <v>7</v>
      </c>
      <c r="BP77" s="272">
        <v>3.5</v>
      </c>
      <c r="BQ77" s="140">
        <v>15</v>
      </c>
      <c r="BR77" s="228">
        <f t="shared" si="97"/>
        <v>11</v>
      </c>
      <c r="BS77" s="229">
        <f t="shared" si="98"/>
        <v>6</v>
      </c>
      <c r="BT77" s="241">
        <v>10.5</v>
      </c>
      <c r="BU77" s="242">
        <v>9.5</v>
      </c>
      <c r="BV77" s="285"/>
      <c r="BW77" s="228">
        <f t="shared" si="99"/>
        <v>10</v>
      </c>
      <c r="BX77" s="229">
        <f t="shared" si="100"/>
        <v>6</v>
      </c>
      <c r="BY77" s="282"/>
      <c r="BZ77" s="283"/>
      <c r="CA77" s="285"/>
      <c r="CB77" s="228">
        <f t="shared" si="101"/>
        <v>0</v>
      </c>
      <c r="CC77" s="229">
        <f t="shared" si="102"/>
        <v>0</v>
      </c>
      <c r="CD77" s="297">
        <f t="shared" si="103"/>
        <v>8.4</v>
      </c>
      <c r="CE77" s="233">
        <f t="shared" si="104"/>
        <v>12</v>
      </c>
      <c r="CF77" s="241">
        <v>10</v>
      </c>
      <c r="CG77" s="242">
        <v>7.25</v>
      </c>
      <c r="CH77" s="285"/>
      <c r="CI77" s="228">
        <f t="shared" si="105"/>
        <v>8.625</v>
      </c>
      <c r="CJ77" s="229">
        <f t="shared" si="106"/>
        <v>0</v>
      </c>
      <c r="CK77" s="230">
        <v>12</v>
      </c>
      <c r="CL77" s="231">
        <v>4</v>
      </c>
      <c r="CM77" s="285"/>
      <c r="CN77" s="228">
        <f t="shared" si="107"/>
        <v>8</v>
      </c>
      <c r="CO77" s="229">
        <f t="shared" si="108"/>
        <v>0</v>
      </c>
      <c r="CP77" s="232">
        <f t="shared" si="109"/>
        <v>8.3125</v>
      </c>
      <c r="CQ77" s="233">
        <f t="shared" si="110"/>
        <v>0</v>
      </c>
      <c r="CR77" s="230">
        <v>16.5</v>
      </c>
      <c r="CS77" s="231">
        <v>8</v>
      </c>
      <c r="CT77" s="285"/>
      <c r="CU77" s="228">
        <f t="shared" si="111"/>
        <v>12.25</v>
      </c>
      <c r="CV77" s="229">
        <f t="shared" si="112"/>
        <v>3</v>
      </c>
      <c r="CW77" s="232">
        <f t="shared" si="113"/>
        <v>12.25</v>
      </c>
      <c r="CX77" s="233">
        <f t="shared" si="114"/>
        <v>3</v>
      </c>
      <c r="CY77" s="231">
        <v>10</v>
      </c>
      <c r="CZ77" s="285"/>
      <c r="DA77" s="234">
        <f t="shared" si="115"/>
        <v>10</v>
      </c>
      <c r="DB77" s="235">
        <f t="shared" si="116"/>
        <v>1</v>
      </c>
      <c r="DC77" s="232">
        <f t="shared" si="117"/>
        <v>10</v>
      </c>
      <c r="DD77" s="233">
        <f t="shared" si="118"/>
        <v>1</v>
      </c>
      <c r="DE77" s="65">
        <f t="shared" si="119"/>
        <v>9.1458333333333339</v>
      </c>
      <c r="DF77" s="66">
        <f t="shared" si="120"/>
        <v>16</v>
      </c>
      <c r="DG77" s="31">
        <f t="shared" si="60"/>
        <v>8.9285714285714288</v>
      </c>
      <c r="DH77" s="32">
        <f t="shared" si="61"/>
        <v>18</v>
      </c>
      <c r="DI77" s="33">
        <f t="shared" si="62"/>
        <v>9.1458333333333339</v>
      </c>
      <c r="DJ77" s="34">
        <f t="shared" si="63"/>
        <v>16</v>
      </c>
      <c r="DK77" s="67">
        <f t="shared" si="64"/>
        <v>9.0372023809523814</v>
      </c>
      <c r="DL77" s="35">
        <f t="shared" si="65"/>
        <v>34</v>
      </c>
      <c r="DM77" s="59">
        <f t="shared" si="66"/>
        <v>73</v>
      </c>
      <c r="DN77" s="43" t="str">
        <f t="shared" si="122"/>
        <v>راسب(ة)</v>
      </c>
      <c r="DO77" s="44"/>
      <c r="DP77" s="50"/>
      <c r="DQ77" s="46"/>
    </row>
    <row r="78" spans="1:121" s="37" customFormat="1" ht="32.25" customHeight="1" thickBot="1">
      <c r="A78" s="49"/>
      <c r="B78" s="1">
        <f t="shared" si="121"/>
        <v>25</v>
      </c>
      <c r="C78" s="249" t="s">
        <v>214</v>
      </c>
      <c r="D78" s="249" t="s">
        <v>215</v>
      </c>
      <c r="E78" s="47" t="s">
        <v>374</v>
      </c>
      <c r="F78" s="135">
        <v>35804</v>
      </c>
      <c r="G78" s="136" t="s">
        <v>110</v>
      </c>
      <c r="H78" s="131">
        <v>9.08</v>
      </c>
      <c r="I78" s="132">
        <v>22</v>
      </c>
      <c r="J78" s="133">
        <v>7.52</v>
      </c>
      <c r="K78" s="134">
        <v>11</v>
      </c>
      <c r="L78" s="53">
        <f t="shared" si="67"/>
        <v>8.3000000000000007</v>
      </c>
      <c r="M78" s="58">
        <f t="shared" si="68"/>
        <v>33</v>
      </c>
      <c r="N78" s="222">
        <v>13</v>
      </c>
      <c r="O78" s="223">
        <v>9</v>
      </c>
      <c r="P78" s="140"/>
      <c r="Q78" s="228">
        <f t="shared" si="69"/>
        <v>11</v>
      </c>
      <c r="R78" s="229">
        <f t="shared" si="70"/>
        <v>5</v>
      </c>
      <c r="S78" s="241">
        <v>13.5</v>
      </c>
      <c r="T78" s="242">
        <v>6.5</v>
      </c>
      <c r="U78" s="285"/>
      <c r="V78" s="228">
        <f t="shared" si="71"/>
        <v>10</v>
      </c>
      <c r="W78" s="229">
        <f t="shared" si="72"/>
        <v>6</v>
      </c>
      <c r="X78" s="241">
        <v>10</v>
      </c>
      <c r="Y78" s="242">
        <v>6.5</v>
      </c>
      <c r="Z78" s="285">
        <v>10</v>
      </c>
      <c r="AA78" s="228">
        <f t="shared" si="73"/>
        <v>10</v>
      </c>
      <c r="AB78" s="229">
        <f t="shared" si="74"/>
        <v>6</v>
      </c>
      <c r="AC78" s="232">
        <f t="shared" si="75"/>
        <v>10.333333333333334</v>
      </c>
      <c r="AD78" s="233">
        <f t="shared" si="76"/>
        <v>17</v>
      </c>
      <c r="AE78" s="242">
        <v>7.5</v>
      </c>
      <c r="AF78" s="285"/>
      <c r="AG78" s="234">
        <f t="shared" si="77"/>
        <v>7.5</v>
      </c>
      <c r="AH78" s="235">
        <f t="shared" si="78"/>
        <v>0</v>
      </c>
      <c r="AI78" s="241">
        <v>7.5</v>
      </c>
      <c r="AJ78" s="242">
        <v>4.5</v>
      </c>
      <c r="AK78" s="285"/>
      <c r="AL78" s="228">
        <f t="shared" si="79"/>
        <v>6</v>
      </c>
      <c r="AM78" s="229">
        <f t="shared" si="80"/>
        <v>0</v>
      </c>
      <c r="AN78" s="241">
        <v>7</v>
      </c>
      <c r="AO78" s="242">
        <v>1.25</v>
      </c>
      <c r="AP78" s="285"/>
      <c r="AQ78" s="228">
        <f t="shared" si="81"/>
        <v>4.125</v>
      </c>
      <c r="AR78" s="229">
        <f t="shared" si="82"/>
        <v>0</v>
      </c>
      <c r="AS78" s="236">
        <f t="shared" si="83"/>
        <v>5.55</v>
      </c>
      <c r="AT78" s="237">
        <f t="shared" si="84"/>
        <v>0</v>
      </c>
      <c r="AU78" s="241">
        <v>3</v>
      </c>
      <c r="AV78" s="242">
        <v>1</v>
      </c>
      <c r="AW78" s="285">
        <v>8</v>
      </c>
      <c r="AX78" s="228">
        <f t="shared" si="85"/>
        <v>5.5</v>
      </c>
      <c r="AY78" s="229">
        <f t="shared" si="86"/>
        <v>0</v>
      </c>
      <c r="AZ78" s="242">
        <v>1</v>
      </c>
      <c r="BA78" s="285">
        <v>10</v>
      </c>
      <c r="BB78" s="234">
        <f t="shared" si="87"/>
        <v>10</v>
      </c>
      <c r="BC78" s="235">
        <f t="shared" si="88"/>
        <v>1</v>
      </c>
      <c r="BD78" s="236">
        <f t="shared" si="89"/>
        <v>7.75</v>
      </c>
      <c r="BE78" s="237">
        <f t="shared" si="90"/>
        <v>1</v>
      </c>
      <c r="BF78" s="241">
        <v>13.25</v>
      </c>
      <c r="BG78" s="242">
        <v>9</v>
      </c>
      <c r="BH78" s="285"/>
      <c r="BI78" s="228">
        <f t="shared" si="91"/>
        <v>11.125</v>
      </c>
      <c r="BJ78" s="229">
        <f t="shared" si="92"/>
        <v>1</v>
      </c>
      <c r="BK78" s="236">
        <f t="shared" si="93"/>
        <v>11.125</v>
      </c>
      <c r="BL78" s="237">
        <f t="shared" si="94"/>
        <v>1</v>
      </c>
      <c r="BM78" s="239">
        <f t="shared" si="95"/>
        <v>8.3125</v>
      </c>
      <c r="BN78" s="240">
        <f t="shared" si="96"/>
        <v>19</v>
      </c>
      <c r="BO78" s="271">
        <v>10</v>
      </c>
      <c r="BP78" s="272">
        <v>3</v>
      </c>
      <c r="BQ78" s="140">
        <v>11</v>
      </c>
      <c r="BR78" s="228">
        <f t="shared" si="97"/>
        <v>10.5</v>
      </c>
      <c r="BS78" s="229">
        <f t="shared" si="98"/>
        <v>6</v>
      </c>
      <c r="BT78" s="241">
        <v>11</v>
      </c>
      <c r="BU78" s="242">
        <v>9</v>
      </c>
      <c r="BV78" s="285"/>
      <c r="BW78" s="228">
        <f t="shared" si="99"/>
        <v>10</v>
      </c>
      <c r="BX78" s="229">
        <f t="shared" si="100"/>
        <v>6</v>
      </c>
      <c r="BY78" s="241">
        <v>3</v>
      </c>
      <c r="BZ78" s="242">
        <v>0</v>
      </c>
      <c r="CA78" s="285">
        <v>4</v>
      </c>
      <c r="CB78" s="228">
        <f t="shared" si="101"/>
        <v>3.5</v>
      </c>
      <c r="CC78" s="229">
        <f t="shared" si="102"/>
        <v>0</v>
      </c>
      <c r="CD78" s="297">
        <f t="shared" si="103"/>
        <v>8.9</v>
      </c>
      <c r="CE78" s="233">
        <f t="shared" si="104"/>
        <v>12</v>
      </c>
      <c r="CF78" s="241">
        <v>4</v>
      </c>
      <c r="CG78" s="242">
        <v>8.75</v>
      </c>
      <c r="CH78" s="285"/>
      <c r="CI78" s="228">
        <f t="shared" si="105"/>
        <v>6.375</v>
      </c>
      <c r="CJ78" s="229">
        <f t="shared" si="106"/>
        <v>0</v>
      </c>
      <c r="CK78" s="230">
        <v>10</v>
      </c>
      <c r="CL78" s="231">
        <v>3</v>
      </c>
      <c r="CM78" s="285">
        <v>10</v>
      </c>
      <c r="CN78" s="228">
        <f t="shared" si="107"/>
        <v>10</v>
      </c>
      <c r="CO78" s="229">
        <f t="shared" si="108"/>
        <v>5</v>
      </c>
      <c r="CP78" s="232">
        <f t="shared" si="109"/>
        <v>8.1875</v>
      </c>
      <c r="CQ78" s="233">
        <f t="shared" si="110"/>
        <v>5</v>
      </c>
      <c r="CR78" s="230">
        <v>13.5</v>
      </c>
      <c r="CS78" s="231">
        <v>5</v>
      </c>
      <c r="CT78" s="285"/>
      <c r="CU78" s="228">
        <f t="shared" si="111"/>
        <v>9.25</v>
      </c>
      <c r="CV78" s="229">
        <f t="shared" si="112"/>
        <v>0</v>
      </c>
      <c r="CW78" s="232">
        <f t="shared" si="113"/>
        <v>9.25</v>
      </c>
      <c r="CX78" s="233">
        <f t="shared" si="114"/>
        <v>0</v>
      </c>
      <c r="CY78" s="231">
        <v>10</v>
      </c>
      <c r="CZ78" s="285"/>
      <c r="DA78" s="234">
        <f t="shared" si="115"/>
        <v>10</v>
      </c>
      <c r="DB78" s="235">
        <f t="shared" si="116"/>
        <v>1</v>
      </c>
      <c r="DC78" s="232">
        <f t="shared" si="117"/>
        <v>10</v>
      </c>
      <c r="DD78" s="233">
        <f t="shared" si="118"/>
        <v>1</v>
      </c>
      <c r="DE78" s="65">
        <f t="shared" si="119"/>
        <v>8.8125</v>
      </c>
      <c r="DF78" s="66">
        <f t="shared" si="120"/>
        <v>18</v>
      </c>
      <c r="DG78" s="31">
        <f t="shared" si="60"/>
        <v>8.3125</v>
      </c>
      <c r="DH78" s="32">
        <f t="shared" si="61"/>
        <v>19</v>
      </c>
      <c r="DI78" s="33">
        <f t="shared" si="62"/>
        <v>8.8125</v>
      </c>
      <c r="DJ78" s="34">
        <f t="shared" si="63"/>
        <v>18</v>
      </c>
      <c r="DK78" s="67">
        <f t="shared" si="64"/>
        <v>8.5625</v>
      </c>
      <c r="DL78" s="35">
        <f t="shared" si="65"/>
        <v>37</v>
      </c>
      <c r="DM78" s="59">
        <f t="shared" si="66"/>
        <v>70</v>
      </c>
      <c r="DN78" s="43" t="str">
        <f t="shared" si="122"/>
        <v>راسب(ة)</v>
      </c>
      <c r="DO78" s="44"/>
      <c r="DP78" s="50"/>
      <c r="DQ78" s="46"/>
    </row>
    <row r="79" spans="1:121" s="37" customFormat="1" ht="32.25" customHeight="1" thickBot="1">
      <c r="A79" s="49"/>
      <c r="B79" s="1">
        <f t="shared" si="121"/>
        <v>26</v>
      </c>
      <c r="C79" s="249" t="s">
        <v>216</v>
      </c>
      <c r="D79" s="249" t="s">
        <v>217</v>
      </c>
      <c r="E79" s="47" t="s">
        <v>375</v>
      </c>
      <c r="F79" s="135">
        <v>35139</v>
      </c>
      <c r="G79" s="136" t="s">
        <v>427</v>
      </c>
      <c r="H79" s="131">
        <v>9.59</v>
      </c>
      <c r="I79" s="132">
        <v>26</v>
      </c>
      <c r="J79" s="133">
        <v>4.4800000000000004</v>
      </c>
      <c r="K79" s="134">
        <v>11</v>
      </c>
      <c r="L79" s="53">
        <f t="shared" si="67"/>
        <v>7.0350000000000001</v>
      </c>
      <c r="M79" s="58">
        <f t="shared" si="68"/>
        <v>37</v>
      </c>
      <c r="N79" s="222">
        <v>15</v>
      </c>
      <c r="O79" s="223">
        <v>7</v>
      </c>
      <c r="P79" s="140"/>
      <c r="Q79" s="228">
        <f t="shared" si="69"/>
        <v>11</v>
      </c>
      <c r="R79" s="229">
        <f t="shared" si="70"/>
        <v>5</v>
      </c>
      <c r="S79" s="241">
        <v>14.5</v>
      </c>
      <c r="T79" s="242">
        <v>10</v>
      </c>
      <c r="U79" s="285"/>
      <c r="V79" s="228">
        <f t="shared" si="71"/>
        <v>12.25</v>
      </c>
      <c r="W79" s="229">
        <f t="shared" si="72"/>
        <v>6</v>
      </c>
      <c r="X79" s="241">
        <v>12</v>
      </c>
      <c r="Y79" s="242">
        <v>8</v>
      </c>
      <c r="Z79" s="285"/>
      <c r="AA79" s="228">
        <f t="shared" si="73"/>
        <v>10</v>
      </c>
      <c r="AB79" s="229">
        <f t="shared" si="74"/>
        <v>6</v>
      </c>
      <c r="AC79" s="232">
        <f t="shared" si="75"/>
        <v>11.083333333333334</v>
      </c>
      <c r="AD79" s="233">
        <f t="shared" si="76"/>
        <v>17</v>
      </c>
      <c r="AE79" s="242">
        <v>7.5</v>
      </c>
      <c r="AF79" s="285">
        <v>10</v>
      </c>
      <c r="AG79" s="234">
        <f t="shared" si="77"/>
        <v>10</v>
      </c>
      <c r="AH79" s="235">
        <f t="shared" si="78"/>
        <v>1</v>
      </c>
      <c r="AI79" s="241">
        <v>11</v>
      </c>
      <c r="AJ79" s="242">
        <v>3.25</v>
      </c>
      <c r="AK79" s="285">
        <v>10.25</v>
      </c>
      <c r="AL79" s="228">
        <f t="shared" si="79"/>
        <v>10.625</v>
      </c>
      <c r="AM79" s="229">
        <f t="shared" si="80"/>
        <v>3</v>
      </c>
      <c r="AN79" s="241">
        <v>11.5</v>
      </c>
      <c r="AO79" s="242">
        <v>2.5</v>
      </c>
      <c r="AP79" s="285"/>
      <c r="AQ79" s="228">
        <f t="shared" si="81"/>
        <v>7</v>
      </c>
      <c r="AR79" s="229">
        <f t="shared" si="82"/>
        <v>0</v>
      </c>
      <c r="AS79" s="236">
        <f t="shared" si="83"/>
        <v>9.0500000000000007</v>
      </c>
      <c r="AT79" s="237">
        <f t="shared" si="84"/>
        <v>4</v>
      </c>
      <c r="AU79" s="241">
        <v>8</v>
      </c>
      <c r="AV79" s="242">
        <v>1</v>
      </c>
      <c r="AW79" s="285">
        <v>10</v>
      </c>
      <c r="AX79" s="228">
        <f t="shared" si="85"/>
        <v>9</v>
      </c>
      <c r="AY79" s="229">
        <f t="shared" si="86"/>
        <v>0</v>
      </c>
      <c r="AZ79" s="242">
        <v>11</v>
      </c>
      <c r="BA79" s="285"/>
      <c r="BB79" s="234">
        <f t="shared" si="87"/>
        <v>11</v>
      </c>
      <c r="BC79" s="235">
        <f t="shared" si="88"/>
        <v>1</v>
      </c>
      <c r="BD79" s="236">
        <f t="shared" si="89"/>
        <v>10</v>
      </c>
      <c r="BE79" s="237">
        <f t="shared" si="90"/>
        <v>5</v>
      </c>
      <c r="BF79" s="241">
        <v>14</v>
      </c>
      <c r="BG79" s="242">
        <v>9.75</v>
      </c>
      <c r="BH79" s="285"/>
      <c r="BI79" s="228">
        <f t="shared" si="91"/>
        <v>11.875</v>
      </c>
      <c r="BJ79" s="229">
        <f t="shared" si="92"/>
        <v>1</v>
      </c>
      <c r="BK79" s="236">
        <f t="shared" si="93"/>
        <v>11.875</v>
      </c>
      <c r="BL79" s="237">
        <f t="shared" si="94"/>
        <v>1</v>
      </c>
      <c r="BM79" s="239">
        <f t="shared" si="95"/>
        <v>10.258928571428571</v>
      </c>
      <c r="BN79" s="240">
        <f t="shared" si="96"/>
        <v>30</v>
      </c>
      <c r="BO79" s="271">
        <v>12</v>
      </c>
      <c r="BP79" s="272">
        <v>7</v>
      </c>
      <c r="BQ79" s="140"/>
      <c r="BR79" s="228">
        <f t="shared" si="97"/>
        <v>9.5</v>
      </c>
      <c r="BS79" s="229">
        <f t="shared" si="98"/>
        <v>0</v>
      </c>
      <c r="BT79" s="241">
        <v>9</v>
      </c>
      <c r="BU79" s="242">
        <v>12</v>
      </c>
      <c r="BV79" s="285"/>
      <c r="BW79" s="228">
        <f t="shared" si="99"/>
        <v>10.5</v>
      </c>
      <c r="BX79" s="229">
        <f t="shared" si="100"/>
        <v>6</v>
      </c>
      <c r="BY79" s="241">
        <v>3</v>
      </c>
      <c r="BZ79" s="242">
        <v>0</v>
      </c>
      <c r="CA79" s="285"/>
      <c r="CB79" s="228">
        <f t="shared" si="101"/>
        <v>1.5</v>
      </c>
      <c r="CC79" s="229">
        <f t="shared" si="102"/>
        <v>0</v>
      </c>
      <c r="CD79" s="297">
        <f t="shared" si="103"/>
        <v>8.3000000000000007</v>
      </c>
      <c r="CE79" s="233">
        <f t="shared" si="104"/>
        <v>6</v>
      </c>
      <c r="CF79" s="241">
        <v>6</v>
      </c>
      <c r="CG79" s="242">
        <v>3.5</v>
      </c>
      <c r="CH79" s="285">
        <v>4.5</v>
      </c>
      <c r="CI79" s="228">
        <f t="shared" si="105"/>
        <v>5.25</v>
      </c>
      <c r="CJ79" s="229">
        <f t="shared" si="106"/>
        <v>0</v>
      </c>
      <c r="CK79" s="230">
        <v>11</v>
      </c>
      <c r="CL79" s="231">
        <v>10</v>
      </c>
      <c r="CM79" s="285"/>
      <c r="CN79" s="228">
        <f t="shared" si="107"/>
        <v>10.5</v>
      </c>
      <c r="CO79" s="229">
        <f t="shared" si="108"/>
        <v>5</v>
      </c>
      <c r="CP79" s="232">
        <f t="shared" si="109"/>
        <v>7.875</v>
      </c>
      <c r="CQ79" s="233">
        <f t="shared" si="110"/>
        <v>5</v>
      </c>
      <c r="CR79" s="230">
        <v>13</v>
      </c>
      <c r="CS79" s="231">
        <v>0.5</v>
      </c>
      <c r="CT79" s="285">
        <v>8.5</v>
      </c>
      <c r="CU79" s="228">
        <f t="shared" si="111"/>
        <v>10.75</v>
      </c>
      <c r="CV79" s="229">
        <f t="shared" si="112"/>
        <v>3</v>
      </c>
      <c r="CW79" s="232">
        <f t="shared" si="113"/>
        <v>10.75</v>
      </c>
      <c r="CX79" s="233">
        <f t="shared" si="114"/>
        <v>3</v>
      </c>
      <c r="CY79" s="231">
        <v>2</v>
      </c>
      <c r="CZ79" s="285">
        <v>6.5</v>
      </c>
      <c r="DA79" s="234">
        <f t="shared" si="115"/>
        <v>6.5</v>
      </c>
      <c r="DB79" s="235">
        <f t="shared" si="116"/>
        <v>0</v>
      </c>
      <c r="DC79" s="232">
        <f t="shared" si="117"/>
        <v>6.5</v>
      </c>
      <c r="DD79" s="233">
        <f t="shared" si="118"/>
        <v>0</v>
      </c>
      <c r="DE79" s="65">
        <f t="shared" si="119"/>
        <v>8.4166666666666661</v>
      </c>
      <c r="DF79" s="66">
        <f t="shared" si="120"/>
        <v>14</v>
      </c>
      <c r="DG79" s="31">
        <f t="shared" si="60"/>
        <v>10.258928571428571</v>
      </c>
      <c r="DH79" s="32">
        <f t="shared" si="61"/>
        <v>30</v>
      </c>
      <c r="DI79" s="33">
        <f t="shared" si="62"/>
        <v>8.4166666666666661</v>
      </c>
      <c r="DJ79" s="34">
        <f t="shared" si="63"/>
        <v>14</v>
      </c>
      <c r="DK79" s="67">
        <f t="shared" si="64"/>
        <v>9.3377976190476186</v>
      </c>
      <c r="DL79" s="35">
        <f t="shared" si="65"/>
        <v>44</v>
      </c>
      <c r="DM79" s="59">
        <f t="shared" si="66"/>
        <v>81</v>
      </c>
      <c r="DN79" s="43" t="str">
        <f t="shared" si="122"/>
        <v>راسب(ة)</v>
      </c>
      <c r="DO79" s="44"/>
      <c r="DP79" s="50"/>
      <c r="DQ79" s="46"/>
    </row>
    <row r="80" spans="1:121" s="37" customFormat="1" ht="32.25" customHeight="1" thickBot="1">
      <c r="A80" s="49"/>
      <c r="B80" s="1">
        <f t="shared" si="121"/>
        <v>27</v>
      </c>
      <c r="C80" s="249" t="s">
        <v>218</v>
      </c>
      <c r="D80" s="249" t="s">
        <v>219</v>
      </c>
      <c r="E80" s="137" t="s">
        <v>376</v>
      </c>
      <c r="F80" s="135">
        <v>34294</v>
      </c>
      <c r="G80" s="136" t="s">
        <v>110</v>
      </c>
      <c r="H80" s="131">
        <v>10.06</v>
      </c>
      <c r="I80" s="132">
        <v>30</v>
      </c>
      <c r="J80" s="133">
        <v>9.9499999999999993</v>
      </c>
      <c r="K80" s="134">
        <v>30</v>
      </c>
      <c r="L80" s="53">
        <f t="shared" si="67"/>
        <v>10.004999999999999</v>
      </c>
      <c r="M80" s="58">
        <f t="shared" si="68"/>
        <v>60</v>
      </c>
      <c r="N80" s="222">
        <v>13</v>
      </c>
      <c r="O80" s="223">
        <v>7</v>
      </c>
      <c r="P80" s="140"/>
      <c r="Q80" s="228">
        <f t="shared" si="69"/>
        <v>10</v>
      </c>
      <c r="R80" s="229">
        <f t="shared" si="70"/>
        <v>5</v>
      </c>
      <c r="S80" s="241">
        <v>14.5</v>
      </c>
      <c r="T80" s="242">
        <v>5.75</v>
      </c>
      <c r="U80" s="285"/>
      <c r="V80" s="228">
        <f t="shared" si="71"/>
        <v>10.125</v>
      </c>
      <c r="W80" s="229">
        <f t="shared" si="72"/>
        <v>6</v>
      </c>
      <c r="X80" s="241">
        <v>11.5</v>
      </c>
      <c r="Y80" s="242">
        <v>11.5</v>
      </c>
      <c r="Z80" s="285"/>
      <c r="AA80" s="228">
        <f t="shared" si="73"/>
        <v>11.5</v>
      </c>
      <c r="AB80" s="229">
        <f t="shared" si="74"/>
        <v>6</v>
      </c>
      <c r="AC80" s="232">
        <f t="shared" si="75"/>
        <v>10.541666666666666</v>
      </c>
      <c r="AD80" s="233">
        <f t="shared" si="76"/>
        <v>17</v>
      </c>
      <c r="AE80" s="242">
        <v>16.5</v>
      </c>
      <c r="AF80" s="285"/>
      <c r="AG80" s="234">
        <f t="shared" si="77"/>
        <v>16.5</v>
      </c>
      <c r="AH80" s="235">
        <f t="shared" si="78"/>
        <v>1</v>
      </c>
      <c r="AI80" s="241">
        <v>5.5</v>
      </c>
      <c r="AJ80" s="242">
        <v>1.5</v>
      </c>
      <c r="AK80" s="285">
        <v>3</v>
      </c>
      <c r="AL80" s="228">
        <f t="shared" si="79"/>
        <v>4.25</v>
      </c>
      <c r="AM80" s="229">
        <f t="shared" si="80"/>
        <v>0</v>
      </c>
      <c r="AN80" s="241">
        <v>7.5</v>
      </c>
      <c r="AO80" s="242">
        <v>0.5</v>
      </c>
      <c r="AP80" s="285"/>
      <c r="AQ80" s="228">
        <f t="shared" si="81"/>
        <v>4</v>
      </c>
      <c r="AR80" s="229">
        <f t="shared" si="82"/>
        <v>0</v>
      </c>
      <c r="AS80" s="236">
        <f t="shared" si="83"/>
        <v>6.6</v>
      </c>
      <c r="AT80" s="237">
        <f t="shared" si="84"/>
        <v>1</v>
      </c>
      <c r="AU80" s="241"/>
      <c r="AV80" s="242">
        <v>7</v>
      </c>
      <c r="AW80" s="285">
        <v>8</v>
      </c>
      <c r="AX80" s="228">
        <f t="shared" si="85"/>
        <v>4</v>
      </c>
      <c r="AY80" s="229">
        <f t="shared" si="86"/>
        <v>0</v>
      </c>
      <c r="AZ80" s="242">
        <v>3</v>
      </c>
      <c r="BA80" s="285">
        <v>11.5</v>
      </c>
      <c r="BB80" s="234">
        <f t="shared" si="87"/>
        <v>11.5</v>
      </c>
      <c r="BC80" s="235">
        <f t="shared" si="88"/>
        <v>1</v>
      </c>
      <c r="BD80" s="236">
        <f t="shared" si="89"/>
        <v>7.75</v>
      </c>
      <c r="BE80" s="237">
        <f t="shared" si="90"/>
        <v>1</v>
      </c>
      <c r="BF80" s="241">
        <v>11</v>
      </c>
      <c r="BG80" s="242">
        <v>6.5</v>
      </c>
      <c r="BH80" s="285">
        <v>8</v>
      </c>
      <c r="BI80" s="228">
        <f t="shared" si="91"/>
        <v>9.5</v>
      </c>
      <c r="BJ80" s="229">
        <f t="shared" si="92"/>
        <v>0</v>
      </c>
      <c r="BK80" s="236">
        <f t="shared" si="93"/>
        <v>9.5</v>
      </c>
      <c r="BL80" s="237">
        <f t="shared" si="94"/>
        <v>0</v>
      </c>
      <c r="BM80" s="239">
        <f t="shared" si="95"/>
        <v>8.6607142857142865</v>
      </c>
      <c r="BN80" s="240">
        <f t="shared" si="96"/>
        <v>19</v>
      </c>
      <c r="BO80" s="271">
        <v>12.5</v>
      </c>
      <c r="BP80" s="272">
        <v>5</v>
      </c>
      <c r="BQ80" s="140"/>
      <c r="BR80" s="228">
        <f t="shared" si="97"/>
        <v>8.75</v>
      </c>
      <c r="BS80" s="229">
        <f t="shared" si="98"/>
        <v>0</v>
      </c>
      <c r="BT80" s="241">
        <v>13</v>
      </c>
      <c r="BU80" s="242">
        <v>16.5</v>
      </c>
      <c r="BV80" s="285"/>
      <c r="BW80" s="228">
        <f t="shared" si="99"/>
        <v>14.75</v>
      </c>
      <c r="BX80" s="229">
        <f t="shared" si="100"/>
        <v>6</v>
      </c>
      <c r="BY80" s="241">
        <v>12</v>
      </c>
      <c r="BZ80" s="242">
        <v>3</v>
      </c>
      <c r="CA80" s="285"/>
      <c r="CB80" s="228">
        <f t="shared" si="101"/>
        <v>7.5</v>
      </c>
      <c r="CC80" s="229">
        <f t="shared" si="102"/>
        <v>0</v>
      </c>
      <c r="CD80" s="297">
        <f t="shared" si="103"/>
        <v>10.9</v>
      </c>
      <c r="CE80" s="233">
        <f t="shared" si="104"/>
        <v>16</v>
      </c>
      <c r="CF80" s="241">
        <v>9.5</v>
      </c>
      <c r="CG80" s="242">
        <v>8.25</v>
      </c>
      <c r="CH80" s="285"/>
      <c r="CI80" s="228">
        <f t="shared" si="105"/>
        <v>8.875</v>
      </c>
      <c r="CJ80" s="229">
        <f t="shared" si="106"/>
        <v>0</v>
      </c>
      <c r="CK80" s="230">
        <v>11.5</v>
      </c>
      <c r="CL80" s="231">
        <v>8.5</v>
      </c>
      <c r="CM80" s="285"/>
      <c r="CN80" s="228">
        <f t="shared" si="107"/>
        <v>10</v>
      </c>
      <c r="CO80" s="229">
        <f t="shared" si="108"/>
        <v>5</v>
      </c>
      <c r="CP80" s="232">
        <f t="shared" si="109"/>
        <v>9.4375</v>
      </c>
      <c r="CQ80" s="233">
        <f t="shared" si="110"/>
        <v>5</v>
      </c>
      <c r="CR80" s="230">
        <v>14</v>
      </c>
      <c r="CS80" s="231">
        <v>2.25</v>
      </c>
      <c r="CT80" s="285"/>
      <c r="CU80" s="228">
        <f t="shared" si="111"/>
        <v>8.125</v>
      </c>
      <c r="CV80" s="229">
        <f t="shared" si="112"/>
        <v>0</v>
      </c>
      <c r="CW80" s="232">
        <f t="shared" si="113"/>
        <v>8.125</v>
      </c>
      <c r="CX80" s="233">
        <f t="shared" si="114"/>
        <v>0</v>
      </c>
      <c r="CY80" s="231">
        <v>13</v>
      </c>
      <c r="CZ80" s="285"/>
      <c r="DA80" s="234">
        <f t="shared" si="115"/>
        <v>13</v>
      </c>
      <c r="DB80" s="235">
        <f t="shared" si="116"/>
        <v>1</v>
      </c>
      <c r="DC80" s="232">
        <f t="shared" si="117"/>
        <v>13</v>
      </c>
      <c r="DD80" s="233">
        <f t="shared" si="118"/>
        <v>1</v>
      </c>
      <c r="DE80" s="65">
        <f t="shared" si="119"/>
        <v>10.125</v>
      </c>
      <c r="DF80" s="66">
        <f t="shared" si="120"/>
        <v>30</v>
      </c>
      <c r="DG80" s="31">
        <f t="shared" si="60"/>
        <v>8.6607142857142865</v>
      </c>
      <c r="DH80" s="32">
        <f t="shared" si="61"/>
        <v>19</v>
      </c>
      <c r="DI80" s="33">
        <f t="shared" si="62"/>
        <v>10.125</v>
      </c>
      <c r="DJ80" s="34">
        <f t="shared" si="63"/>
        <v>30</v>
      </c>
      <c r="DK80" s="67">
        <f t="shared" si="64"/>
        <v>9.3928571428571423</v>
      </c>
      <c r="DL80" s="35">
        <f t="shared" si="65"/>
        <v>49</v>
      </c>
      <c r="DM80" s="59">
        <f t="shared" si="66"/>
        <v>109</v>
      </c>
      <c r="DN80" s="43" t="str">
        <f t="shared" si="122"/>
        <v>ناجح(ة)بتأخير</v>
      </c>
      <c r="DO80" s="44"/>
      <c r="DP80" s="50"/>
      <c r="DQ80" s="46"/>
    </row>
    <row r="81" spans="1:121" s="37" customFormat="1" ht="32.25" customHeight="1" thickBot="1">
      <c r="A81" s="49"/>
      <c r="B81" s="1">
        <f t="shared" si="121"/>
        <v>28</v>
      </c>
      <c r="C81" s="249" t="s">
        <v>220</v>
      </c>
      <c r="D81" s="249" t="s">
        <v>221</v>
      </c>
      <c r="E81" s="47" t="s">
        <v>377</v>
      </c>
      <c r="F81" s="135">
        <v>34919</v>
      </c>
      <c r="G81" s="136" t="s">
        <v>110</v>
      </c>
      <c r="H81" s="131">
        <v>7.09</v>
      </c>
      <c r="I81" s="132">
        <v>21</v>
      </c>
      <c r="J81" s="133">
        <v>3.6</v>
      </c>
      <c r="K81" s="134">
        <v>10</v>
      </c>
      <c r="L81" s="53">
        <f t="shared" si="67"/>
        <v>5.3449999999999998</v>
      </c>
      <c r="M81" s="58">
        <f t="shared" si="68"/>
        <v>31</v>
      </c>
      <c r="N81" s="222">
        <v>13</v>
      </c>
      <c r="O81" s="223">
        <v>9</v>
      </c>
      <c r="P81" s="140"/>
      <c r="Q81" s="228">
        <f t="shared" si="69"/>
        <v>11</v>
      </c>
      <c r="R81" s="229">
        <f t="shared" si="70"/>
        <v>5</v>
      </c>
      <c r="S81" s="241">
        <v>14</v>
      </c>
      <c r="T81" s="242">
        <v>2</v>
      </c>
      <c r="U81" s="285"/>
      <c r="V81" s="228">
        <f t="shared" si="71"/>
        <v>8</v>
      </c>
      <c r="W81" s="229">
        <f t="shared" si="72"/>
        <v>0</v>
      </c>
      <c r="X81" s="241">
        <v>7</v>
      </c>
      <c r="Y81" s="242">
        <v>7</v>
      </c>
      <c r="Z81" s="285"/>
      <c r="AA81" s="228">
        <f t="shared" si="73"/>
        <v>7</v>
      </c>
      <c r="AB81" s="229">
        <f t="shared" si="74"/>
        <v>0</v>
      </c>
      <c r="AC81" s="232">
        <f t="shared" si="75"/>
        <v>8.6666666666666661</v>
      </c>
      <c r="AD81" s="233">
        <f t="shared" si="76"/>
        <v>5</v>
      </c>
      <c r="AE81" s="242">
        <v>9</v>
      </c>
      <c r="AF81" s="285">
        <v>7</v>
      </c>
      <c r="AG81" s="234">
        <f t="shared" si="77"/>
        <v>9</v>
      </c>
      <c r="AH81" s="235">
        <f t="shared" si="78"/>
        <v>0</v>
      </c>
      <c r="AI81" s="241">
        <v>4.5</v>
      </c>
      <c r="AJ81" s="242">
        <v>2.25</v>
      </c>
      <c r="AK81" s="285"/>
      <c r="AL81" s="228">
        <f t="shared" si="79"/>
        <v>3.375</v>
      </c>
      <c r="AM81" s="229">
        <f t="shared" si="80"/>
        <v>0</v>
      </c>
      <c r="AN81" s="241">
        <v>7</v>
      </c>
      <c r="AO81" s="242">
        <v>0</v>
      </c>
      <c r="AP81" s="285">
        <v>1</v>
      </c>
      <c r="AQ81" s="228">
        <f t="shared" si="81"/>
        <v>4</v>
      </c>
      <c r="AR81" s="229">
        <f t="shared" si="82"/>
        <v>0</v>
      </c>
      <c r="AS81" s="236">
        <f t="shared" si="83"/>
        <v>4.75</v>
      </c>
      <c r="AT81" s="237">
        <f t="shared" si="84"/>
        <v>0</v>
      </c>
      <c r="AU81" s="241"/>
      <c r="AV81" s="242">
        <v>1</v>
      </c>
      <c r="AW81" s="285"/>
      <c r="AX81" s="228">
        <f t="shared" si="85"/>
        <v>0.5</v>
      </c>
      <c r="AY81" s="229">
        <f t="shared" si="86"/>
        <v>0</v>
      </c>
      <c r="AZ81" s="242">
        <v>5.5</v>
      </c>
      <c r="BA81" s="285">
        <v>9</v>
      </c>
      <c r="BB81" s="234">
        <f t="shared" si="87"/>
        <v>9</v>
      </c>
      <c r="BC81" s="235">
        <f t="shared" si="88"/>
        <v>0</v>
      </c>
      <c r="BD81" s="236">
        <f t="shared" si="89"/>
        <v>4.75</v>
      </c>
      <c r="BE81" s="237">
        <f t="shared" si="90"/>
        <v>0</v>
      </c>
      <c r="BF81" s="241">
        <v>9</v>
      </c>
      <c r="BG81" s="242">
        <v>1.5</v>
      </c>
      <c r="BH81" s="285"/>
      <c r="BI81" s="228">
        <f t="shared" si="91"/>
        <v>5.25</v>
      </c>
      <c r="BJ81" s="229">
        <f t="shared" si="92"/>
        <v>0</v>
      </c>
      <c r="BK81" s="236">
        <f t="shared" si="93"/>
        <v>5.25</v>
      </c>
      <c r="BL81" s="237">
        <f t="shared" si="94"/>
        <v>0</v>
      </c>
      <c r="BM81" s="239">
        <f t="shared" si="95"/>
        <v>6.4642857142857144</v>
      </c>
      <c r="BN81" s="240">
        <f t="shared" si="96"/>
        <v>5</v>
      </c>
      <c r="BO81" s="271">
        <v>9</v>
      </c>
      <c r="BP81" s="272">
        <v>2</v>
      </c>
      <c r="BQ81" s="140"/>
      <c r="BR81" s="228">
        <f t="shared" si="97"/>
        <v>5.5</v>
      </c>
      <c r="BS81" s="229">
        <f t="shared" si="98"/>
        <v>0</v>
      </c>
      <c r="BT81" s="241">
        <v>12.5</v>
      </c>
      <c r="BU81" s="242">
        <v>7.5</v>
      </c>
      <c r="BV81" s="285"/>
      <c r="BW81" s="228">
        <f t="shared" si="99"/>
        <v>10</v>
      </c>
      <c r="BX81" s="229">
        <f t="shared" si="100"/>
        <v>6</v>
      </c>
      <c r="BY81" s="241">
        <v>1</v>
      </c>
      <c r="BZ81" s="242">
        <v>0</v>
      </c>
      <c r="CA81" s="285"/>
      <c r="CB81" s="228">
        <f t="shared" si="101"/>
        <v>0.5</v>
      </c>
      <c r="CC81" s="229">
        <f t="shared" si="102"/>
        <v>0</v>
      </c>
      <c r="CD81" s="297">
        <f t="shared" si="103"/>
        <v>6.3</v>
      </c>
      <c r="CE81" s="233">
        <f t="shared" si="104"/>
        <v>6</v>
      </c>
      <c r="CF81" s="241">
        <v>0</v>
      </c>
      <c r="CG81" s="242">
        <v>4.5</v>
      </c>
      <c r="CH81" s="285"/>
      <c r="CI81" s="228">
        <f t="shared" si="105"/>
        <v>2.25</v>
      </c>
      <c r="CJ81" s="229">
        <f t="shared" si="106"/>
        <v>0</v>
      </c>
      <c r="CK81" s="230">
        <v>11</v>
      </c>
      <c r="CL81" s="231">
        <v>2.5</v>
      </c>
      <c r="CM81" s="285">
        <v>5</v>
      </c>
      <c r="CN81" s="228">
        <f t="shared" si="107"/>
        <v>8</v>
      </c>
      <c r="CO81" s="229">
        <f t="shared" si="108"/>
        <v>0</v>
      </c>
      <c r="CP81" s="232">
        <f t="shared" si="109"/>
        <v>5.125</v>
      </c>
      <c r="CQ81" s="233">
        <f t="shared" si="110"/>
        <v>0</v>
      </c>
      <c r="CR81" s="230"/>
      <c r="CS81" s="231">
        <v>0</v>
      </c>
      <c r="CT81" s="285"/>
      <c r="CU81" s="228">
        <f t="shared" si="111"/>
        <v>0</v>
      </c>
      <c r="CV81" s="229">
        <f t="shared" si="112"/>
        <v>0</v>
      </c>
      <c r="CW81" s="232">
        <f t="shared" si="113"/>
        <v>0</v>
      </c>
      <c r="CX81" s="233">
        <f t="shared" si="114"/>
        <v>0</v>
      </c>
      <c r="CY81" s="231">
        <v>5</v>
      </c>
      <c r="CZ81" s="285"/>
      <c r="DA81" s="234">
        <f t="shared" si="115"/>
        <v>5</v>
      </c>
      <c r="DB81" s="235">
        <f t="shared" si="116"/>
        <v>0</v>
      </c>
      <c r="DC81" s="232">
        <f t="shared" si="117"/>
        <v>5</v>
      </c>
      <c r="DD81" s="233">
        <f t="shared" si="118"/>
        <v>0</v>
      </c>
      <c r="DE81" s="65">
        <f t="shared" si="119"/>
        <v>4.75</v>
      </c>
      <c r="DF81" s="66">
        <f t="shared" si="120"/>
        <v>6</v>
      </c>
      <c r="DG81" s="31">
        <f t="shared" si="60"/>
        <v>6.4642857142857144</v>
      </c>
      <c r="DH81" s="32">
        <f t="shared" si="61"/>
        <v>5</v>
      </c>
      <c r="DI81" s="33">
        <f t="shared" si="62"/>
        <v>4.75</v>
      </c>
      <c r="DJ81" s="34">
        <f t="shared" si="63"/>
        <v>6</v>
      </c>
      <c r="DK81" s="67">
        <f t="shared" si="64"/>
        <v>5.6071428571428577</v>
      </c>
      <c r="DL81" s="35">
        <f t="shared" si="65"/>
        <v>11</v>
      </c>
      <c r="DM81" s="59">
        <f t="shared" si="66"/>
        <v>42</v>
      </c>
      <c r="DN81" s="43" t="str">
        <f t="shared" si="122"/>
        <v>راسب(ة)</v>
      </c>
      <c r="DO81" s="44"/>
      <c r="DP81" s="51"/>
      <c r="DQ81" s="46"/>
    </row>
    <row r="82" spans="1:121" s="37" customFormat="1" ht="32.25" customHeight="1" thickBot="1">
      <c r="A82" s="49"/>
      <c r="B82" s="1">
        <f t="shared" si="121"/>
        <v>29</v>
      </c>
      <c r="C82" s="249" t="s">
        <v>222</v>
      </c>
      <c r="D82" s="249" t="s">
        <v>223</v>
      </c>
      <c r="E82" s="47" t="s">
        <v>378</v>
      </c>
      <c r="F82" s="135">
        <v>34834</v>
      </c>
      <c r="G82" s="136" t="s">
        <v>110</v>
      </c>
      <c r="H82" s="131">
        <v>7.23</v>
      </c>
      <c r="I82" s="132">
        <v>17</v>
      </c>
      <c r="J82" s="133">
        <v>5.18</v>
      </c>
      <c r="K82" s="134">
        <v>13</v>
      </c>
      <c r="L82" s="53">
        <f t="shared" si="67"/>
        <v>6.2050000000000001</v>
      </c>
      <c r="M82" s="58">
        <f t="shared" si="68"/>
        <v>30</v>
      </c>
      <c r="N82" s="222">
        <v>13</v>
      </c>
      <c r="O82" s="223">
        <v>7</v>
      </c>
      <c r="P82" s="140"/>
      <c r="Q82" s="228">
        <f t="shared" si="69"/>
        <v>10</v>
      </c>
      <c r="R82" s="229">
        <f t="shared" si="70"/>
        <v>5</v>
      </c>
      <c r="S82" s="241">
        <v>14</v>
      </c>
      <c r="T82" s="242">
        <v>11</v>
      </c>
      <c r="U82" s="285"/>
      <c r="V82" s="228">
        <f t="shared" si="71"/>
        <v>12.5</v>
      </c>
      <c r="W82" s="229">
        <f t="shared" si="72"/>
        <v>6</v>
      </c>
      <c r="X82" s="241">
        <v>15.5</v>
      </c>
      <c r="Y82" s="242">
        <v>7</v>
      </c>
      <c r="Z82" s="285"/>
      <c r="AA82" s="228">
        <f t="shared" si="73"/>
        <v>11.25</v>
      </c>
      <c r="AB82" s="229">
        <f t="shared" si="74"/>
        <v>6</v>
      </c>
      <c r="AC82" s="232">
        <f t="shared" si="75"/>
        <v>11.25</v>
      </c>
      <c r="AD82" s="233">
        <f t="shared" si="76"/>
        <v>17</v>
      </c>
      <c r="AE82" s="242">
        <v>8</v>
      </c>
      <c r="AF82" s="285">
        <v>15</v>
      </c>
      <c r="AG82" s="234">
        <f t="shared" si="77"/>
        <v>15</v>
      </c>
      <c r="AH82" s="235">
        <f t="shared" si="78"/>
        <v>1</v>
      </c>
      <c r="AI82" s="241">
        <v>10.5</v>
      </c>
      <c r="AJ82" s="242">
        <v>3.5</v>
      </c>
      <c r="AK82" s="285"/>
      <c r="AL82" s="228">
        <f t="shared" si="79"/>
        <v>7</v>
      </c>
      <c r="AM82" s="229">
        <f t="shared" si="80"/>
        <v>0</v>
      </c>
      <c r="AN82" s="241">
        <v>12</v>
      </c>
      <c r="AO82" s="242">
        <v>1</v>
      </c>
      <c r="AP82" s="285">
        <v>1.5</v>
      </c>
      <c r="AQ82" s="228">
        <f t="shared" si="81"/>
        <v>6.75</v>
      </c>
      <c r="AR82" s="229">
        <f t="shared" si="82"/>
        <v>0</v>
      </c>
      <c r="AS82" s="236">
        <f t="shared" si="83"/>
        <v>8.5</v>
      </c>
      <c r="AT82" s="237">
        <f t="shared" si="84"/>
        <v>1</v>
      </c>
      <c r="AU82" s="241">
        <v>17</v>
      </c>
      <c r="AV82" s="242">
        <v>7</v>
      </c>
      <c r="AW82" s="285"/>
      <c r="AX82" s="228">
        <f t="shared" si="85"/>
        <v>12</v>
      </c>
      <c r="AY82" s="229">
        <f t="shared" si="86"/>
        <v>4</v>
      </c>
      <c r="AZ82" s="242">
        <v>4</v>
      </c>
      <c r="BA82" s="285">
        <v>6.5</v>
      </c>
      <c r="BB82" s="234">
        <f t="shared" si="87"/>
        <v>6.5</v>
      </c>
      <c r="BC82" s="235">
        <f t="shared" si="88"/>
        <v>0</v>
      </c>
      <c r="BD82" s="236">
        <f t="shared" si="89"/>
        <v>9.25</v>
      </c>
      <c r="BE82" s="237">
        <f t="shared" si="90"/>
        <v>4</v>
      </c>
      <c r="BF82" s="241">
        <v>15</v>
      </c>
      <c r="BG82" s="242">
        <v>12.75</v>
      </c>
      <c r="BH82" s="285"/>
      <c r="BI82" s="228">
        <f t="shared" si="91"/>
        <v>13.875</v>
      </c>
      <c r="BJ82" s="229">
        <f t="shared" si="92"/>
        <v>1</v>
      </c>
      <c r="BK82" s="236">
        <f t="shared" si="93"/>
        <v>13.875</v>
      </c>
      <c r="BL82" s="237">
        <f t="shared" si="94"/>
        <v>1</v>
      </c>
      <c r="BM82" s="239">
        <f t="shared" si="95"/>
        <v>10.169642857142858</v>
      </c>
      <c r="BN82" s="240">
        <f t="shared" si="96"/>
        <v>30</v>
      </c>
      <c r="BO82" s="271">
        <v>11</v>
      </c>
      <c r="BP82" s="272">
        <v>12</v>
      </c>
      <c r="BQ82" s="140"/>
      <c r="BR82" s="228">
        <f t="shared" si="97"/>
        <v>11.5</v>
      </c>
      <c r="BS82" s="229">
        <f t="shared" si="98"/>
        <v>6</v>
      </c>
      <c r="BT82" s="241">
        <v>14</v>
      </c>
      <c r="BU82" s="242">
        <v>16</v>
      </c>
      <c r="BV82" s="285"/>
      <c r="BW82" s="228">
        <f t="shared" si="99"/>
        <v>15</v>
      </c>
      <c r="BX82" s="229">
        <f t="shared" si="100"/>
        <v>6</v>
      </c>
      <c r="BY82" s="241">
        <v>3</v>
      </c>
      <c r="BZ82" s="242">
        <v>3</v>
      </c>
      <c r="CA82" s="285"/>
      <c r="CB82" s="228">
        <f t="shared" si="101"/>
        <v>3</v>
      </c>
      <c r="CC82" s="229">
        <f t="shared" si="102"/>
        <v>0</v>
      </c>
      <c r="CD82" s="297">
        <f t="shared" si="103"/>
        <v>11.2</v>
      </c>
      <c r="CE82" s="233">
        <f t="shared" si="104"/>
        <v>16</v>
      </c>
      <c r="CF82" s="241">
        <v>12.5</v>
      </c>
      <c r="CG82" s="242">
        <v>10.75</v>
      </c>
      <c r="CH82" s="285"/>
      <c r="CI82" s="228">
        <f t="shared" si="105"/>
        <v>11.625</v>
      </c>
      <c r="CJ82" s="229">
        <f t="shared" si="106"/>
        <v>5</v>
      </c>
      <c r="CK82" s="230">
        <v>9</v>
      </c>
      <c r="CL82" s="231">
        <v>7</v>
      </c>
      <c r="CM82" s="285"/>
      <c r="CN82" s="228">
        <f t="shared" si="107"/>
        <v>8</v>
      </c>
      <c r="CO82" s="229">
        <f t="shared" si="108"/>
        <v>0</v>
      </c>
      <c r="CP82" s="232">
        <f t="shared" si="109"/>
        <v>9.8125</v>
      </c>
      <c r="CQ82" s="233">
        <f t="shared" si="110"/>
        <v>5</v>
      </c>
      <c r="CR82" s="230">
        <v>13</v>
      </c>
      <c r="CS82" s="231">
        <v>10</v>
      </c>
      <c r="CT82" s="285"/>
      <c r="CU82" s="228">
        <f t="shared" si="111"/>
        <v>11.5</v>
      </c>
      <c r="CV82" s="229">
        <f t="shared" si="112"/>
        <v>3</v>
      </c>
      <c r="CW82" s="232">
        <f t="shared" si="113"/>
        <v>11.5</v>
      </c>
      <c r="CX82" s="233">
        <f t="shared" si="114"/>
        <v>3</v>
      </c>
      <c r="CY82" s="231">
        <v>6</v>
      </c>
      <c r="CZ82" s="285"/>
      <c r="DA82" s="234">
        <f t="shared" si="115"/>
        <v>6</v>
      </c>
      <c r="DB82" s="235">
        <f t="shared" si="116"/>
        <v>0</v>
      </c>
      <c r="DC82" s="232">
        <f t="shared" si="117"/>
        <v>6</v>
      </c>
      <c r="DD82" s="233">
        <f t="shared" si="118"/>
        <v>0</v>
      </c>
      <c r="DE82" s="65">
        <f t="shared" si="119"/>
        <v>10.354166666666666</v>
      </c>
      <c r="DF82" s="66">
        <f t="shared" si="120"/>
        <v>30</v>
      </c>
      <c r="DG82" s="31">
        <f t="shared" si="60"/>
        <v>10.169642857142858</v>
      </c>
      <c r="DH82" s="32">
        <f t="shared" si="61"/>
        <v>30</v>
      </c>
      <c r="DI82" s="33">
        <f t="shared" si="62"/>
        <v>10.354166666666666</v>
      </c>
      <c r="DJ82" s="34">
        <f t="shared" si="63"/>
        <v>30</v>
      </c>
      <c r="DK82" s="67">
        <f t="shared" si="64"/>
        <v>10.261904761904763</v>
      </c>
      <c r="DL82" s="35">
        <f t="shared" si="65"/>
        <v>60</v>
      </c>
      <c r="DM82" s="59">
        <f t="shared" si="66"/>
        <v>90</v>
      </c>
      <c r="DN82" s="43" t="str">
        <f t="shared" si="122"/>
        <v>ناجح(ة)بتأخير</v>
      </c>
      <c r="DO82" s="44"/>
      <c r="DP82" s="50"/>
      <c r="DQ82" s="46"/>
    </row>
    <row r="83" spans="1:121" s="37" customFormat="1" ht="32.25" customHeight="1" thickBot="1">
      <c r="A83" s="49"/>
      <c r="B83" s="1">
        <f t="shared" si="121"/>
        <v>30</v>
      </c>
      <c r="C83" s="249" t="s">
        <v>224</v>
      </c>
      <c r="D83" s="249" t="s">
        <v>225</v>
      </c>
      <c r="E83" s="47" t="s">
        <v>379</v>
      </c>
      <c r="F83" s="135">
        <v>35426</v>
      </c>
      <c r="G83" s="136" t="s">
        <v>110</v>
      </c>
      <c r="H83" s="131">
        <v>6.84</v>
      </c>
      <c r="I83" s="132">
        <v>12</v>
      </c>
      <c r="J83" s="133">
        <v>10.08</v>
      </c>
      <c r="K83" s="134">
        <v>30</v>
      </c>
      <c r="L83" s="53">
        <f t="shared" si="67"/>
        <v>8.4600000000000009</v>
      </c>
      <c r="M83" s="58">
        <f t="shared" si="68"/>
        <v>42</v>
      </c>
      <c r="N83" s="222">
        <v>13</v>
      </c>
      <c r="O83" s="223">
        <v>7</v>
      </c>
      <c r="P83" s="140"/>
      <c r="Q83" s="228">
        <f t="shared" si="69"/>
        <v>10</v>
      </c>
      <c r="R83" s="229">
        <f t="shared" si="70"/>
        <v>5</v>
      </c>
      <c r="S83" s="241">
        <v>10.5</v>
      </c>
      <c r="T83" s="242">
        <v>4.5</v>
      </c>
      <c r="U83" s="285"/>
      <c r="V83" s="228">
        <f t="shared" si="71"/>
        <v>7.5</v>
      </c>
      <c r="W83" s="229">
        <f t="shared" si="72"/>
        <v>0</v>
      </c>
      <c r="X83" s="241">
        <v>11</v>
      </c>
      <c r="Y83" s="242">
        <v>9</v>
      </c>
      <c r="Z83" s="285"/>
      <c r="AA83" s="228">
        <f t="shared" si="73"/>
        <v>10</v>
      </c>
      <c r="AB83" s="229">
        <f t="shared" si="74"/>
        <v>6</v>
      </c>
      <c r="AC83" s="232">
        <f t="shared" si="75"/>
        <v>9.1666666666666661</v>
      </c>
      <c r="AD83" s="233">
        <f t="shared" si="76"/>
        <v>11</v>
      </c>
      <c r="AE83" s="242">
        <v>9</v>
      </c>
      <c r="AF83" s="285"/>
      <c r="AG83" s="234">
        <f t="shared" si="77"/>
        <v>9</v>
      </c>
      <c r="AH83" s="235">
        <f t="shared" si="78"/>
        <v>0</v>
      </c>
      <c r="AI83" s="241">
        <v>2.5</v>
      </c>
      <c r="AJ83" s="242">
        <v>2.5</v>
      </c>
      <c r="AK83" s="285"/>
      <c r="AL83" s="228">
        <f t="shared" si="79"/>
        <v>2.5</v>
      </c>
      <c r="AM83" s="229">
        <f t="shared" si="80"/>
        <v>0</v>
      </c>
      <c r="AN83" s="241">
        <v>7</v>
      </c>
      <c r="AO83" s="242">
        <v>0</v>
      </c>
      <c r="AP83" s="285"/>
      <c r="AQ83" s="228">
        <f t="shared" si="81"/>
        <v>3.5</v>
      </c>
      <c r="AR83" s="229">
        <f t="shared" si="82"/>
        <v>0</v>
      </c>
      <c r="AS83" s="236">
        <f t="shared" si="83"/>
        <v>4.2</v>
      </c>
      <c r="AT83" s="237">
        <f t="shared" si="84"/>
        <v>0</v>
      </c>
      <c r="AU83" s="241">
        <v>2</v>
      </c>
      <c r="AV83" s="242">
        <v>3</v>
      </c>
      <c r="AW83" s="285"/>
      <c r="AX83" s="228">
        <f t="shared" si="85"/>
        <v>2.5</v>
      </c>
      <c r="AY83" s="229">
        <f t="shared" si="86"/>
        <v>0</v>
      </c>
      <c r="AZ83" s="242">
        <v>10.5</v>
      </c>
      <c r="BA83" s="285"/>
      <c r="BB83" s="234">
        <f t="shared" si="87"/>
        <v>10.5</v>
      </c>
      <c r="BC83" s="235">
        <f t="shared" si="88"/>
        <v>1</v>
      </c>
      <c r="BD83" s="236">
        <f t="shared" si="89"/>
        <v>6.5</v>
      </c>
      <c r="BE83" s="237">
        <f t="shared" si="90"/>
        <v>1</v>
      </c>
      <c r="BF83" s="241">
        <v>10.5</v>
      </c>
      <c r="BG83" s="242">
        <v>10.25</v>
      </c>
      <c r="BH83" s="285"/>
      <c r="BI83" s="228">
        <f t="shared" si="91"/>
        <v>10.375</v>
      </c>
      <c r="BJ83" s="229">
        <f t="shared" si="92"/>
        <v>1</v>
      </c>
      <c r="BK83" s="236">
        <f t="shared" si="93"/>
        <v>10.375</v>
      </c>
      <c r="BL83" s="237">
        <f t="shared" si="94"/>
        <v>1</v>
      </c>
      <c r="BM83" s="239">
        <f t="shared" si="95"/>
        <v>7.0982142857142856</v>
      </c>
      <c r="BN83" s="240">
        <f t="shared" si="96"/>
        <v>13</v>
      </c>
      <c r="BO83" s="271">
        <v>10.5</v>
      </c>
      <c r="BP83" s="272">
        <v>8</v>
      </c>
      <c r="BQ83" s="140"/>
      <c r="BR83" s="228">
        <f t="shared" si="97"/>
        <v>9.25</v>
      </c>
      <c r="BS83" s="229">
        <f t="shared" si="98"/>
        <v>0</v>
      </c>
      <c r="BT83" s="241">
        <v>12</v>
      </c>
      <c r="BU83" s="242">
        <v>9</v>
      </c>
      <c r="BV83" s="285"/>
      <c r="BW83" s="228">
        <f t="shared" si="99"/>
        <v>10.5</v>
      </c>
      <c r="BX83" s="229">
        <f t="shared" si="100"/>
        <v>6</v>
      </c>
      <c r="BY83" s="241">
        <v>2</v>
      </c>
      <c r="BZ83" s="242">
        <v>0</v>
      </c>
      <c r="CA83" s="285">
        <v>2</v>
      </c>
      <c r="CB83" s="228">
        <f t="shared" si="101"/>
        <v>2</v>
      </c>
      <c r="CC83" s="229">
        <f t="shared" si="102"/>
        <v>0</v>
      </c>
      <c r="CD83" s="297">
        <f t="shared" si="103"/>
        <v>8.3000000000000007</v>
      </c>
      <c r="CE83" s="233">
        <f t="shared" si="104"/>
        <v>6</v>
      </c>
      <c r="CF83" s="241">
        <v>6</v>
      </c>
      <c r="CG83" s="242">
        <v>6.5</v>
      </c>
      <c r="CH83" s="285"/>
      <c r="CI83" s="228">
        <f t="shared" si="105"/>
        <v>6.25</v>
      </c>
      <c r="CJ83" s="229">
        <f t="shared" si="106"/>
        <v>0</v>
      </c>
      <c r="CK83" s="230">
        <v>10</v>
      </c>
      <c r="CL83" s="231">
        <v>4</v>
      </c>
      <c r="CM83" s="285"/>
      <c r="CN83" s="228">
        <f t="shared" si="107"/>
        <v>7</v>
      </c>
      <c r="CO83" s="229">
        <f t="shared" si="108"/>
        <v>0</v>
      </c>
      <c r="CP83" s="232">
        <f t="shared" si="109"/>
        <v>6.625</v>
      </c>
      <c r="CQ83" s="233">
        <f t="shared" si="110"/>
        <v>0</v>
      </c>
      <c r="CR83" s="230">
        <v>13</v>
      </c>
      <c r="CS83" s="231">
        <v>1.5</v>
      </c>
      <c r="CT83" s="285">
        <v>2</v>
      </c>
      <c r="CU83" s="228">
        <f t="shared" si="111"/>
        <v>7.5</v>
      </c>
      <c r="CV83" s="229">
        <f t="shared" si="112"/>
        <v>0</v>
      </c>
      <c r="CW83" s="232">
        <f t="shared" si="113"/>
        <v>7.5</v>
      </c>
      <c r="CX83" s="233">
        <f t="shared" si="114"/>
        <v>0</v>
      </c>
      <c r="CY83" s="231">
        <v>10</v>
      </c>
      <c r="CZ83" s="285"/>
      <c r="DA83" s="234">
        <f t="shared" si="115"/>
        <v>10</v>
      </c>
      <c r="DB83" s="235">
        <f t="shared" si="116"/>
        <v>1</v>
      </c>
      <c r="DC83" s="232">
        <f t="shared" si="117"/>
        <v>10</v>
      </c>
      <c r="DD83" s="233">
        <f t="shared" si="118"/>
        <v>1</v>
      </c>
      <c r="DE83" s="65">
        <f t="shared" si="119"/>
        <v>7.75</v>
      </c>
      <c r="DF83" s="66">
        <f t="shared" si="120"/>
        <v>7</v>
      </c>
      <c r="DG83" s="31">
        <f t="shared" si="60"/>
        <v>7.0982142857142856</v>
      </c>
      <c r="DH83" s="32">
        <f t="shared" si="61"/>
        <v>13</v>
      </c>
      <c r="DI83" s="33">
        <f t="shared" si="62"/>
        <v>7.75</v>
      </c>
      <c r="DJ83" s="34">
        <f t="shared" si="63"/>
        <v>7</v>
      </c>
      <c r="DK83" s="67">
        <f t="shared" si="64"/>
        <v>7.4241071428571423</v>
      </c>
      <c r="DL83" s="35">
        <f t="shared" si="65"/>
        <v>20</v>
      </c>
      <c r="DM83" s="59">
        <f t="shared" si="66"/>
        <v>62</v>
      </c>
      <c r="DN83" s="43" t="str">
        <f t="shared" si="122"/>
        <v>راسب(ة)</v>
      </c>
      <c r="DP83" s="51"/>
      <c r="DQ83" s="46"/>
    </row>
    <row r="84" spans="1:121" s="37" customFormat="1" ht="32.25" customHeight="1" thickBot="1">
      <c r="A84" s="49"/>
      <c r="B84" s="1">
        <f t="shared" si="121"/>
        <v>31</v>
      </c>
      <c r="C84" s="249" t="s">
        <v>226</v>
      </c>
      <c r="D84" s="249" t="s">
        <v>227</v>
      </c>
      <c r="E84" s="47" t="s">
        <v>380</v>
      </c>
      <c r="F84" s="135">
        <v>35301</v>
      </c>
      <c r="G84" s="136" t="s">
        <v>402</v>
      </c>
      <c r="H84" s="131">
        <v>10.09</v>
      </c>
      <c r="I84" s="132">
        <v>30</v>
      </c>
      <c r="J84" s="133">
        <v>8.3699999999999992</v>
      </c>
      <c r="K84" s="134">
        <v>18</v>
      </c>
      <c r="L84" s="53">
        <f t="shared" si="67"/>
        <v>9.23</v>
      </c>
      <c r="M84" s="58">
        <f t="shared" si="68"/>
        <v>48</v>
      </c>
      <c r="N84" s="222">
        <v>13</v>
      </c>
      <c r="O84" s="223">
        <v>7</v>
      </c>
      <c r="P84" s="140"/>
      <c r="Q84" s="228">
        <f t="shared" si="69"/>
        <v>10</v>
      </c>
      <c r="R84" s="229">
        <f t="shared" si="70"/>
        <v>5</v>
      </c>
      <c r="S84" s="241">
        <v>14.5</v>
      </c>
      <c r="T84" s="242">
        <v>6</v>
      </c>
      <c r="U84" s="285"/>
      <c r="V84" s="228">
        <f t="shared" si="71"/>
        <v>10.25</v>
      </c>
      <c r="W84" s="229">
        <f t="shared" si="72"/>
        <v>6</v>
      </c>
      <c r="X84" s="241">
        <v>12</v>
      </c>
      <c r="Y84" s="242">
        <v>6</v>
      </c>
      <c r="Z84" s="285">
        <v>6</v>
      </c>
      <c r="AA84" s="228">
        <f t="shared" si="73"/>
        <v>9</v>
      </c>
      <c r="AB84" s="229">
        <f t="shared" si="74"/>
        <v>0</v>
      </c>
      <c r="AC84" s="232">
        <f t="shared" si="75"/>
        <v>9.75</v>
      </c>
      <c r="AD84" s="233">
        <f t="shared" si="76"/>
        <v>11</v>
      </c>
      <c r="AE84" s="242">
        <v>12</v>
      </c>
      <c r="AF84" s="285"/>
      <c r="AG84" s="234">
        <f t="shared" si="77"/>
        <v>12</v>
      </c>
      <c r="AH84" s="235">
        <f t="shared" si="78"/>
        <v>1</v>
      </c>
      <c r="AI84" s="241">
        <v>4.25</v>
      </c>
      <c r="AJ84" s="242">
        <v>4.25</v>
      </c>
      <c r="AK84" s="285">
        <v>6.25</v>
      </c>
      <c r="AL84" s="228">
        <f t="shared" si="79"/>
        <v>5.25</v>
      </c>
      <c r="AM84" s="229">
        <f t="shared" si="80"/>
        <v>0</v>
      </c>
      <c r="AN84" s="241">
        <v>8.75</v>
      </c>
      <c r="AO84" s="242">
        <v>1.5</v>
      </c>
      <c r="AP84" s="285">
        <v>6.75</v>
      </c>
      <c r="AQ84" s="228">
        <f t="shared" si="81"/>
        <v>7.75</v>
      </c>
      <c r="AR84" s="229" t="s">
        <v>512</v>
      </c>
      <c r="AS84" s="236">
        <f t="shared" si="83"/>
        <v>7.6</v>
      </c>
      <c r="AT84" s="237">
        <v>1</v>
      </c>
      <c r="AU84" s="241">
        <v>15</v>
      </c>
      <c r="AV84" s="242">
        <v>10</v>
      </c>
      <c r="AW84" s="285"/>
      <c r="AX84" s="228">
        <f t="shared" si="85"/>
        <v>12.5</v>
      </c>
      <c r="AY84" s="229">
        <f t="shared" si="86"/>
        <v>4</v>
      </c>
      <c r="AZ84" s="242">
        <v>12</v>
      </c>
      <c r="BA84" s="285"/>
      <c r="BB84" s="234">
        <f t="shared" si="87"/>
        <v>12</v>
      </c>
      <c r="BC84" s="235">
        <f t="shared" si="88"/>
        <v>1</v>
      </c>
      <c r="BD84" s="236">
        <f t="shared" si="89"/>
        <v>12.25</v>
      </c>
      <c r="BE84" s="237">
        <f t="shared" si="90"/>
        <v>5</v>
      </c>
      <c r="BF84" s="241">
        <v>12.25</v>
      </c>
      <c r="BG84" s="242">
        <v>12.25</v>
      </c>
      <c r="BH84" s="285"/>
      <c r="BI84" s="228">
        <f t="shared" si="91"/>
        <v>12.25</v>
      </c>
      <c r="BJ84" s="229">
        <f t="shared" si="92"/>
        <v>1</v>
      </c>
      <c r="BK84" s="236">
        <f t="shared" si="93"/>
        <v>12.25</v>
      </c>
      <c r="BL84" s="237">
        <f t="shared" si="94"/>
        <v>1</v>
      </c>
      <c r="BM84" s="239">
        <f t="shared" si="95"/>
        <v>9.5178571428571423</v>
      </c>
      <c r="BN84" s="240">
        <v>30</v>
      </c>
      <c r="BO84" s="271">
        <v>12</v>
      </c>
      <c r="BP84" s="272">
        <v>6</v>
      </c>
      <c r="BQ84" s="140"/>
      <c r="BR84" s="228">
        <f t="shared" si="97"/>
        <v>9</v>
      </c>
      <c r="BS84" s="229">
        <f t="shared" si="98"/>
        <v>0</v>
      </c>
      <c r="BT84" s="241">
        <v>15</v>
      </c>
      <c r="BU84" s="242">
        <v>11.5</v>
      </c>
      <c r="BV84" s="285"/>
      <c r="BW84" s="228">
        <f t="shared" si="99"/>
        <v>13.25</v>
      </c>
      <c r="BX84" s="229">
        <f t="shared" si="100"/>
        <v>6</v>
      </c>
      <c r="BY84" s="241">
        <v>10</v>
      </c>
      <c r="BZ84" s="242">
        <v>2</v>
      </c>
      <c r="CA84" s="285"/>
      <c r="CB84" s="228">
        <f t="shared" si="101"/>
        <v>6</v>
      </c>
      <c r="CC84" s="229">
        <f t="shared" si="102"/>
        <v>0</v>
      </c>
      <c r="CD84" s="297">
        <f t="shared" si="103"/>
        <v>10.1</v>
      </c>
      <c r="CE84" s="233">
        <f t="shared" si="104"/>
        <v>16</v>
      </c>
      <c r="CF84" s="241">
        <v>8.5</v>
      </c>
      <c r="CG84" s="242">
        <v>11.5</v>
      </c>
      <c r="CH84" s="285"/>
      <c r="CI84" s="228">
        <f t="shared" si="105"/>
        <v>10</v>
      </c>
      <c r="CJ84" s="229">
        <f t="shared" si="106"/>
        <v>5</v>
      </c>
      <c r="CK84" s="230">
        <v>14</v>
      </c>
      <c r="CL84" s="231">
        <v>7.5</v>
      </c>
      <c r="CM84" s="285"/>
      <c r="CN84" s="228">
        <f t="shared" si="107"/>
        <v>10.75</v>
      </c>
      <c r="CO84" s="229">
        <f t="shared" si="108"/>
        <v>5</v>
      </c>
      <c r="CP84" s="232">
        <f t="shared" si="109"/>
        <v>10.375</v>
      </c>
      <c r="CQ84" s="233">
        <f t="shared" si="110"/>
        <v>10</v>
      </c>
      <c r="CR84" s="230">
        <v>13.5</v>
      </c>
      <c r="CS84" s="231">
        <v>10.25</v>
      </c>
      <c r="CT84" s="285"/>
      <c r="CU84" s="228">
        <f t="shared" si="111"/>
        <v>11.875</v>
      </c>
      <c r="CV84" s="229">
        <f t="shared" si="112"/>
        <v>3</v>
      </c>
      <c r="CW84" s="232">
        <f t="shared" si="113"/>
        <v>11.875</v>
      </c>
      <c r="CX84" s="233">
        <f t="shared" si="114"/>
        <v>3</v>
      </c>
      <c r="CY84" s="231">
        <v>10</v>
      </c>
      <c r="CZ84" s="285"/>
      <c r="DA84" s="234">
        <f t="shared" si="115"/>
        <v>10</v>
      </c>
      <c r="DB84" s="235">
        <f t="shared" si="116"/>
        <v>1</v>
      </c>
      <c r="DC84" s="232">
        <f t="shared" si="117"/>
        <v>10</v>
      </c>
      <c r="DD84" s="233">
        <f t="shared" si="118"/>
        <v>1</v>
      </c>
      <c r="DE84" s="65">
        <f t="shared" si="119"/>
        <v>10.479166666666666</v>
      </c>
      <c r="DF84" s="66">
        <f t="shared" si="120"/>
        <v>30</v>
      </c>
      <c r="DG84" s="31">
        <f t="shared" si="60"/>
        <v>9.5178571428571423</v>
      </c>
      <c r="DH84" s="32">
        <f t="shared" si="61"/>
        <v>30</v>
      </c>
      <c r="DI84" s="33">
        <f t="shared" si="62"/>
        <v>10.479166666666666</v>
      </c>
      <c r="DJ84" s="34">
        <f t="shared" si="63"/>
        <v>30</v>
      </c>
      <c r="DK84" s="67">
        <f t="shared" si="64"/>
        <v>9.9985119047619051</v>
      </c>
      <c r="DL84" s="35">
        <v>60</v>
      </c>
      <c r="DM84" s="59">
        <f t="shared" si="66"/>
        <v>108</v>
      </c>
      <c r="DN84" s="43" t="str">
        <f t="shared" si="122"/>
        <v>ناجح(ة)بتأخير</v>
      </c>
      <c r="DO84" s="44"/>
      <c r="DP84" s="50"/>
      <c r="DQ84" s="46"/>
    </row>
    <row r="85" spans="1:121" s="37" customFormat="1" ht="32.25" customHeight="1" thickBot="1">
      <c r="A85" s="49"/>
      <c r="B85" s="1">
        <f t="shared" si="121"/>
        <v>32</v>
      </c>
      <c r="C85" s="249" t="s">
        <v>228</v>
      </c>
      <c r="D85" s="249" t="s">
        <v>229</v>
      </c>
      <c r="E85" s="47" t="s">
        <v>381</v>
      </c>
      <c r="F85" s="135">
        <v>33943</v>
      </c>
      <c r="G85" s="136" t="s">
        <v>110</v>
      </c>
      <c r="H85" s="131">
        <v>6.89</v>
      </c>
      <c r="I85" s="132">
        <v>19</v>
      </c>
      <c r="J85" s="133">
        <v>5.33</v>
      </c>
      <c r="K85" s="134">
        <v>12</v>
      </c>
      <c r="L85" s="53">
        <f t="shared" si="67"/>
        <v>6.1099999999999994</v>
      </c>
      <c r="M85" s="58">
        <f t="shared" si="68"/>
        <v>31</v>
      </c>
      <c r="N85" s="222">
        <v>13</v>
      </c>
      <c r="O85" s="223">
        <v>7</v>
      </c>
      <c r="P85" s="140"/>
      <c r="Q85" s="228">
        <f t="shared" si="69"/>
        <v>10</v>
      </c>
      <c r="R85" s="229">
        <f t="shared" si="70"/>
        <v>5</v>
      </c>
      <c r="S85" s="241">
        <v>11</v>
      </c>
      <c r="T85" s="242">
        <v>3</v>
      </c>
      <c r="U85" s="285"/>
      <c r="V85" s="228">
        <f t="shared" si="71"/>
        <v>7</v>
      </c>
      <c r="W85" s="229">
        <f t="shared" si="72"/>
        <v>0</v>
      </c>
      <c r="X85" s="241">
        <v>8</v>
      </c>
      <c r="Y85" s="242">
        <v>6</v>
      </c>
      <c r="Z85" s="285"/>
      <c r="AA85" s="228">
        <f t="shared" si="73"/>
        <v>7</v>
      </c>
      <c r="AB85" s="229">
        <f t="shared" si="74"/>
        <v>0</v>
      </c>
      <c r="AC85" s="232">
        <f t="shared" si="75"/>
        <v>8</v>
      </c>
      <c r="AD85" s="233">
        <f t="shared" si="76"/>
        <v>5</v>
      </c>
      <c r="AE85" s="242">
        <v>4</v>
      </c>
      <c r="AF85" s="285"/>
      <c r="AG85" s="234">
        <f t="shared" si="77"/>
        <v>4</v>
      </c>
      <c r="AH85" s="235">
        <f t="shared" si="78"/>
        <v>0</v>
      </c>
      <c r="AI85" s="241">
        <v>7.5</v>
      </c>
      <c r="AJ85" s="242">
        <v>0</v>
      </c>
      <c r="AK85" s="285"/>
      <c r="AL85" s="228">
        <f t="shared" si="79"/>
        <v>3.75</v>
      </c>
      <c r="AM85" s="229">
        <f t="shared" si="80"/>
        <v>0</v>
      </c>
      <c r="AN85" s="241">
        <v>8.25</v>
      </c>
      <c r="AO85" s="242">
        <v>0.5</v>
      </c>
      <c r="AP85" s="285"/>
      <c r="AQ85" s="228">
        <f t="shared" si="81"/>
        <v>4.375</v>
      </c>
      <c r="AR85" s="229">
        <f t="shared" si="82"/>
        <v>0</v>
      </c>
      <c r="AS85" s="236">
        <f t="shared" si="83"/>
        <v>4.05</v>
      </c>
      <c r="AT85" s="237">
        <f t="shared" si="84"/>
        <v>0</v>
      </c>
      <c r="AU85" s="241">
        <v>6</v>
      </c>
      <c r="AV85" s="242">
        <v>1</v>
      </c>
      <c r="AW85" s="285"/>
      <c r="AX85" s="228">
        <f t="shared" si="85"/>
        <v>3.5</v>
      </c>
      <c r="AY85" s="229">
        <f t="shared" si="86"/>
        <v>0</v>
      </c>
      <c r="AZ85" s="242">
        <v>4.5</v>
      </c>
      <c r="BA85" s="285"/>
      <c r="BB85" s="234">
        <f t="shared" si="87"/>
        <v>4.5</v>
      </c>
      <c r="BC85" s="235">
        <f t="shared" si="88"/>
        <v>0</v>
      </c>
      <c r="BD85" s="236">
        <f t="shared" si="89"/>
        <v>4</v>
      </c>
      <c r="BE85" s="237">
        <f t="shared" si="90"/>
        <v>0</v>
      </c>
      <c r="BF85" s="241">
        <v>12.75</v>
      </c>
      <c r="BG85" s="242">
        <v>1</v>
      </c>
      <c r="BH85" s="285"/>
      <c r="BI85" s="228">
        <f t="shared" si="91"/>
        <v>6.875</v>
      </c>
      <c r="BJ85" s="229">
        <f t="shared" si="92"/>
        <v>0</v>
      </c>
      <c r="BK85" s="236">
        <f t="shared" si="93"/>
        <v>6.875</v>
      </c>
      <c r="BL85" s="237">
        <f t="shared" si="94"/>
        <v>0</v>
      </c>
      <c r="BM85" s="239">
        <f t="shared" si="95"/>
        <v>5.9375</v>
      </c>
      <c r="BN85" s="240">
        <f t="shared" si="96"/>
        <v>5</v>
      </c>
      <c r="BO85" s="271">
        <v>10</v>
      </c>
      <c r="BP85" s="272">
        <v>1</v>
      </c>
      <c r="BQ85" s="140"/>
      <c r="BR85" s="228">
        <f t="shared" si="97"/>
        <v>5.5</v>
      </c>
      <c r="BS85" s="229">
        <f t="shared" si="98"/>
        <v>0</v>
      </c>
      <c r="BT85" s="241">
        <v>11</v>
      </c>
      <c r="BU85" s="242">
        <v>5.5</v>
      </c>
      <c r="BV85" s="285"/>
      <c r="BW85" s="228">
        <f t="shared" si="99"/>
        <v>8.25</v>
      </c>
      <c r="BX85" s="229">
        <f t="shared" si="100"/>
        <v>0</v>
      </c>
      <c r="BY85" s="241">
        <v>5</v>
      </c>
      <c r="BZ85" s="242"/>
      <c r="CA85" s="285"/>
      <c r="CB85" s="228">
        <f t="shared" si="101"/>
        <v>2.5</v>
      </c>
      <c r="CC85" s="229">
        <f t="shared" si="102"/>
        <v>0</v>
      </c>
      <c r="CD85" s="297">
        <f t="shared" si="103"/>
        <v>6</v>
      </c>
      <c r="CE85" s="233">
        <f t="shared" si="104"/>
        <v>0</v>
      </c>
      <c r="CF85" s="241">
        <v>0</v>
      </c>
      <c r="CG85" s="242">
        <v>4</v>
      </c>
      <c r="CH85" s="285"/>
      <c r="CI85" s="228">
        <f t="shared" si="105"/>
        <v>2</v>
      </c>
      <c r="CJ85" s="229">
        <f t="shared" si="106"/>
        <v>0</v>
      </c>
      <c r="CK85" s="230">
        <v>8</v>
      </c>
      <c r="CL85" s="231">
        <v>0.5</v>
      </c>
      <c r="CM85" s="285"/>
      <c r="CN85" s="228">
        <f t="shared" si="107"/>
        <v>4.25</v>
      </c>
      <c r="CO85" s="229">
        <f t="shared" si="108"/>
        <v>0</v>
      </c>
      <c r="CP85" s="232">
        <f t="shared" si="109"/>
        <v>3.125</v>
      </c>
      <c r="CQ85" s="233">
        <f t="shared" si="110"/>
        <v>0</v>
      </c>
      <c r="CR85" s="230">
        <v>13</v>
      </c>
      <c r="CS85" s="231">
        <v>0</v>
      </c>
      <c r="CT85" s="285"/>
      <c r="CU85" s="228">
        <f t="shared" si="111"/>
        <v>6.5</v>
      </c>
      <c r="CV85" s="229">
        <f t="shared" si="112"/>
        <v>0</v>
      </c>
      <c r="CW85" s="232">
        <f t="shared" si="113"/>
        <v>6.5</v>
      </c>
      <c r="CX85" s="233">
        <f t="shared" si="114"/>
        <v>0</v>
      </c>
      <c r="CY85" s="231">
        <v>11</v>
      </c>
      <c r="CZ85" s="285"/>
      <c r="DA85" s="234">
        <f t="shared" si="115"/>
        <v>11</v>
      </c>
      <c r="DB85" s="235">
        <f t="shared" si="116"/>
        <v>1</v>
      </c>
      <c r="DC85" s="232">
        <f t="shared" si="117"/>
        <v>11</v>
      </c>
      <c r="DD85" s="233">
        <f t="shared" si="118"/>
        <v>1</v>
      </c>
      <c r="DE85" s="65">
        <f t="shared" si="119"/>
        <v>5.541666666666667</v>
      </c>
      <c r="DF85" s="66">
        <f t="shared" si="120"/>
        <v>1</v>
      </c>
      <c r="DG85" s="31">
        <f t="shared" si="60"/>
        <v>5.9375</v>
      </c>
      <c r="DH85" s="32">
        <f t="shared" si="61"/>
        <v>5</v>
      </c>
      <c r="DI85" s="33">
        <f t="shared" si="62"/>
        <v>5.541666666666667</v>
      </c>
      <c r="DJ85" s="34">
        <f t="shared" si="63"/>
        <v>1</v>
      </c>
      <c r="DK85" s="67">
        <f t="shared" si="64"/>
        <v>5.7395833333333339</v>
      </c>
      <c r="DL85" s="35">
        <f t="shared" si="65"/>
        <v>6</v>
      </c>
      <c r="DM85" s="59">
        <f t="shared" si="66"/>
        <v>37</v>
      </c>
      <c r="DN85" s="43" t="str">
        <f t="shared" si="122"/>
        <v>راسب(ة)</v>
      </c>
      <c r="DO85" s="44"/>
      <c r="DP85" s="50"/>
      <c r="DQ85" s="46"/>
    </row>
    <row r="86" spans="1:121" s="37" customFormat="1" ht="32.25" customHeight="1" thickBot="1">
      <c r="A86" s="49"/>
      <c r="B86" s="1">
        <f t="shared" si="121"/>
        <v>33</v>
      </c>
      <c r="C86" s="249" t="s">
        <v>230</v>
      </c>
      <c r="D86" s="249" t="s">
        <v>231</v>
      </c>
      <c r="E86" s="47" t="s">
        <v>428</v>
      </c>
      <c r="F86" s="135">
        <v>34306</v>
      </c>
      <c r="G86" s="136" t="s">
        <v>110</v>
      </c>
      <c r="H86" s="131">
        <v>6.75</v>
      </c>
      <c r="I86" s="132">
        <v>16</v>
      </c>
      <c r="J86" s="133">
        <v>7.9</v>
      </c>
      <c r="K86" s="134">
        <v>20</v>
      </c>
      <c r="L86" s="53">
        <f t="shared" si="67"/>
        <v>7.3250000000000002</v>
      </c>
      <c r="M86" s="58">
        <f t="shared" si="68"/>
        <v>36</v>
      </c>
      <c r="N86" s="222">
        <v>10.5</v>
      </c>
      <c r="O86" s="223">
        <v>10.5</v>
      </c>
      <c r="P86" s="140"/>
      <c r="Q86" s="228">
        <f t="shared" si="69"/>
        <v>10.5</v>
      </c>
      <c r="R86" s="229">
        <f t="shared" si="70"/>
        <v>5</v>
      </c>
      <c r="S86" s="241">
        <v>10</v>
      </c>
      <c r="T86" s="242">
        <v>10</v>
      </c>
      <c r="U86" s="285"/>
      <c r="V86" s="228">
        <f t="shared" si="71"/>
        <v>10</v>
      </c>
      <c r="W86" s="229">
        <f t="shared" si="72"/>
        <v>6</v>
      </c>
      <c r="X86" s="245">
        <v>10</v>
      </c>
      <c r="Y86" s="246">
        <v>10</v>
      </c>
      <c r="Z86" s="285"/>
      <c r="AA86" s="228">
        <f t="shared" si="73"/>
        <v>10</v>
      </c>
      <c r="AB86" s="229">
        <f t="shared" si="74"/>
        <v>6</v>
      </c>
      <c r="AC86" s="232">
        <f t="shared" si="75"/>
        <v>10.166666666666666</v>
      </c>
      <c r="AD86" s="233">
        <f t="shared" si="76"/>
        <v>17</v>
      </c>
      <c r="AE86" s="242">
        <v>10.5</v>
      </c>
      <c r="AF86" s="285"/>
      <c r="AG86" s="234">
        <f t="shared" si="77"/>
        <v>10.5</v>
      </c>
      <c r="AH86" s="235">
        <f t="shared" si="78"/>
        <v>1</v>
      </c>
      <c r="AI86" s="241">
        <v>6.5</v>
      </c>
      <c r="AJ86" s="242">
        <v>3.5</v>
      </c>
      <c r="AK86" s="285">
        <v>6.5</v>
      </c>
      <c r="AL86" s="228">
        <f t="shared" si="79"/>
        <v>6.5</v>
      </c>
      <c r="AM86" s="229">
        <f t="shared" si="80"/>
        <v>0</v>
      </c>
      <c r="AN86" s="241">
        <v>8.25</v>
      </c>
      <c r="AO86" s="242">
        <v>2</v>
      </c>
      <c r="AP86" s="285"/>
      <c r="AQ86" s="228">
        <f t="shared" si="81"/>
        <v>5.125</v>
      </c>
      <c r="AR86" s="229">
        <f t="shared" si="82"/>
        <v>0</v>
      </c>
      <c r="AS86" s="236">
        <f t="shared" si="83"/>
        <v>6.75</v>
      </c>
      <c r="AT86" s="237">
        <f t="shared" si="84"/>
        <v>1</v>
      </c>
      <c r="AU86" s="245">
        <v>11.5</v>
      </c>
      <c r="AV86" s="242">
        <v>11.5</v>
      </c>
      <c r="AW86" s="285"/>
      <c r="AX86" s="228">
        <f t="shared" si="85"/>
        <v>11.5</v>
      </c>
      <c r="AY86" s="229">
        <f t="shared" si="86"/>
        <v>4</v>
      </c>
      <c r="AZ86" s="242">
        <v>8.5</v>
      </c>
      <c r="BA86" s="285"/>
      <c r="BB86" s="234">
        <f t="shared" si="87"/>
        <v>8.5</v>
      </c>
      <c r="BC86" s="235">
        <f t="shared" si="88"/>
        <v>0</v>
      </c>
      <c r="BD86" s="236">
        <f t="shared" si="89"/>
        <v>10</v>
      </c>
      <c r="BE86" s="237">
        <f t="shared" si="90"/>
        <v>5</v>
      </c>
      <c r="BF86" s="245">
        <v>11.25</v>
      </c>
      <c r="BG86" s="246">
        <v>11.25</v>
      </c>
      <c r="BH86" s="285"/>
      <c r="BI86" s="228">
        <f t="shared" si="91"/>
        <v>11.25</v>
      </c>
      <c r="BJ86" s="229">
        <f t="shared" si="92"/>
        <v>1</v>
      </c>
      <c r="BK86" s="236">
        <f t="shared" si="93"/>
        <v>11.25</v>
      </c>
      <c r="BL86" s="237">
        <f t="shared" si="94"/>
        <v>1</v>
      </c>
      <c r="BM86" s="239">
        <f t="shared" si="95"/>
        <v>9</v>
      </c>
      <c r="BN86" s="240">
        <f t="shared" si="96"/>
        <v>24</v>
      </c>
      <c r="BO86" s="271">
        <v>12.5</v>
      </c>
      <c r="BP86" s="272">
        <v>12.5</v>
      </c>
      <c r="BQ86" s="140"/>
      <c r="BR86" s="228">
        <f t="shared" si="97"/>
        <v>12.5</v>
      </c>
      <c r="BS86" s="229">
        <f t="shared" si="98"/>
        <v>6</v>
      </c>
      <c r="BT86" s="241">
        <v>11</v>
      </c>
      <c r="BU86" s="242">
        <v>11</v>
      </c>
      <c r="BV86" s="285"/>
      <c r="BW86" s="228">
        <f t="shared" si="99"/>
        <v>11</v>
      </c>
      <c r="BX86" s="229">
        <f t="shared" si="100"/>
        <v>6</v>
      </c>
      <c r="BY86" s="241">
        <v>3</v>
      </c>
      <c r="BZ86" s="242">
        <v>3</v>
      </c>
      <c r="CA86" s="285"/>
      <c r="CB86" s="228">
        <f t="shared" si="101"/>
        <v>3</v>
      </c>
      <c r="CC86" s="229">
        <f t="shared" si="102"/>
        <v>0</v>
      </c>
      <c r="CD86" s="297">
        <f t="shared" si="103"/>
        <v>10</v>
      </c>
      <c r="CE86" s="233">
        <f t="shared" si="104"/>
        <v>16</v>
      </c>
      <c r="CF86" s="241">
        <v>6</v>
      </c>
      <c r="CG86" s="242">
        <v>3.5</v>
      </c>
      <c r="CH86" s="285">
        <v>7</v>
      </c>
      <c r="CI86" s="228">
        <f t="shared" si="105"/>
        <v>6.5</v>
      </c>
      <c r="CJ86" s="229">
        <f t="shared" si="106"/>
        <v>0</v>
      </c>
      <c r="CK86" s="230">
        <v>10</v>
      </c>
      <c r="CL86" s="231">
        <v>10</v>
      </c>
      <c r="CM86" s="285"/>
      <c r="CN86" s="228">
        <f t="shared" si="107"/>
        <v>10</v>
      </c>
      <c r="CO86" s="229">
        <f t="shared" si="108"/>
        <v>5</v>
      </c>
      <c r="CP86" s="232">
        <f t="shared" si="109"/>
        <v>8.25</v>
      </c>
      <c r="CQ86" s="233">
        <f t="shared" si="110"/>
        <v>5</v>
      </c>
      <c r="CR86" s="230">
        <v>11</v>
      </c>
      <c r="CS86" s="231">
        <v>11</v>
      </c>
      <c r="CT86" s="285"/>
      <c r="CU86" s="228">
        <f t="shared" si="111"/>
        <v>11</v>
      </c>
      <c r="CV86" s="229">
        <f t="shared" si="112"/>
        <v>3</v>
      </c>
      <c r="CW86" s="232">
        <f t="shared" si="113"/>
        <v>11</v>
      </c>
      <c r="CX86" s="233">
        <f t="shared" si="114"/>
        <v>3</v>
      </c>
      <c r="CY86" s="231">
        <v>10</v>
      </c>
      <c r="CZ86" s="285"/>
      <c r="DA86" s="234">
        <f t="shared" si="115"/>
        <v>10</v>
      </c>
      <c r="DB86" s="235">
        <f t="shared" si="116"/>
        <v>1</v>
      </c>
      <c r="DC86" s="232">
        <f t="shared" si="117"/>
        <v>10</v>
      </c>
      <c r="DD86" s="233">
        <f t="shared" si="118"/>
        <v>1</v>
      </c>
      <c r="DE86" s="65">
        <f t="shared" si="119"/>
        <v>9.5833333333333339</v>
      </c>
      <c r="DF86" s="66">
        <f t="shared" si="120"/>
        <v>25</v>
      </c>
      <c r="DG86" s="31">
        <f t="shared" si="60"/>
        <v>9</v>
      </c>
      <c r="DH86" s="32">
        <f t="shared" si="61"/>
        <v>24</v>
      </c>
      <c r="DI86" s="33">
        <f t="shared" si="62"/>
        <v>9.5833333333333339</v>
      </c>
      <c r="DJ86" s="34">
        <f t="shared" si="63"/>
        <v>25</v>
      </c>
      <c r="DK86" s="67">
        <f t="shared" si="64"/>
        <v>9.2916666666666679</v>
      </c>
      <c r="DL86" s="35">
        <f t="shared" si="65"/>
        <v>49</v>
      </c>
      <c r="DM86" s="59">
        <f t="shared" si="66"/>
        <v>85</v>
      </c>
      <c r="DN86" s="43" t="str">
        <f t="shared" si="122"/>
        <v>راسب(ة)</v>
      </c>
      <c r="DO86" s="44"/>
      <c r="DP86" s="50"/>
      <c r="DQ86" s="46"/>
    </row>
    <row r="87" spans="1:121" s="37" customFormat="1" ht="32.25" customHeight="1" thickBot="1">
      <c r="A87" s="49"/>
      <c r="B87" s="1">
        <f t="shared" si="121"/>
        <v>34</v>
      </c>
      <c r="C87" s="249" t="s">
        <v>232</v>
      </c>
      <c r="D87" s="249" t="s">
        <v>143</v>
      </c>
      <c r="E87" s="47" t="s">
        <v>429</v>
      </c>
      <c r="F87" s="135">
        <v>33972</v>
      </c>
      <c r="G87" s="136" t="s">
        <v>110</v>
      </c>
      <c r="H87" s="131">
        <v>6.75</v>
      </c>
      <c r="I87" s="132">
        <v>20</v>
      </c>
      <c r="J87" s="133">
        <v>4.87</v>
      </c>
      <c r="K87" s="134">
        <v>10</v>
      </c>
      <c r="L87" s="53">
        <f t="shared" si="67"/>
        <v>5.8100000000000005</v>
      </c>
      <c r="M87" s="58">
        <f t="shared" si="68"/>
        <v>30</v>
      </c>
      <c r="N87" s="222">
        <v>11</v>
      </c>
      <c r="O87" s="223">
        <v>11</v>
      </c>
      <c r="P87" s="140"/>
      <c r="Q87" s="228">
        <f t="shared" si="69"/>
        <v>11</v>
      </c>
      <c r="R87" s="229">
        <f t="shared" si="70"/>
        <v>5</v>
      </c>
      <c r="S87" s="241">
        <v>10</v>
      </c>
      <c r="T87" s="242">
        <v>1</v>
      </c>
      <c r="U87" s="285"/>
      <c r="V87" s="228">
        <f t="shared" si="71"/>
        <v>5.5</v>
      </c>
      <c r="W87" s="229">
        <f t="shared" si="72"/>
        <v>0</v>
      </c>
      <c r="X87" s="245">
        <v>12.5</v>
      </c>
      <c r="Y87" s="246">
        <v>12.5</v>
      </c>
      <c r="Z87" s="285"/>
      <c r="AA87" s="228">
        <f t="shared" si="73"/>
        <v>12.5</v>
      </c>
      <c r="AB87" s="229">
        <f t="shared" si="74"/>
        <v>6</v>
      </c>
      <c r="AC87" s="232">
        <f t="shared" si="75"/>
        <v>9.6666666666666661</v>
      </c>
      <c r="AD87" s="233">
        <f t="shared" si="76"/>
        <v>11</v>
      </c>
      <c r="AE87" s="242">
        <v>4</v>
      </c>
      <c r="AF87" s="285"/>
      <c r="AG87" s="234">
        <f t="shared" si="77"/>
        <v>4</v>
      </c>
      <c r="AH87" s="235">
        <f t="shared" si="78"/>
        <v>0</v>
      </c>
      <c r="AI87" s="241"/>
      <c r="AJ87" s="242"/>
      <c r="AK87" s="285"/>
      <c r="AL87" s="228">
        <f t="shared" si="79"/>
        <v>0</v>
      </c>
      <c r="AM87" s="229">
        <f t="shared" si="80"/>
        <v>0</v>
      </c>
      <c r="AN87" s="241">
        <v>9</v>
      </c>
      <c r="AO87" s="242"/>
      <c r="AP87" s="285"/>
      <c r="AQ87" s="228">
        <f t="shared" si="81"/>
        <v>4.5</v>
      </c>
      <c r="AR87" s="229">
        <f t="shared" si="82"/>
        <v>0</v>
      </c>
      <c r="AS87" s="236">
        <f t="shared" si="83"/>
        <v>2.6</v>
      </c>
      <c r="AT87" s="237">
        <f t="shared" si="84"/>
        <v>0</v>
      </c>
      <c r="AU87" s="247"/>
      <c r="AV87" s="248"/>
      <c r="AW87" s="285"/>
      <c r="AX87" s="228">
        <f t="shared" si="85"/>
        <v>0</v>
      </c>
      <c r="AY87" s="229">
        <f t="shared" si="86"/>
        <v>0</v>
      </c>
      <c r="AZ87" s="242"/>
      <c r="BA87" s="285"/>
      <c r="BB87" s="234">
        <f t="shared" si="87"/>
        <v>0</v>
      </c>
      <c r="BC87" s="235">
        <f t="shared" si="88"/>
        <v>0</v>
      </c>
      <c r="BD87" s="236">
        <f t="shared" si="89"/>
        <v>0</v>
      </c>
      <c r="BE87" s="237">
        <f t="shared" si="90"/>
        <v>0</v>
      </c>
      <c r="BF87" s="245">
        <v>10.5</v>
      </c>
      <c r="BG87" s="246">
        <v>10.5</v>
      </c>
      <c r="BH87" s="285"/>
      <c r="BI87" s="228">
        <f t="shared" si="91"/>
        <v>10.5</v>
      </c>
      <c r="BJ87" s="229">
        <f t="shared" si="92"/>
        <v>1</v>
      </c>
      <c r="BK87" s="236">
        <f t="shared" si="93"/>
        <v>10.5</v>
      </c>
      <c r="BL87" s="237">
        <f t="shared" si="94"/>
        <v>1</v>
      </c>
      <c r="BM87" s="239">
        <f t="shared" si="95"/>
        <v>5.8214285714285712</v>
      </c>
      <c r="BN87" s="240">
        <f t="shared" si="96"/>
        <v>12</v>
      </c>
      <c r="BO87" s="271">
        <v>5</v>
      </c>
      <c r="BP87" s="274"/>
      <c r="BQ87" s="140"/>
      <c r="BR87" s="228">
        <f t="shared" si="97"/>
        <v>2.5</v>
      </c>
      <c r="BS87" s="229">
        <f t="shared" si="98"/>
        <v>0</v>
      </c>
      <c r="BT87" s="241">
        <v>15</v>
      </c>
      <c r="BU87" s="242">
        <v>15</v>
      </c>
      <c r="BV87" s="285"/>
      <c r="BW87" s="228">
        <f t="shared" si="99"/>
        <v>15</v>
      </c>
      <c r="BX87" s="229">
        <f t="shared" si="100"/>
        <v>6</v>
      </c>
      <c r="BY87" s="282"/>
      <c r="BZ87" s="283"/>
      <c r="CA87" s="285"/>
      <c r="CB87" s="228">
        <f t="shared" si="101"/>
        <v>0</v>
      </c>
      <c r="CC87" s="229">
        <f t="shared" si="102"/>
        <v>0</v>
      </c>
      <c r="CD87" s="297">
        <f t="shared" si="103"/>
        <v>7</v>
      </c>
      <c r="CE87" s="233">
        <f t="shared" si="104"/>
        <v>6</v>
      </c>
      <c r="CF87" s="241">
        <v>0</v>
      </c>
      <c r="CG87" s="283"/>
      <c r="CH87" s="285"/>
      <c r="CI87" s="228">
        <f t="shared" si="105"/>
        <v>0</v>
      </c>
      <c r="CJ87" s="229">
        <f t="shared" si="106"/>
        <v>0</v>
      </c>
      <c r="CK87" s="230">
        <v>6</v>
      </c>
      <c r="CL87" s="231"/>
      <c r="CM87" s="285"/>
      <c r="CN87" s="228">
        <f t="shared" si="107"/>
        <v>3</v>
      </c>
      <c r="CO87" s="229">
        <f t="shared" si="108"/>
        <v>0</v>
      </c>
      <c r="CP87" s="232">
        <f t="shared" si="109"/>
        <v>1.5</v>
      </c>
      <c r="CQ87" s="233">
        <f t="shared" si="110"/>
        <v>0</v>
      </c>
      <c r="CR87" s="230"/>
      <c r="CS87" s="231"/>
      <c r="CT87" s="285"/>
      <c r="CU87" s="228">
        <f t="shared" si="111"/>
        <v>0</v>
      </c>
      <c r="CV87" s="229">
        <f t="shared" si="112"/>
        <v>0</v>
      </c>
      <c r="CW87" s="232">
        <f t="shared" si="113"/>
        <v>0</v>
      </c>
      <c r="CX87" s="233">
        <f t="shared" si="114"/>
        <v>0</v>
      </c>
      <c r="CY87" s="231"/>
      <c r="CZ87" s="285"/>
      <c r="DA87" s="234">
        <f t="shared" si="115"/>
        <v>0</v>
      </c>
      <c r="DB87" s="235">
        <f t="shared" si="116"/>
        <v>0</v>
      </c>
      <c r="DC87" s="232">
        <f t="shared" si="117"/>
        <v>0</v>
      </c>
      <c r="DD87" s="233">
        <f t="shared" si="118"/>
        <v>0</v>
      </c>
      <c r="DE87" s="65">
        <f t="shared" si="119"/>
        <v>3.4166666666666665</v>
      </c>
      <c r="DF87" s="66">
        <f t="shared" si="120"/>
        <v>6</v>
      </c>
      <c r="DG87" s="31">
        <f t="shared" si="60"/>
        <v>5.8214285714285712</v>
      </c>
      <c r="DH87" s="32">
        <f t="shared" si="61"/>
        <v>12</v>
      </c>
      <c r="DI87" s="33">
        <f t="shared" si="62"/>
        <v>3.4166666666666665</v>
      </c>
      <c r="DJ87" s="34">
        <f t="shared" si="63"/>
        <v>6</v>
      </c>
      <c r="DK87" s="67">
        <f t="shared" si="64"/>
        <v>4.6190476190476186</v>
      </c>
      <c r="DL87" s="35">
        <f t="shared" si="65"/>
        <v>18</v>
      </c>
      <c r="DM87" s="59">
        <f t="shared" si="66"/>
        <v>48</v>
      </c>
      <c r="DN87" s="43" t="str">
        <f t="shared" si="122"/>
        <v>راسب(ة)</v>
      </c>
      <c r="DP87" s="51"/>
      <c r="DQ87" s="46"/>
    </row>
    <row r="88" spans="1:121" s="37" customFormat="1" ht="32.25" customHeight="1" thickBot="1">
      <c r="A88" s="49"/>
      <c r="B88" s="1">
        <f t="shared" si="121"/>
        <v>35</v>
      </c>
      <c r="C88" s="249" t="s">
        <v>233</v>
      </c>
      <c r="D88" s="249" t="s">
        <v>234</v>
      </c>
      <c r="E88" s="47" t="s">
        <v>382</v>
      </c>
      <c r="F88" s="135">
        <v>33956</v>
      </c>
      <c r="G88" s="136" t="s">
        <v>110</v>
      </c>
      <c r="H88" s="131">
        <v>9.5500000000000007</v>
      </c>
      <c r="I88" s="132">
        <v>22</v>
      </c>
      <c r="J88" s="133">
        <v>9.39</v>
      </c>
      <c r="K88" s="134">
        <v>12</v>
      </c>
      <c r="L88" s="53">
        <f t="shared" si="67"/>
        <v>9.4700000000000006</v>
      </c>
      <c r="M88" s="58">
        <f t="shared" si="68"/>
        <v>34</v>
      </c>
      <c r="N88" s="222">
        <v>13</v>
      </c>
      <c r="O88" s="223">
        <v>7</v>
      </c>
      <c r="P88" s="140"/>
      <c r="Q88" s="228">
        <f t="shared" si="69"/>
        <v>10</v>
      </c>
      <c r="R88" s="229">
        <f t="shared" si="70"/>
        <v>5</v>
      </c>
      <c r="S88" s="241">
        <v>10</v>
      </c>
      <c r="T88" s="242">
        <v>6</v>
      </c>
      <c r="U88" s="285">
        <v>12</v>
      </c>
      <c r="V88" s="228">
        <f t="shared" si="71"/>
        <v>11</v>
      </c>
      <c r="W88" s="229">
        <f t="shared" si="72"/>
        <v>6</v>
      </c>
      <c r="X88" s="241">
        <v>10</v>
      </c>
      <c r="Y88" s="242">
        <v>7</v>
      </c>
      <c r="Z88" s="285">
        <v>10</v>
      </c>
      <c r="AA88" s="228">
        <f t="shared" si="73"/>
        <v>10</v>
      </c>
      <c r="AB88" s="229">
        <f t="shared" si="74"/>
        <v>6</v>
      </c>
      <c r="AC88" s="232">
        <f t="shared" si="75"/>
        <v>10.333333333333334</v>
      </c>
      <c r="AD88" s="233">
        <f t="shared" si="76"/>
        <v>17</v>
      </c>
      <c r="AE88" s="242">
        <v>7</v>
      </c>
      <c r="AF88" s="285">
        <v>15</v>
      </c>
      <c r="AG88" s="234">
        <f t="shared" si="77"/>
        <v>15</v>
      </c>
      <c r="AH88" s="235">
        <f t="shared" si="78"/>
        <v>1</v>
      </c>
      <c r="AI88" s="241">
        <v>5</v>
      </c>
      <c r="AJ88" s="242">
        <v>0.5</v>
      </c>
      <c r="AK88" s="285"/>
      <c r="AL88" s="228">
        <f t="shared" si="79"/>
        <v>2.75</v>
      </c>
      <c r="AM88" s="229">
        <f t="shared" si="80"/>
        <v>0</v>
      </c>
      <c r="AN88" s="241">
        <v>10</v>
      </c>
      <c r="AO88" s="242">
        <v>1.5</v>
      </c>
      <c r="AP88" s="285">
        <v>2</v>
      </c>
      <c r="AQ88" s="228">
        <f t="shared" si="81"/>
        <v>6</v>
      </c>
      <c r="AR88" s="229">
        <f t="shared" si="82"/>
        <v>0</v>
      </c>
      <c r="AS88" s="236">
        <f t="shared" si="83"/>
        <v>6.5</v>
      </c>
      <c r="AT88" s="237">
        <f t="shared" si="84"/>
        <v>1</v>
      </c>
      <c r="AU88" s="241">
        <v>11</v>
      </c>
      <c r="AV88" s="242">
        <v>7</v>
      </c>
      <c r="AW88" s="285"/>
      <c r="AX88" s="228">
        <f t="shared" si="85"/>
        <v>9</v>
      </c>
      <c r="AY88" s="229">
        <f t="shared" si="86"/>
        <v>0</v>
      </c>
      <c r="AZ88" s="242">
        <v>8</v>
      </c>
      <c r="BA88" s="285"/>
      <c r="BB88" s="234">
        <f t="shared" si="87"/>
        <v>8</v>
      </c>
      <c r="BC88" s="235">
        <f t="shared" si="88"/>
        <v>0</v>
      </c>
      <c r="BD88" s="236">
        <f t="shared" si="89"/>
        <v>8.5</v>
      </c>
      <c r="BE88" s="237">
        <f t="shared" si="90"/>
        <v>0</v>
      </c>
      <c r="BF88" s="241">
        <v>9.75</v>
      </c>
      <c r="BG88" s="242">
        <v>6.75</v>
      </c>
      <c r="BH88" s="285">
        <v>11</v>
      </c>
      <c r="BI88" s="228">
        <f t="shared" si="91"/>
        <v>10.375</v>
      </c>
      <c r="BJ88" s="229">
        <f t="shared" si="92"/>
        <v>1</v>
      </c>
      <c r="BK88" s="236">
        <f t="shared" si="93"/>
        <v>10.375</v>
      </c>
      <c r="BL88" s="237">
        <f t="shared" si="94"/>
        <v>1</v>
      </c>
      <c r="BM88" s="239">
        <f t="shared" si="95"/>
        <v>8.7053571428571423</v>
      </c>
      <c r="BN88" s="240">
        <f t="shared" si="96"/>
        <v>19</v>
      </c>
      <c r="BO88" s="271">
        <v>11.5</v>
      </c>
      <c r="BP88" s="272">
        <v>2.5</v>
      </c>
      <c r="BQ88" s="140">
        <v>3</v>
      </c>
      <c r="BR88" s="228">
        <f t="shared" si="97"/>
        <v>7.25</v>
      </c>
      <c r="BS88" s="229">
        <f t="shared" si="98"/>
        <v>0</v>
      </c>
      <c r="BT88" s="241">
        <v>7</v>
      </c>
      <c r="BU88" s="242">
        <v>3</v>
      </c>
      <c r="BV88" s="285">
        <v>8.5</v>
      </c>
      <c r="BW88" s="228">
        <f t="shared" si="99"/>
        <v>7.75</v>
      </c>
      <c r="BX88" s="229">
        <f t="shared" si="100"/>
        <v>0</v>
      </c>
      <c r="BY88" s="282"/>
      <c r="BZ88" s="242">
        <v>2.5</v>
      </c>
      <c r="CA88" s="285"/>
      <c r="CB88" s="228">
        <f t="shared" si="101"/>
        <v>1.25</v>
      </c>
      <c r="CC88" s="229">
        <f t="shared" si="102"/>
        <v>0</v>
      </c>
      <c r="CD88" s="297">
        <f t="shared" si="103"/>
        <v>6.25</v>
      </c>
      <c r="CE88" s="233">
        <f t="shared" si="104"/>
        <v>0</v>
      </c>
      <c r="CF88" s="241">
        <v>6.5</v>
      </c>
      <c r="CG88" s="242">
        <v>6.5</v>
      </c>
      <c r="CH88" s="285"/>
      <c r="CI88" s="228">
        <f t="shared" si="105"/>
        <v>6.5</v>
      </c>
      <c r="CJ88" s="229">
        <f t="shared" si="106"/>
        <v>0</v>
      </c>
      <c r="CK88" s="230">
        <v>5</v>
      </c>
      <c r="CL88" s="231">
        <v>0</v>
      </c>
      <c r="CM88" s="285">
        <v>0.5</v>
      </c>
      <c r="CN88" s="228">
        <f t="shared" si="107"/>
        <v>2.75</v>
      </c>
      <c r="CO88" s="229">
        <f t="shared" si="108"/>
        <v>0</v>
      </c>
      <c r="CP88" s="232">
        <f t="shared" si="109"/>
        <v>4.625</v>
      </c>
      <c r="CQ88" s="233">
        <f t="shared" si="110"/>
        <v>0</v>
      </c>
      <c r="CR88" s="230">
        <v>13</v>
      </c>
      <c r="CS88" s="231">
        <v>1.5</v>
      </c>
      <c r="CT88" s="285"/>
      <c r="CU88" s="228">
        <f t="shared" si="111"/>
        <v>7.25</v>
      </c>
      <c r="CV88" s="229">
        <f t="shared" si="112"/>
        <v>0</v>
      </c>
      <c r="CW88" s="232">
        <f t="shared" si="113"/>
        <v>7.25</v>
      </c>
      <c r="CX88" s="233">
        <f t="shared" si="114"/>
        <v>0</v>
      </c>
      <c r="CY88" s="231">
        <v>10</v>
      </c>
      <c r="CZ88" s="285"/>
      <c r="DA88" s="234">
        <f t="shared" si="115"/>
        <v>10</v>
      </c>
      <c r="DB88" s="235">
        <f t="shared" si="116"/>
        <v>1</v>
      </c>
      <c r="DC88" s="232">
        <f t="shared" si="117"/>
        <v>10</v>
      </c>
      <c r="DD88" s="233">
        <f t="shared" si="118"/>
        <v>1</v>
      </c>
      <c r="DE88" s="65">
        <f t="shared" si="119"/>
        <v>6.1875</v>
      </c>
      <c r="DF88" s="66">
        <f t="shared" si="120"/>
        <v>1</v>
      </c>
      <c r="DG88" s="31">
        <f t="shared" si="60"/>
        <v>8.7053571428571423</v>
      </c>
      <c r="DH88" s="32">
        <f t="shared" si="61"/>
        <v>19</v>
      </c>
      <c r="DI88" s="33">
        <f t="shared" si="62"/>
        <v>6.1875</v>
      </c>
      <c r="DJ88" s="34">
        <f t="shared" si="63"/>
        <v>1</v>
      </c>
      <c r="DK88" s="67">
        <f t="shared" si="64"/>
        <v>7.4464285714285712</v>
      </c>
      <c r="DL88" s="35">
        <f t="shared" si="65"/>
        <v>20</v>
      </c>
      <c r="DM88" s="59">
        <f t="shared" si="66"/>
        <v>54</v>
      </c>
      <c r="DN88" s="43" t="str">
        <f t="shared" si="122"/>
        <v>راسب(ة)</v>
      </c>
      <c r="DP88" s="51"/>
      <c r="DQ88" s="46"/>
    </row>
    <row r="89" spans="1:121" s="37" customFormat="1" ht="32.25" hidden="1" customHeight="1" thickBot="1">
      <c r="A89" s="49"/>
      <c r="B89" s="1">
        <f t="shared" si="121"/>
        <v>36</v>
      </c>
      <c r="C89" s="129"/>
      <c r="D89" s="129"/>
      <c r="E89" s="137"/>
      <c r="F89" s="135"/>
      <c r="G89" s="136"/>
      <c r="H89" s="131"/>
      <c r="I89" s="132"/>
      <c r="J89" s="133"/>
      <c r="K89" s="134"/>
      <c r="L89" s="53">
        <f t="shared" si="67"/>
        <v>0</v>
      </c>
      <c r="M89" s="58">
        <f t="shared" si="68"/>
        <v>0</v>
      </c>
      <c r="N89" s="138"/>
      <c r="O89" s="139"/>
      <c r="P89" s="140"/>
      <c r="Q89" s="54">
        <f t="shared" si="69"/>
        <v>0</v>
      </c>
      <c r="R89" s="57">
        <f t="shared" si="70"/>
        <v>0</v>
      </c>
      <c r="S89" s="138"/>
      <c r="T89" s="139"/>
      <c r="U89" s="140"/>
      <c r="V89" s="54">
        <f t="shared" si="71"/>
        <v>0</v>
      </c>
      <c r="W89" s="57">
        <f t="shared" si="72"/>
        <v>0</v>
      </c>
      <c r="X89" s="138"/>
      <c r="Y89" s="139"/>
      <c r="Z89" s="140"/>
      <c r="AA89" s="54">
        <f t="shared" si="73"/>
        <v>0</v>
      </c>
      <c r="AB89" s="57">
        <f t="shared" si="74"/>
        <v>0</v>
      </c>
      <c r="AC89" s="55">
        <f t="shared" si="75"/>
        <v>0</v>
      </c>
      <c r="AD89" s="56">
        <f t="shared" si="76"/>
        <v>0</v>
      </c>
      <c r="AE89" s="139"/>
      <c r="AF89" s="140"/>
      <c r="AG89" s="42">
        <f t="shared" si="77"/>
        <v>0</v>
      </c>
      <c r="AH89" s="39">
        <f t="shared" si="78"/>
        <v>0</v>
      </c>
      <c r="AI89" s="138"/>
      <c r="AJ89" s="139"/>
      <c r="AK89" s="140"/>
      <c r="AL89" s="54">
        <f t="shared" si="79"/>
        <v>0</v>
      </c>
      <c r="AM89" s="57">
        <f t="shared" si="80"/>
        <v>0</v>
      </c>
      <c r="AN89" s="138"/>
      <c r="AO89" s="139"/>
      <c r="AP89" s="140"/>
      <c r="AQ89" s="54">
        <f t="shared" si="81"/>
        <v>0</v>
      </c>
      <c r="AR89" s="57">
        <f t="shared" si="82"/>
        <v>0</v>
      </c>
      <c r="AS89" s="40">
        <f t="shared" si="83"/>
        <v>0</v>
      </c>
      <c r="AT89" s="41">
        <f t="shared" si="84"/>
        <v>0</v>
      </c>
      <c r="AU89" s="138"/>
      <c r="AV89" s="139"/>
      <c r="AW89" s="140"/>
      <c r="AX89" s="54">
        <f t="shared" si="85"/>
        <v>0</v>
      </c>
      <c r="AY89" s="57">
        <f t="shared" si="86"/>
        <v>0</v>
      </c>
      <c r="AZ89" s="139"/>
      <c r="BA89" s="140"/>
      <c r="BB89" s="42">
        <f t="shared" si="87"/>
        <v>0</v>
      </c>
      <c r="BC89" s="39">
        <f t="shared" si="88"/>
        <v>0</v>
      </c>
      <c r="BD89" s="40">
        <f t="shared" si="89"/>
        <v>0</v>
      </c>
      <c r="BE89" s="41">
        <f t="shared" si="90"/>
        <v>0</v>
      </c>
      <c r="BF89" s="138"/>
      <c r="BG89" s="139"/>
      <c r="BH89" s="140"/>
      <c r="BI89" s="54">
        <f t="shared" si="91"/>
        <v>0</v>
      </c>
      <c r="BJ89" s="57">
        <f t="shared" si="92"/>
        <v>0</v>
      </c>
      <c r="BK89" s="61">
        <f t="shared" si="93"/>
        <v>0</v>
      </c>
      <c r="BL89" s="41">
        <f t="shared" si="94"/>
        <v>0</v>
      </c>
      <c r="BM89" s="63">
        <f t="shared" si="95"/>
        <v>0</v>
      </c>
      <c r="BN89" s="64">
        <f t="shared" si="96"/>
        <v>0</v>
      </c>
      <c r="BO89" s="138"/>
      <c r="BP89" s="139"/>
      <c r="BQ89" s="140"/>
      <c r="BR89" s="54">
        <f t="shared" si="97"/>
        <v>0</v>
      </c>
      <c r="BS89" s="57">
        <f t="shared" si="98"/>
        <v>0</v>
      </c>
      <c r="BT89" s="138"/>
      <c r="BU89" s="139"/>
      <c r="BV89" s="140"/>
      <c r="BW89" s="54">
        <f t="shared" si="99"/>
        <v>0</v>
      </c>
      <c r="BX89" s="57">
        <f t="shared" si="100"/>
        <v>0</v>
      </c>
      <c r="BY89" s="138"/>
      <c r="BZ89" s="139"/>
      <c r="CA89" s="140"/>
      <c r="CB89" s="54">
        <f t="shared" si="101"/>
        <v>0</v>
      </c>
      <c r="CC89" s="57">
        <f t="shared" si="102"/>
        <v>0</v>
      </c>
      <c r="CD89" s="62">
        <f t="shared" si="103"/>
        <v>0</v>
      </c>
      <c r="CE89" s="56">
        <f t="shared" si="104"/>
        <v>0</v>
      </c>
      <c r="CF89" s="138"/>
      <c r="CG89" s="139"/>
      <c r="CH89" s="140"/>
      <c r="CI89" s="54">
        <f t="shared" si="105"/>
        <v>0</v>
      </c>
      <c r="CJ89" s="57">
        <f t="shared" si="106"/>
        <v>0</v>
      </c>
      <c r="CK89" s="138"/>
      <c r="CL89" s="139"/>
      <c r="CM89" s="140"/>
      <c r="CN89" s="54">
        <f t="shared" si="107"/>
        <v>0</v>
      </c>
      <c r="CO89" s="57">
        <f t="shared" si="108"/>
        <v>0</v>
      </c>
      <c r="CP89" s="55">
        <f t="shared" si="109"/>
        <v>0</v>
      </c>
      <c r="CQ89" s="56">
        <f t="shared" si="110"/>
        <v>0</v>
      </c>
      <c r="CR89" s="138"/>
      <c r="CS89" s="139"/>
      <c r="CT89" s="140"/>
      <c r="CU89" s="54">
        <f t="shared" si="111"/>
        <v>0</v>
      </c>
      <c r="CV89" s="57">
        <f t="shared" si="112"/>
        <v>0</v>
      </c>
      <c r="CW89" s="55">
        <f t="shared" si="113"/>
        <v>0</v>
      </c>
      <c r="CX89" s="56">
        <f t="shared" si="114"/>
        <v>0</v>
      </c>
      <c r="CY89" s="139"/>
      <c r="CZ89" s="140"/>
      <c r="DA89" s="42">
        <f t="shared" si="115"/>
        <v>0</v>
      </c>
      <c r="DB89" s="39">
        <f t="shared" si="116"/>
        <v>0</v>
      </c>
      <c r="DC89" s="55">
        <f t="shared" si="117"/>
        <v>0</v>
      </c>
      <c r="DD89" s="56">
        <f t="shared" si="118"/>
        <v>0</v>
      </c>
      <c r="DE89" s="65">
        <f t="shared" si="119"/>
        <v>0</v>
      </c>
      <c r="DF89" s="66">
        <f t="shared" si="120"/>
        <v>0</v>
      </c>
      <c r="DG89" s="31">
        <f t="shared" si="60"/>
        <v>0</v>
      </c>
      <c r="DH89" s="32">
        <f t="shared" si="61"/>
        <v>0</v>
      </c>
      <c r="DI89" s="33">
        <f t="shared" si="62"/>
        <v>0</v>
      </c>
      <c r="DJ89" s="34">
        <f t="shared" si="63"/>
        <v>0</v>
      </c>
      <c r="DK89" s="67">
        <f t="shared" si="64"/>
        <v>0</v>
      </c>
      <c r="DL89" s="35">
        <f t="shared" si="65"/>
        <v>0</v>
      </c>
      <c r="DM89" s="59">
        <f t="shared" si="66"/>
        <v>0</v>
      </c>
      <c r="DN89" s="43" t="str">
        <f t="shared" si="122"/>
        <v>راسب(ة)</v>
      </c>
      <c r="DO89" s="44"/>
      <c r="DP89" s="50"/>
      <c r="DQ89" s="46"/>
    </row>
    <row r="90" spans="1:121" s="37" customFormat="1" ht="32.25" hidden="1" customHeight="1" thickBot="1">
      <c r="A90" s="49"/>
      <c r="B90" s="1">
        <f t="shared" si="121"/>
        <v>37</v>
      </c>
      <c r="C90" s="129"/>
      <c r="D90" s="129"/>
      <c r="E90" s="45"/>
      <c r="F90" s="135"/>
      <c r="G90" s="136"/>
      <c r="H90" s="131"/>
      <c r="I90" s="132"/>
      <c r="J90" s="133"/>
      <c r="K90" s="134"/>
      <c r="L90" s="53">
        <f t="shared" si="67"/>
        <v>0</v>
      </c>
      <c r="M90" s="58">
        <f t="shared" si="68"/>
        <v>0</v>
      </c>
      <c r="N90" s="138"/>
      <c r="O90" s="139"/>
      <c r="P90" s="140"/>
      <c r="Q90" s="54">
        <f t="shared" si="69"/>
        <v>0</v>
      </c>
      <c r="R90" s="57">
        <f t="shared" si="70"/>
        <v>0</v>
      </c>
      <c r="S90" s="138"/>
      <c r="T90" s="139"/>
      <c r="U90" s="140"/>
      <c r="V90" s="54">
        <f t="shared" si="71"/>
        <v>0</v>
      </c>
      <c r="W90" s="57">
        <f t="shared" si="72"/>
        <v>0</v>
      </c>
      <c r="X90" s="138"/>
      <c r="Y90" s="139"/>
      <c r="Z90" s="140"/>
      <c r="AA90" s="54">
        <f t="shared" si="73"/>
        <v>0</v>
      </c>
      <c r="AB90" s="57">
        <f t="shared" si="74"/>
        <v>0</v>
      </c>
      <c r="AC90" s="55">
        <f t="shared" si="75"/>
        <v>0</v>
      </c>
      <c r="AD90" s="56">
        <f t="shared" si="76"/>
        <v>0</v>
      </c>
      <c r="AE90" s="139"/>
      <c r="AF90" s="140"/>
      <c r="AG90" s="42">
        <f t="shared" si="77"/>
        <v>0</v>
      </c>
      <c r="AH90" s="39">
        <f t="shared" si="78"/>
        <v>0</v>
      </c>
      <c r="AI90" s="138"/>
      <c r="AJ90" s="139"/>
      <c r="AK90" s="140"/>
      <c r="AL90" s="54">
        <f t="shared" si="79"/>
        <v>0</v>
      </c>
      <c r="AM90" s="57">
        <f t="shared" si="80"/>
        <v>0</v>
      </c>
      <c r="AN90" s="138"/>
      <c r="AO90" s="139"/>
      <c r="AP90" s="140"/>
      <c r="AQ90" s="54">
        <f t="shared" si="81"/>
        <v>0</v>
      </c>
      <c r="AR90" s="57">
        <f t="shared" si="82"/>
        <v>0</v>
      </c>
      <c r="AS90" s="40">
        <f t="shared" si="83"/>
        <v>0</v>
      </c>
      <c r="AT90" s="41">
        <f t="shared" si="84"/>
        <v>0</v>
      </c>
      <c r="AU90" s="138"/>
      <c r="AV90" s="139"/>
      <c r="AW90" s="140"/>
      <c r="AX90" s="54">
        <f t="shared" si="85"/>
        <v>0</v>
      </c>
      <c r="AY90" s="57">
        <f t="shared" si="86"/>
        <v>0</v>
      </c>
      <c r="AZ90" s="139"/>
      <c r="BA90" s="140"/>
      <c r="BB90" s="42">
        <f t="shared" si="87"/>
        <v>0</v>
      </c>
      <c r="BC90" s="39">
        <f t="shared" si="88"/>
        <v>0</v>
      </c>
      <c r="BD90" s="40">
        <f t="shared" si="89"/>
        <v>0</v>
      </c>
      <c r="BE90" s="41">
        <f t="shared" si="90"/>
        <v>0</v>
      </c>
      <c r="BF90" s="138"/>
      <c r="BG90" s="139"/>
      <c r="BH90" s="140"/>
      <c r="BI90" s="54">
        <f t="shared" si="91"/>
        <v>0</v>
      </c>
      <c r="BJ90" s="57">
        <f t="shared" si="92"/>
        <v>0</v>
      </c>
      <c r="BK90" s="61">
        <f t="shared" si="93"/>
        <v>0</v>
      </c>
      <c r="BL90" s="41">
        <f t="shared" si="94"/>
        <v>0</v>
      </c>
      <c r="BM90" s="63">
        <f t="shared" si="95"/>
        <v>0</v>
      </c>
      <c r="BN90" s="64">
        <f t="shared" si="96"/>
        <v>0</v>
      </c>
      <c r="BO90" s="138"/>
      <c r="BP90" s="139"/>
      <c r="BQ90" s="140"/>
      <c r="BR90" s="54">
        <f t="shared" si="97"/>
        <v>0</v>
      </c>
      <c r="BS90" s="57">
        <f t="shared" si="98"/>
        <v>0</v>
      </c>
      <c r="BT90" s="138"/>
      <c r="BU90" s="139"/>
      <c r="BV90" s="140"/>
      <c r="BW90" s="54">
        <f t="shared" si="99"/>
        <v>0</v>
      </c>
      <c r="BX90" s="57">
        <f t="shared" si="100"/>
        <v>0</v>
      </c>
      <c r="BY90" s="138"/>
      <c r="BZ90" s="139"/>
      <c r="CA90" s="140"/>
      <c r="CB90" s="54">
        <f t="shared" si="101"/>
        <v>0</v>
      </c>
      <c r="CC90" s="57">
        <f t="shared" si="102"/>
        <v>0</v>
      </c>
      <c r="CD90" s="62">
        <f t="shared" si="103"/>
        <v>0</v>
      </c>
      <c r="CE90" s="56">
        <f t="shared" si="104"/>
        <v>0</v>
      </c>
      <c r="CF90" s="138"/>
      <c r="CG90" s="139"/>
      <c r="CH90" s="140"/>
      <c r="CI90" s="54">
        <f t="shared" si="105"/>
        <v>0</v>
      </c>
      <c r="CJ90" s="57">
        <f t="shared" si="106"/>
        <v>0</v>
      </c>
      <c r="CK90" s="138"/>
      <c r="CL90" s="139"/>
      <c r="CM90" s="140"/>
      <c r="CN90" s="54">
        <f t="shared" si="107"/>
        <v>0</v>
      </c>
      <c r="CO90" s="57">
        <f t="shared" si="108"/>
        <v>0</v>
      </c>
      <c r="CP90" s="55">
        <f t="shared" si="109"/>
        <v>0</v>
      </c>
      <c r="CQ90" s="56">
        <f t="shared" si="110"/>
        <v>0</v>
      </c>
      <c r="CR90" s="138"/>
      <c r="CS90" s="139"/>
      <c r="CT90" s="140"/>
      <c r="CU90" s="54">
        <f t="shared" si="111"/>
        <v>0</v>
      </c>
      <c r="CV90" s="57">
        <f t="shared" si="112"/>
        <v>0</v>
      </c>
      <c r="CW90" s="55">
        <f t="shared" si="113"/>
        <v>0</v>
      </c>
      <c r="CX90" s="56">
        <f t="shared" si="114"/>
        <v>0</v>
      </c>
      <c r="CY90" s="139"/>
      <c r="CZ90" s="140"/>
      <c r="DA90" s="42">
        <f t="shared" si="115"/>
        <v>0</v>
      </c>
      <c r="DB90" s="39">
        <f t="shared" si="116"/>
        <v>0</v>
      </c>
      <c r="DC90" s="55">
        <f t="shared" si="117"/>
        <v>0</v>
      </c>
      <c r="DD90" s="56">
        <f t="shared" si="118"/>
        <v>0</v>
      </c>
      <c r="DE90" s="65">
        <f t="shared" si="119"/>
        <v>0</v>
      </c>
      <c r="DF90" s="66">
        <f t="shared" si="120"/>
        <v>0</v>
      </c>
      <c r="DG90" s="31">
        <f t="shared" si="60"/>
        <v>0</v>
      </c>
      <c r="DH90" s="32">
        <f t="shared" si="61"/>
        <v>0</v>
      </c>
      <c r="DI90" s="33">
        <f t="shared" si="62"/>
        <v>0</v>
      </c>
      <c r="DJ90" s="34">
        <f t="shared" si="63"/>
        <v>0</v>
      </c>
      <c r="DK90" s="67">
        <f t="shared" si="64"/>
        <v>0</v>
      </c>
      <c r="DL90" s="35">
        <f t="shared" si="65"/>
        <v>0</v>
      </c>
      <c r="DM90" s="59">
        <f t="shared" si="66"/>
        <v>0</v>
      </c>
      <c r="DN90" s="43" t="str">
        <f t="shared" si="122"/>
        <v>راسب(ة)</v>
      </c>
      <c r="DP90" s="51"/>
      <c r="DQ90" s="46"/>
    </row>
    <row r="91" spans="1:121" s="37" customFormat="1" ht="32.25" hidden="1" customHeight="1" thickBot="1">
      <c r="A91" s="49"/>
      <c r="B91" s="1">
        <f t="shared" si="121"/>
        <v>38</v>
      </c>
      <c r="C91" s="129"/>
      <c r="D91" s="129"/>
      <c r="E91" s="47"/>
      <c r="F91" s="135"/>
      <c r="G91" s="136"/>
      <c r="H91" s="131"/>
      <c r="I91" s="132"/>
      <c r="J91" s="133"/>
      <c r="K91" s="134"/>
      <c r="L91" s="53">
        <f t="shared" si="67"/>
        <v>0</v>
      </c>
      <c r="M91" s="58">
        <f t="shared" si="68"/>
        <v>0</v>
      </c>
      <c r="N91" s="138"/>
      <c r="O91" s="139"/>
      <c r="P91" s="140"/>
      <c r="Q91" s="54">
        <f t="shared" si="69"/>
        <v>0</v>
      </c>
      <c r="R91" s="57">
        <f t="shared" si="70"/>
        <v>0</v>
      </c>
      <c r="S91" s="138"/>
      <c r="T91" s="139"/>
      <c r="U91" s="140"/>
      <c r="V91" s="54">
        <f t="shared" si="71"/>
        <v>0</v>
      </c>
      <c r="W91" s="57">
        <f t="shared" si="72"/>
        <v>0</v>
      </c>
      <c r="X91" s="138"/>
      <c r="Y91" s="139"/>
      <c r="Z91" s="140"/>
      <c r="AA91" s="54">
        <f t="shared" si="73"/>
        <v>0</v>
      </c>
      <c r="AB91" s="57">
        <f t="shared" si="74"/>
        <v>0</v>
      </c>
      <c r="AC91" s="55">
        <f t="shared" si="75"/>
        <v>0</v>
      </c>
      <c r="AD91" s="56">
        <f t="shared" si="76"/>
        <v>0</v>
      </c>
      <c r="AE91" s="139"/>
      <c r="AF91" s="140"/>
      <c r="AG91" s="42">
        <f t="shared" si="77"/>
        <v>0</v>
      </c>
      <c r="AH91" s="39">
        <f t="shared" si="78"/>
        <v>0</v>
      </c>
      <c r="AI91" s="138"/>
      <c r="AJ91" s="139"/>
      <c r="AK91" s="140"/>
      <c r="AL91" s="54">
        <f t="shared" si="79"/>
        <v>0</v>
      </c>
      <c r="AM91" s="57">
        <f t="shared" si="80"/>
        <v>0</v>
      </c>
      <c r="AN91" s="138"/>
      <c r="AO91" s="139"/>
      <c r="AP91" s="140"/>
      <c r="AQ91" s="54">
        <f t="shared" si="81"/>
        <v>0</v>
      </c>
      <c r="AR91" s="57">
        <f t="shared" si="82"/>
        <v>0</v>
      </c>
      <c r="AS91" s="40">
        <f t="shared" si="83"/>
        <v>0</v>
      </c>
      <c r="AT91" s="41">
        <f t="shared" si="84"/>
        <v>0</v>
      </c>
      <c r="AU91" s="138"/>
      <c r="AV91" s="139"/>
      <c r="AW91" s="140"/>
      <c r="AX91" s="54">
        <f t="shared" si="85"/>
        <v>0</v>
      </c>
      <c r="AY91" s="57">
        <f t="shared" si="86"/>
        <v>0</v>
      </c>
      <c r="AZ91" s="139"/>
      <c r="BA91" s="140"/>
      <c r="BB91" s="42">
        <f t="shared" si="87"/>
        <v>0</v>
      </c>
      <c r="BC91" s="39">
        <f t="shared" si="88"/>
        <v>0</v>
      </c>
      <c r="BD91" s="40">
        <f t="shared" si="89"/>
        <v>0</v>
      </c>
      <c r="BE91" s="41">
        <f t="shared" si="90"/>
        <v>0</v>
      </c>
      <c r="BF91" s="138"/>
      <c r="BG91" s="139"/>
      <c r="BH91" s="140"/>
      <c r="BI91" s="54">
        <f t="shared" si="91"/>
        <v>0</v>
      </c>
      <c r="BJ91" s="57">
        <f t="shared" si="92"/>
        <v>0</v>
      </c>
      <c r="BK91" s="61">
        <f t="shared" si="93"/>
        <v>0</v>
      </c>
      <c r="BL91" s="41">
        <f t="shared" si="94"/>
        <v>0</v>
      </c>
      <c r="BM91" s="63">
        <f t="shared" si="95"/>
        <v>0</v>
      </c>
      <c r="BN91" s="64">
        <f t="shared" si="96"/>
        <v>0</v>
      </c>
      <c r="BO91" s="138"/>
      <c r="BP91" s="139"/>
      <c r="BQ91" s="140"/>
      <c r="BR91" s="54">
        <f t="shared" si="97"/>
        <v>0</v>
      </c>
      <c r="BS91" s="57">
        <f t="shared" si="98"/>
        <v>0</v>
      </c>
      <c r="BT91" s="138"/>
      <c r="BU91" s="139"/>
      <c r="BV91" s="140"/>
      <c r="BW91" s="54">
        <f t="shared" si="99"/>
        <v>0</v>
      </c>
      <c r="BX91" s="57">
        <f t="shared" si="100"/>
        <v>0</v>
      </c>
      <c r="BY91" s="138"/>
      <c r="BZ91" s="139"/>
      <c r="CA91" s="140"/>
      <c r="CB91" s="54">
        <f t="shared" si="101"/>
        <v>0</v>
      </c>
      <c r="CC91" s="57">
        <f t="shared" si="102"/>
        <v>0</v>
      </c>
      <c r="CD91" s="62">
        <f t="shared" si="103"/>
        <v>0</v>
      </c>
      <c r="CE91" s="56">
        <f t="shared" si="104"/>
        <v>0</v>
      </c>
      <c r="CF91" s="138"/>
      <c r="CG91" s="139"/>
      <c r="CH91" s="140"/>
      <c r="CI91" s="54">
        <f t="shared" si="105"/>
        <v>0</v>
      </c>
      <c r="CJ91" s="57">
        <f t="shared" si="106"/>
        <v>0</v>
      </c>
      <c r="CK91" s="138"/>
      <c r="CL91" s="139"/>
      <c r="CM91" s="140"/>
      <c r="CN91" s="54">
        <f t="shared" si="107"/>
        <v>0</v>
      </c>
      <c r="CO91" s="57">
        <f t="shared" si="108"/>
        <v>0</v>
      </c>
      <c r="CP91" s="55">
        <f t="shared" si="109"/>
        <v>0</v>
      </c>
      <c r="CQ91" s="56">
        <f t="shared" si="110"/>
        <v>0</v>
      </c>
      <c r="CR91" s="138"/>
      <c r="CS91" s="139"/>
      <c r="CT91" s="140"/>
      <c r="CU91" s="54">
        <f t="shared" si="111"/>
        <v>0</v>
      </c>
      <c r="CV91" s="57">
        <f t="shared" si="112"/>
        <v>0</v>
      </c>
      <c r="CW91" s="55">
        <f t="shared" si="113"/>
        <v>0</v>
      </c>
      <c r="CX91" s="56">
        <f t="shared" si="114"/>
        <v>0</v>
      </c>
      <c r="CY91" s="139"/>
      <c r="CZ91" s="140"/>
      <c r="DA91" s="42">
        <f t="shared" si="115"/>
        <v>0</v>
      </c>
      <c r="DB91" s="39">
        <f t="shared" si="116"/>
        <v>0</v>
      </c>
      <c r="DC91" s="55">
        <f t="shared" si="117"/>
        <v>0</v>
      </c>
      <c r="DD91" s="56">
        <f t="shared" si="118"/>
        <v>0</v>
      </c>
      <c r="DE91" s="65">
        <f t="shared" si="119"/>
        <v>0</v>
      </c>
      <c r="DF91" s="66">
        <f t="shared" si="120"/>
        <v>0</v>
      </c>
      <c r="DG91" s="31">
        <f t="shared" si="60"/>
        <v>0</v>
      </c>
      <c r="DH91" s="32">
        <f t="shared" si="61"/>
        <v>0</v>
      </c>
      <c r="DI91" s="33">
        <f t="shared" si="62"/>
        <v>0</v>
      </c>
      <c r="DJ91" s="34">
        <f t="shared" si="63"/>
        <v>0</v>
      </c>
      <c r="DK91" s="67">
        <f t="shared" si="64"/>
        <v>0</v>
      </c>
      <c r="DL91" s="35">
        <f t="shared" si="65"/>
        <v>0</v>
      </c>
      <c r="DM91" s="59">
        <f t="shared" si="66"/>
        <v>0</v>
      </c>
      <c r="DN91" s="43" t="str">
        <f t="shared" si="122"/>
        <v>راسب(ة)</v>
      </c>
      <c r="DO91" s="44"/>
      <c r="DP91" s="50"/>
      <c r="DQ91" s="46"/>
    </row>
    <row r="92" spans="1:121" s="37" customFormat="1" ht="32.25" hidden="1" customHeight="1" thickBot="1">
      <c r="A92" s="49"/>
      <c r="B92" s="1">
        <f t="shared" si="121"/>
        <v>39</v>
      </c>
      <c r="C92" s="129"/>
      <c r="D92" s="129"/>
      <c r="E92" s="47"/>
      <c r="F92" s="135"/>
      <c r="G92" s="136"/>
      <c r="H92" s="131"/>
      <c r="I92" s="132"/>
      <c r="J92" s="133"/>
      <c r="K92" s="134"/>
      <c r="L92" s="53">
        <f t="shared" si="67"/>
        <v>0</v>
      </c>
      <c r="M92" s="58">
        <f t="shared" si="68"/>
        <v>0</v>
      </c>
      <c r="N92" s="138"/>
      <c r="O92" s="139"/>
      <c r="P92" s="140"/>
      <c r="Q92" s="54">
        <f t="shared" si="69"/>
        <v>0</v>
      </c>
      <c r="R92" s="57">
        <f t="shared" si="70"/>
        <v>0</v>
      </c>
      <c r="S92" s="138"/>
      <c r="T92" s="139"/>
      <c r="U92" s="140"/>
      <c r="V92" s="54">
        <f t="shared" si="71"/>
        <v>0</v>
      </c>
      <c r="W92" s="57">
        <f t="shared" si="72"/>
        <v>0</v>
      </c>
      <c r="X92" s="138"/>
      <c r="Y92" s="139"/>
      <c r="Z92" s="140"/>
      <c r="AA92" s="54">
        <f t="shared" si="73"/>
        <v>0</v>
      </c>
      <c r="AB92" s="57">
        <f t="shared" si="74"/>
        <v>0</v>
      </c>
      <c r="AC92" s="55">
        <f t="shared" si="75"/>
        <v>0</v>
      </c>
      <c r="AD92" s="56">
        <f t="shared" si="76"/>
        <v>0</v>
      </c>
      <c r="AE92" s="139"/>
      <c r="AF92" s="140"/>
      <c r="AG92" s="42">
        <f t="shared" si="77"/>
        <v>0</v>
      </c>
      <c r="AH92" s="39">
        <f t="shared" si="78"/>
        <v>0</v>
      </c>
      <c r="AI92" s="138"/>
      <c r="AJ92" s="139"/>
      <c r="AK92" s="140"/>
      <c r="AL92" s="54">
        <f t="shared" si="79"/>
        <v>0</v>
      </c>
      <c r="AM92" s="57">
        <f t="shared" si="80"/>
        <v>0</v>
      </c>
      <c r="AN92" s="138"/>
      <c r="AO92" s="139"/>
      <c r="AP92" s="140"/>
      <c r="AQ92" s="54">
        <f t="shared" si="81"/>
        <v>0</v>
      </c>
      <c r="AR92" s="57">
        <f t="shared" si="82"/>
        <v>0</v>
      </c>
      <c r="AS92" s="40">
        <f t="shared" si="83"/>
        <v>0</v>
      </c>
      <c r="AT92" s="41">
        <f t="shared" si="84"/>
        <v>0</v>
      </c>
      <c r="AU92" s="138"/>
      <c r="AV92" s="139"/>
      <c r="AW92" s="140"/>
      <c r="AX92" s="54">
        <f t="shared" si="85"/>
        <v>0</v>
      </c>
      <c r="AY92" s="57">
        <f t="shared" si="86"/>
        <v>0</v>
      </c>
      <c r="AZ92" s="139"/>
      <c r="BA92" s="140"/>
      <c r="BB92" s="42">
        <f t="shared" si="87"/>
        <v>0</v>
      </c>
      <c r="BC92" s="39">
        <f t="shared" si="88"/>
        <v>0</v>
      </c>
      <c r="BD92" s="40">
        <f t="shared" si="89"/>
        <v>0</v>
      </c>
      <c r="BE92" s="41">
        <f t="shared" si="90"/>
        <v>0</v>
      </c>
      <c r="BF92" s="138"/>
      <c r="BG92" s="139"/>
      <c r="BH92" s="140"/>
      <c r="BI92" s="54">
        <f t="shared" si="91"/>
        <v>0</v>
      </c>
      <c r="BJ92" s="57">
        <f t="shared" si="92"/>
        <v>0</v>
      </c>
      <c r="BK92" s="61">
        <f t="shared" si="93"/>
        <v>0</v>
      </c>
      <c r="BL92" s="41">
        <f t="shared" si="94"/>
        <v>0</v>
      </c>
      <c r="BM92" s="63">
        <f t="shared" si="95"/>
        <v>0</v>
      </c>
      <c r="BN92" s="64">
        <f t="shared" si="96"/>
        <v>0</v>
      </c>
      <c r="BO92" s="138"/>
      <c r="BP92" s="139"/>
      <c r="BQ92" s="140"/>
      <c r="BR92" s="54">
        <f t="shared" si="97"/>
        <v>0</v>
      </c>
      <c r="BS92" s="57">
        <f t="shared" si="98"/>
        <v>0</v>
      </c>
      <c r="BT92" s="138"/>
      <c r="BU92" s="139"/>
      <c r="BV92" s="140"/>
      <c r="BW92" s="54">
        <f t="shared" si="99"/>
        <v>0</v>
      </c>
      <c r="BX92" s="57">
        <f t="shared" si="100"/>
        <v>0</v>
      </c>
      <c r="BY92" s="138"/>
      <c r="BZ92" s="139"/>
      <c r="CA92" s="140"/>
      <c r="CB92" s="54">
        <f t="shared" si="101"/>
        <v>0</v>
      </c>
      <c r="CC92" s="57">
        <f t="shared" si="102"/>
        <v>0</v>
      </c>
      <c r="CD92" s="62">
        <f t="shared" si="103"/>
        <v>0</v>
      </c>
      <c r="CE92" s="56">
        <f t="shared" si="104"/>
        <v>0</v>
      </c>
      <c r="CF92" s="138"/>
      <c r="CG92" s="139"/>
      <c r="CH92" s="140"/>
      <c r="CI92" s="54">
        <f t="shared" si="105"/>
        <v>0</v>
      </c>
      <c r="CJ92" s="57">
        <f t="shared" si="106"/>
        <v>0</v>
      </c>
      <c r="CK92" s="138"/>
      <c r="CL92" s="139"/>
      <c r="CM92" s="140"/>
      <c r="CN92" s="54">
        <f t="shared" si="107"/>
        <v>0</v>
      </c>
      <c r="CO92" s="57">
        <f t="shared" si="108"/>
        <v>0</v>
      </c>
      <c r="CP92" s="55">
        <f t="shared" si="109"/>
        <v>0</v>
      </c>
      <c r="CQ92" s="56">
        <f t="shared" si="110"/>
        <v>0</v>
      </c>
      <c r="CR92" s="138"/>
      <c r="CS92" s="139"/>
      <c r="CT92" s="140"/>
      <c r="CU92" s="54">
        <f t="shared" si="111"/>
        <v>0</v>
      </c>
      <c r="CV92" s="57">
        <f t="shared" si="112"/>
        <v>0</v>
      </c>
      <c r="CW92" s="55">
        <f t="shared" si="113"/>
        <v>0</v>
      </c>
      <c r="CX92" s="56">
        <f t="shared" si="114"/>
        <v>0</v>
      </c>
      <c r="CY92" s="139"/>
      <c r="CZ92" s="140"/>
      <c r="DA92" s="42">
        <f t="shared" si="115"/>
        <v>0</v>
      </c>
      <c r="DB92" s="39">
        <f t="shared" si="116"/>
        <v>0</v>
      </c>
      <c r="DC92" s="55">
        <f t="shared" si="117"/>
        <v>0</v>
      </c>
      <c r="DD92" s="56">
        <f t="shared" si="118"/>
        <v>0</v>
      </c>
      <c r="DE92" s="65">
        <f t="shared" si="119"/>
        <v>0</v>
      </c>
      <c r="DF92" s="66">
        <f t="shared" si="120"/>
        <v>0</v>
      </c>
      <c r="DG92" s="31">
        <f t="shared" si="60"/>
        <v>0</v>
      </c>
      <c r="DH92" s="32">
        <f t="shared" si="61"/>
        <v>0</v>
      </c>
      <c r="DI92" s="33">
        <f t="shared" si="62"/>
        <v>0</v>
      </c>
      <c r="DJ92" s="34">
        <f t="shared" si="63"/>
        <v>0</v>
      </c>
      <c r="DK92" s="67">
        <f t="shared" si="64"/>
        <v>0</v>
      </c>
      <c r="DL92" s="35">
        <f t="shared" si="65"/>
        <v>0</v>
      </c>
      <c r="DM92" s="59">
        <f t="shared" si="66"/>
        <v>0</v>
      </c>
      <c r="DN92" s="43" t="str">
        <f t="shared" si="122"/>
        <v>راسب(ة)</v>
      </c>
      <c r="DO92" s="44"/>
      <c r="DP92" s="50"/>
      <c r="DQ92" s="46"/>
    </row>
    <row r="93" spans="1:121" s="37" customFormat="1" ht="32.25" hidden="1" customHeight="1" thickBot="1">
      <c r="A93" s="49"/>
      <c r="B93" s="1">
        <f t="shared" si="121"/>
        <v>40</v>
      </c>
      <c r="C93" s="129"/>
      <c r="D93" s="129"/>
      <c r="E93" s="47"/>
      <c r="F93" s="135"/>
      <c r="G93" s="136"/>
      <c r="H93" s="131"/>
      <c r="I93" s="132"/>
      <c r="J93" s="133"/>
      <c r="K93" s="134"/>
      <c r="L93" s="53">
        <f t="shared" si="67"/>
        <v>0</v>
      </c>
      <c r="M93" s="58">
        <f t="shared" si="68"/>
        <v>0</v>
      </c>
      <c r="N93" s="138"/>
      <c r="O93" s="139"/>
      <c r="P93" s="140"/>
      <c r="Q93" s="54">
        <f t="shared" si="69"/>
        <v>0</v>
      </c>
      <c r="R93" s="57">
        <f t="shared" si="70"/>
        <v>0</v>
      </c>
      <c r="S93" s="138"/>
      <c r="T93" s="139"/>
      <c r="U93" s="140"/>
      <c r="V93" s="54">
        <f t="shared" si="71"/>
        <v>0</v>
      </c>
      <c r="W93" s="57">
        <f t="shared" si="72"/>
        <v>0</v>
      </c>
      <c r="X93" s="138"/>
      <c r="Y93" s="139"/>
      <c r="Z93" s="140"/>
      <c r="AA93" s="54">
        <f t="shared" si="73"/>
        <v>0</v>
      </c>
      <c r="AB93" s="57">
        <f t="shared" si="74"/>
        <v>0</v>
      </c>
      <c r="AC93" s="55">
        <f t="shared" si="75"/>
        <v>0</v>
      </c>
      <c r="AD93" s="56">
        <f t="shared" si="76"/>
        <v>0</v>
      </c>
      <c r="AE93" s="139"/>
      <c r="AF93" s="140"/>
      <c r="AG93" s="42">
        <f t="shared" si="77"/>
        <v>0</v>
      </c>
      <c r="AH93" s="39">
        <f t="shared" si="78"/>
        <v>0</v>
      </c>
      <c r="AI93" s="138"/>
      <c r="AJ93" s="139"/>
      <c r="AK93" s="140"/>
      <c r="AL93" s="54">
        <f t="shared" si="79"/>
        <v>0</v>
      </c>
      <c r="AM93" s="57">
        <f t="shared" si="80"/>
        <v>0</v>
      </c>
      <c r="AN93" s="138"/>
      <c r="AO93" s="139"/>
      <c r="AP93" s="140"/>
      <c r="AQ93" s="54">
        <f t="shared" si="81"/>
        <v>0</v>
      </c>
      <c r="AR93" s="57">
        <f t="shared" si="82"/>
        <v>0</v>
      </c>
      <c r="AS93" s="40">
        <f t="shared" si="83"/>
        <v>0</v>
      </c>
      <c r="AT93" s="41">
        <f t="shared" si="84"/>
        <v>0</v>
      </c>
      <c r="AU93" s="138"/>
      <c r="AV93" s="139"/>
      <c r="AW93" s="140"/>
      <c r="AX93" s="54">
        <f t="shared" si="85"/>
        <v>0</v>
      </c>
      <c r="AY93" s="57">
        <f t="shared" si="86"/>
        <v>0</v>
      </c>
      <c r="AZ93" s="139"/>
      <c r="BA93" s="140"/>
      <c r="BB93" s="42">
        <f t="shared" si="87"/>
        <v>0</v>
      </c>
      <c r="BC93" s="39">
        <f t="shared" si="88"/>
        <v>0</v>
      </c>
      <c r="BD93" s="40">
        <f t="shared" si="89"/>
        <v>0</v>
      </c>
      <c r="BE93" s="41">
        <f t="shared" si="90"/>
        <v>0</v>
      </c>
      <c r="BF93" s="138"/>
      <c r="BG93" s="139"/>
      <c r="BH93" s="140"/>
      <c r="BI93" s="54">
        <f t="shared" si="91"/>
        <v>0</v>
      </c>
      <c r="BJ93" s="57">
        <f t="shared" si="92"/>
        <v>0</v>
      </c>
      <c r="BK93" s="61">
        <f t="shared" si="93"/>
        <v>0</v>
      </c>
      <c r="BL93" s="41">
        <f t="shared" si="94"/>
        <v>0</v>
      </c>
      <c r="BM93" s="63">
        <f t="shared" si="95"/>
        <v>0</v>
      </c>
      <c r="BN93" s="64">
        <f t="shared" si="96"/>
        <v>0</v>
      </c>
      <c r="BO93" s="138"/>
      <c r="BP93" s="139"/>
      <c r="BQ93" s="140"/>
      <c r="BR93" s="54">
        <f t="shared" si="97"/>
        <v>0</v>
      </c>
      <c r="BS93" s="57">
        <f t="shared" si="98"/>
        <v>0</v>
      </c>
      <c r="BT93" s="138"/>
      <c r="BU93" s="139"/>
      <c r="BV93" s="140"/>
      <c r="BW93" s="54">
        <f t="shared" si="99"/>
        <v>0</v>
      </c>
      <c r="BX93" s="57">
        <f t="shared" si="100"/>
        <v>0</v>
      </c>
      <c r="BY93" s="138"/>
      <c r="BZ93" s="139"/>
      <c r="CA93" s="140"/>
      <c r="CB93" s="54">
        <f t="shared" si="101"/>
        <v>0</v>
      </c>
      <c r="CC93" s="57">
        <f t="shared" si="102"/>
        <v>0</v>
      </c>
      <c r="CD93" s="62">
        <f t="shared" si="103"/>
        <v>0</v>
      </c>
      <c r="CE93" s="56">
        <f t="shared" si="104"/>
        <v>0</v>
      </c>
      <c r="CF93" s="138"/>
      <c r="CG93" s="139"/>
      <c r="CH93" s="140"/>
      <c r="CI93" s="54">
        <f t="shared" si="105"/>
        <v>0</v>
      </c>
      <c r="CJ93" s="57">
        <f t="shared" si="106"/>
        <v>0</v>
      </c>
      <c r="CK93" s="138"/>
      <c r="CL93" s="139"/>
      <c r="CM93" s="140"/>
      <c r="CN93" s="54">
        <f t="shared" si="107"/>
        <v>0</v>
      </c>
      <c r="CO93" s="57">
        <f t="shared" si="108"/>
        <v>0</v>
      </c>
      <c r="CP93" s="55">
        <f t="shared" si="109"/>
        <v>0</v>
      </c>
      <c r="CQ93" s="56">
        <f t="shared" si="110"/>
        <v>0</v>
      </c>
      <c r="CR93" s="138"/>
      <c r="CS93" s="139"/>
      <c r="CT93" s="140"/>
      <c r="CU93" s="54">
        <f t="shared" si="111"/>
        <v>0</v>
      </c>
      <c r="CV93" s="57">
        <f t="shared" si="112"/>
        <v>0</v>
      </c>
      <c r="CW93" s="55">
        <f t="shared" si="113"/>
        <v>0</v>
      </c>
      <c r="CX93" s="56">
        <f t="shared" si="114"/>
        <v>0</v>
      </c>
      <c r="CY93" s="139"/>
      <c r="CZ93" s="140"/>
      <c r="DA93" s="42">
        <f t="shared" si="115"/>
        <v>0</v>
      </c>
      <c r="DB93" s="39">
        <f t="shared" si="116"/>
        <v>0</v>
      </c>
      <c r="DC93" s="55">
        <f t="shared" si="117"/>
        <v>0</v>
      </c>
      <c r="DD93" s="56">
        <f t="shared" si="118"/>
        <v>0</v>
      </c>
      <c r="DE93" s="65">
        <f t="shared" si="119"/>
        <v>0</v>
      </c>
      <c r="DF93" s="66">
        <f t="shared" si="120"/>
        <v>0</v>
      </c>
      <c r="DG93" s="31">
        <f t="shared" si="60"/>
        <v>0</v>
      </c>
      <c r="DH93" s="32">
        <f t="shared" si="61"/>
        <v>0</v>
      </c>
      <c r="DI93" s="33">
        <f t="shared" si="62"/>
        <v>0</v>
      </c>
      <c r="DJ93" s="34">
        <f t="shared" si="63"/>
        <v>0</v>
      </c>
      <c r="DK93" s="67">
        <f t="shared" si="64"/>
        <v>0</v>
      </c>
      <c r="DL93" s="35">
        <f t="shared" si="65"/>
        <v>0</v>
      </c>
      <c r="DM93" s="59">
        <f t="shared" si="66"/>
        <v>0</v>
      </c>
      <c r="DN93" s="43" t="str">
        <f t="shared" si="122"/>
        <v>راسب(ة)</v>
      </c>
      <c r="DO93" s="44"/>
      <c r="DP93" s="50"/>
      <c r="DQ93" s="46"/>
    </row>
    <row r="94" spans="1:121" s="37" customFormat="1" ht="32.25" hidden="1" customHeight="1" thickBot="1">
      <c r="A94" s="49"/>
      <c r="B94" s="1">
        <f t="shared" si="121"/>
        <v>41</v>
      </c>
      <c r="C94" s="129"/>
      <c r="D94" s="129"/>
      <c r="E94" s="47"/>
      <c r="F94" s="135"/>
      <c r="G94" s="136"/>
      <c r="H94" s="131"/>
      <c r="I94" s="132"/>
      <c r="J94" s="133"/>
      <c r="K94" s="134"/>
      <c r="L94" s="53">
        <f t="shared" si="67"/>
        <v>0</v>
      </c>
      <c r="M94" s="58">
        <f t="shared" si="68"/>
        <v>0</v>
      </c>
      <c r="N94" s="138"/>
      <c r="O94" s="139"/>
      <c r="P94" s="140"/>
      <c r="Q94" s="54">
        <f t="shared" si="69"/>
        <v>0</v>
      </c>
      <c r="R94" s="57">
        <f t="shared" si="70"/>
        <v>0</v>
      </c>
      <c r="S94" s="138"/>
      <c r="T94" s="139"/>
      <c r="U94" s="140"/>
      <c r="V94" s="54">
        <f t="shared" si="71"/>
        <v>0</v>
      </c>
      <c r="W94" s="57">
        <f t="shared" si="72"/>
        <v>0</v>
      </c>
      <c r="X94" s="138"/>
      <c r="Y94" s="139"/>
      <c r="Z94" s="140"/>
      <c r="AA94" s="54">
        <f t="shared" si="73"/>
        <v>0</v>
      </c>
      <c r="AB94" s="57">
        <f t="shared" si="74"/>
        <v>0</v>
      </c>
      <c r="AC94" s="55">
        <f t="shared" si="75"/>
        <v>0</v>
      </c>
      <c r="AD94" s="56">
        <f t="shared" si="76"/>
        <v>0</v>
      </c>
      <c r="AE94" s="139"/>
      <c r="AF94" s="140"/>
      <c r="AG94" s="42">
        <f t="shared" si="77"/>
        <v>0</v>
      </c>
      <c r="AH94" s="39">
        <f t="shared" si="78"/>
        <v>0</v>
      </c>
      <c r="AI94" s="138"/>
      <c r="AJ94" s="139"/>
      <c r="AK94" s="140"/>
      <c r="AL94" s="54">
        <f t="shared" si="79"/>
        <v>0</v>
      </c>
      <c r="AM94" s="57">
        <f t="shared" si="80"/>
        <v>0</v>
      </c>
      <c r="AN94" s="138"/>
      <c r="AO94" s="139"/>
      <c r="AP94" s="140"/>
      <c r="AQ94" s="54">
        <f t="shared" si="81"/>
        <v>0</v>
      </c>
      <c r="AR94" s="57">
        <f t="shared" si="82"/>
        <v>0</v>
      </c>
      <c r="AS94" s="40">
        <f t="shared" si="83"/>
        <v>0</v>
      </c>
      <c r="AT94" s="41">
        <f t="shared" si="84"/>
        <v>0</v>
      </c>
      <c r="AU94" s="138"/>
      <c r="AV94" s="139"/>
      <c r="AW94" s="140"/>
      <c r="AX94" s="54">
        <f t="shared" si="85"/>
        <v>0</v>
      </c>
      <c r="AY94" s="57">
        <f t="shared" si="86"/>
        <v>0</v>
      </c>
      <c r="AZ94" s="139"/>
      <c r="BA94" s="140"/>
      <c r="BB94" s="42">
        <f t="shared" si="87"/>
        <v>0</v>
      </c>
      <c r="BC94" s="39">
        <f t="shared" si="88"/>
        <v>0</v>
      </c>
      <c r="BD94" s="40">
        <f t="shared" si="89"/>
        <v>0</v>
      </c>
      <c r="BE94" s="41">
        <f t="shared" si="90"/>
        <v>0</v>
      </c>
      <c r="BF94" s="138"/>
      <c r="BG94" s="139"/>
      <c r="BH94" s="140"/>
      <c r="BI94" s="54">
        <f t="shared" si="91"/>
        <v>0</v>
      </c>
      <c r="BJ94" s="57">
        <f t="shared" si="92"/>
        <v>0</v>
      </c>
      <c r="BK94" s="61">
        <f t="shared" si="93"/>
        <v>0</v>
      </c>
      <c r="BL94" s="41">
        <f t="shared" si="94"/>
        <v>0</v>
      </c>
      <c r="BM94" s="63">
        <f t="shared" si="95"/>
        <v>0</v>
      </c>
      <c r="BN94" s="64">
        <f t="shared" si="96"/>
        <v>0</v>
      </c>
      <c r="BO94" s="138"/>
      <c r="BP94" s="139"/>
      <c r="BQ94" s="140"/>
      <c r="BR94" s="54">
        <f t="shared" si="97"/>
        <v>0</v>
      </c>
      <c r="BS94" s="57">
        <f t="shared" si="98"/>
        <v>0</v>
      </c>
      <c r="BT94" s="138"/>
      <c r="BU94" s="139"/>
      <c r="BV94" s="140"/>
      <c r="BW94" s="54">
        <f t="shared" si="99"/>
        <v>0</v>
      </c>
      <c r="BX94" s="57">
        <f t="shared" si="100"/>
        <v>0</v>
      </c>
      <c r="BY94" s="138"/>
      <c r="BZ94" s="139"/>
      <c r="CA94" s="140"/>
      <c r="CB94" s="54">
        <f t="shared" si="101"/>
        <v>0</v>
      </c>
      <c r="CC94" s="57">
        <f t="shared" si="102"/>
        <v>0</v>
      </c>
      <c r="CD94" s="62">
        <f t="shared" si="103"/>
        <v>0</v>
      </c>
      <c r="CE94" s="56">
        <f t="shared" si="104"/>
        <v>0</v>
      </c>
      <c r="CF94" s="138"/>
      <c r="CG94" s="139"/>
      <c r="CH94" s="140"/>
      <c r="CI94" s="54">
        <f t="shared" si="105"/>
        <v>0</v>
      </c>
      <c r="CJ94" s="57">
        <f t="shared" si="106"/>
        <v>0</v>
      </c>
      <c r="CK94" s="138"/>
      <c r="CL94" s="139"/>
      <c r="CM94" s="140"/>
      <c r="CN94" s="54">
        <f t="shared" si="107"/>
        <v>0</v>
      </c>
      <c r="CO94" s="57">
        <f t="shared" si="108"/>
        <v>0</v>
      </c>
      <c r="CP94" s="55">
        <f t="shared" si="109"/>
        <v>0</v>
      </c>
      <c r="CQ94" s="56">
        <f t="shared" si="110"/>
        <v>0</v>
      </c>
      <c r="CR94" s="138"/>
      <c r="CS94" s="139"/>
      <c r="CT94" s="140"/>
      <c r="CU94" s="54">
        <f t="shared" si="111"/>
        <v>0</v>
      </c>
      <c r="CV94" s="57">
        <f t="shared" si="112"/>
        <v>0</v>
      </c>
      <c r="CW94" s="55">
        <f t="shared" si="113"/>
        <v>0</v>
      </c>
      <c r="CX94" s="56">
        <f t="shared" si="114"/>
        <v>0</v>
      </c>
      <c r="CY94" s="139"/>
      <c r="CZ94" s="140"/>
      <c r="DA94" s="42">
        <f t="shared" si="115"/>
        <v>0</v>
      </c>
      <c r="DB94" s="39">
        <f t="shared" si="116"/>
        <v>0</v>
      </c>
      <c r="DC94" s="55">
        <f t="shared" si="117"/>
        <v>0</v>
      </c>
      <c r="DD94" s="56">
        <f t="shared" si="118"/>
        <v>0</v>
      </c>
      <c r="DE94" s="65">
        <f t="shared" si="119"/>
        <v>0</v>
      </c>
      <c r="DF94" s="66">
        <f t="shared" si="120"/>
        <v>0</v>
      </c>
      <c r="DG94" s="31">
        <f t="shared" si="60"/>
        <v>0</v>
      </c>
      <c r="DH94" s="32">
        <f t="shared" si="61"/>
        <v>0</v>
      </c>
      <c r="DI94" s="33">
        <f t="shared" si="62"/>
        <v>0</v>
      </c>
      <c r="DJ94" s="34">
        <f t="shared" si="63"/>
        <v>0</v>
      </c>
      <c r="DK94" s="67">
        <f t="shared" si="64"/>
        <v>0</v>
      </c>
      <c r="DL94" s="35">
        <f t="shared" si="65"/>
        <v>0</v>
      </c>
      <c r="DM94" s="59">
        <f t="shared" si="66"/>
        <v>0</v>
      </c>
      <c r="DN94" s="43" t="str">
        <f t="shared" si="122"/>
        <v>راسب(ة)</v>
      </c>
      <c r="DP94" s="51"/>
      <c r="DQ94" s="46"/>
    </row>
    <row r="95" spans="1:121" s="37" customFormat="1" ht="46.5" customHeight="1">
      <c r="A95" s="49"/>
      <c r="B95" s="420" t="s">
        <v>47</v>
      </c>
      <c r="C95" s="388"/>
      <c r="D95" s="388"/>
      <c r="E95" s="421"/>
      <c r="F95" s="200"/>
      <c r="G95" s="200"/>
      <c r="H95" s="200"/>
      <c r="I95" s="200"/>
      <c r="J95" s="200"/>
      <c r="K95" s="200"/>
      <c r="L95" s="200"/>
      <c r="M95" s="200"/>
      <c r="N95" s="350" t="s">
        <v>45</v>
      </c>
      <c r="O95" s="351"/>
      <c r="P95" s="351"/>
      <c r="Q95" s="351"/>
      <c r="R95" s="352"/>
      <c r="S95" s="350" t="s">
        <v>45</v>
      </c>
      <c r="T95" s="351"/>
      <c r="U95" s="351"/>
      <c r="V95" s="351"/>
      <c r="W95" s="352"/>
      <c r="X95" s="350" t="s">
        <v>45</v>
      </c>
      <c r="Y95" s="351"/>
      <c r="Z95" s="351"/>
      <c r="AA95" s="351"/>
      <c r="AB95" s="352"/>
      <c r="AC95" s="200"/>
      <c r="AD95" s="200"/>
      <c r="AE95" s="347" t="s">
        <v>45</v>
      </c>
      <c r="AF95" s="348"/>
      <c r="AG95" s="348"/>
      <c r="AH95" s="349"/>
      <c r="AI95" s="350" t="s">
        <v>45</v>
      </c>
      <c r="AJ95" s="351"/>
      <c r="AK95" s="351"/>
      <c r="AL95" s="351"/>
      <c r="AM95" s="352"/>
      <c r="AN95" s="350" t="s">
        <v>45</v>
      </c>
      <c r="AO95" s="351"/>
      <c r="AP95" s="351"/>
      <c r="AQ95" s="351"/>
      <c r="AR95" s="352"/>
      <c r="AS95" s="200"/>
      <c r="AT95" s="200"/>
      <c r="AU95" s="350" t="s">
        <v>45</v>
      </c>
      <c r="AV95" s="351"/>
      <c r="AW95" s="351"/>
      <c r="AX95" s="351"/>
      <c r="AY95" s="352"/>
      <c r="AZ95" s="347" t="s">
        <v>45</v>
      </c>
      <c r="BA95" s="348"/>
      <c r="BB95" s="348"/>
      <c r="BC95" s="349"/>
      <c r="BD95" s="200"/>
      <c r="BE95" s="200"/>
      <c r="BF95" s="350" t="s">
        <v>45</v>
      </c>
      <c r="BG95" s="351"/>
      <c r="BH95" s="351"/>
      <c r="BI95" s="351"/>
      <c r="BJ95" s="352"/>
      <c r="BK95" s="387" t="s">
        <v>46</v>
      </c>
      <c r="BL95" s="388"/>
      <c r="BM95" s="388"/>
      <c r="BN95" s="388"/>
      <c r="BO95" s="350" t="s">
        <v>45</v>
      </c>
      <c r="BP95" s="351"/>
      <c r="BQ95" s="351"/>
      <c r="BR95" s="351"/>
      <c r="BS95" s="352"/>
      <c r="BT95" s="350" t="s">
        <v>45</v>
      </c>
      <c r="BU95" s="351"/>
      <c r="BV95" s="351"/>
      <c r="BW95" s="351"/>
      <c r="BX95" s="352"/>
      <c r="BY95" s="350" t="s">
        <v>45</v>
      </c>
      <c r="BZ95" s="351"/>
      <c r="CA95" s="351"/>
      <c r="CB95" s="351"/>
      <c r="CC95" s="352"/>
      <c r="CD95" s="201"/>
      <c r="CE95" s="202"/>
      <c r="CF95" s="350" t="s">
        <v>45</v>
      </c>
      <c r="CG95" s="351"/>
      <c r="CH95" s="351"/>
      <c r="CI95" s="351"/>
      <c r="CJ95" s="352"/>
      <c r="CK95" s="350" t="s">
        <v>45</v>
      </c>
      <c r="CL95" s="351"/>
      <c r="CM95" s="351"/>
      <c r="CN95" s="351"/>
      <c r="CO95" s="352"/>
      <c r="CP95" s="203"/>
      <c r="CQ95" s="202"/>
      <c r="CR95" s="350" t="s">
        <v>45</v>
      </c>
      <c r="CS95" s="351"/>
      <c r="CT95" s="351"/>
      <c r="CU95" s="351"/>
      <c r="CV95" s="352"/>
      <c r="CW95" s="215"/>
      <c r="CX95" s="216"/>
      <c r="CY95" s="570" t="s">
        <v>45</v>
      </c>
      <c r="CZ95" s="571"/>
      <c r="DA95" s="571"/>
      <c r="DB95" s="572"/>
      <c r="DC95" s="570" t="s">
        <v>46</v>
      </c>
      <c r="DD95" s="571"/>
      <c r="DE95" s="571"/>
      <c r="DF95" s="572"/>
      <c r="DG95" s="200"/>
      <c r="DH95" s="200"/>
      <c r="DI95" s="200"/>
      <c r="DJ95" s="200"/>
      <c r="DK95" s="200"/>
      <c r="DL95" s="200"/>
      <c r="DM95" s="200"/>
      <c r="DN95" s="204" t="s">
        <v>46</v>
      </c>
      <c r="DP95" s="38"/>
    </row>
    <row r="96" spans="1:121" s="37" customFormat="1" ht="74.25" customHeight="1" thickBot="1">
      <c r="A96" s="49"/>
      <c r="B96" s="205"/>
      <c r="C96" s="206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344"/>
      <c r="O96" s="345"/>
      <c r="P96" s="345"/>
      <c r="Q96" s="345"/>
      <c r="R96" s="346"/>
      <c r="S96" s="344"/>
      <c r="T96" s="345"/>
      <c r="U96" s="345"/>
      <c r="V96" s="345"/>
      <c r="W96" s="346"/>
      <c r="X96" s="344"/>
      <c r="Y96" s="345"/>
      <c r="Z96" s="345"/>
      <c r="AA96" s="345"/>
      <c r="AB96" s="346"/>
      <c r="AC96" s="206"/>
      <c r="AD96" s="206"/>
      <c r="AE96" s="353"/>
      <c r="AF96" s="354"/>
      <c r="AG96" s="354"/>
      <c r="AH96" s="355"/>
      <c r="AI96" s="344"/>
      <c r="AJ96" s="345"/>
      <c r="AK96" s="345"/>
      <c r="AL96" s="345"/>
      <c r="AM96" s="346"/>
      <c r="AN96" s="344"/>
      <c r="AO96" s="345"/>
      <c r="AP96" s="345"/>
      <c r="AQ96" s="345"/>
      <c r="AR96" s="346"/>
      <c r="AS96" s="206"/>
      <c r="AT96" s="206"/>
      <c r="AU96" s="344"/>
      <c r="AV96" s="345"/>
      <c r="AW96" s="345"/>
      <c r="AX96" s="345"/>
      <c r="AY96" s="346"/>
      <c r="AZ96" s="353"/>
      <c r="BA96" s="354"/>
      <c r="BB96" s="354"/>
      <c r="BC96" s="355"/>
      <c r="BD96" s="206"/>
      <c r="BE96" s="206"/>
      <c r="BF96" s="344"/>
      <c r="BG96" s="345"/>
      <c r="BH96" s="345"/>
      <c r="BI96" s="345"/>
      <c r="BJ96" s="346"/>
      <c r="BK96" s="208"/>
      <c r="BL96" s="209"/>
      <c r="BM96" s="209"/>
      <c r="BN96" s="210"/>
      <c r="BO96" s="344"/>
      <c r="BP96" s="345"/>
      <c r="BQ96" s="345"/>
      <c r="BR96" s="345"/>
      <c r="BS96" s="346"/>
      <c r="BT96" s="344"/>
      <c r="BU96" s="345"/>
      <c r="BV96" s="345"/>
      <c r="BW96" s="345"/>
      <c r="BX96" s="346"/>
      <c r="BY96" s="344"/>
      <c r="BZ96" s="345"/>
      <c r="CA96" s="345"/>
      <c r="CB96" s="345"/>
      <c r="CC96" s="346"/>
      <c r="CD96" s="205"/>
      <c r="CE96" s="206"/>
      <c r="CF96" s="344"/>
      <c r="CG96" s="345"/>
      <c r="CH96" s="345"/>
      <c r="CI96" s="345"/>
      <c r="CJ96" s="346"/>
      <c r="CK96" s="344"/>
      <c r="CL96" s="345"/>
      <c r="CM96" s="345"/>
      <c r="CN96" s="345"/>
      <c r="CO96" s="346"/>
      <c r="CP96" s="206"/>
      <c r="CQ96" s="206"/>
      <c r="CR96" s="344"/>
      <c r="CS96" s="345"/>
      <c r="CT96" s="345"/>
      <c r="CU96" s="345"/>
      <c r="CV96" s="346"/>
      <c r="CW96" s="212"/>
      <c r="CX96" s="213"/>
      <c r="CY96" s="442"/>
      <c r="CZ96" s="443"/>
      <c r="DA96" s="443"/>
      <c r="DB96" s="444"/>
      <c r="DC96" s="212"/>
      <c r="DD96" s="213"/>
      <c r="DE96" s="213"/>
      <c r="DF96" s="214"/>
      <c r="DG96" s="206"/>
      <c r="DH96" s="206"/>
      <c r="DI96" s="206"/>
      <c r="DJ96" s="206"/>
      <c r="DK96" s="206"/>
      <c r="DL96" s="206"/>
      <c r="DM96" s="206"/>
      <c r="DN96" s="211"/>
      <c r="DP96" s="38"/>
    </row>
    <row r="97" spans="1:121" s="37" customFormat="1" ht="50.25" customHeight="1" thickBot="1">
      <c r="A97" s="49"/>
      <c r="B97" s="417" t="s">
        <v>108</v>
      </c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9"/>
      <c r="N97" s="422" t="s">
        <v>108</v>
      </c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/>
      <c r="BI97" s="423"/>
      <c r="BJ97" s="423"/>
      <c r="BK97" s="423"/>
      <c r="BL97" s="423"/>
      <c r="BM97" s="423"/>
      <c r="BN97" s="424"/>
      <c r="BO97" s="425" t="s">
        <v>108</v>
      </c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/>
      <c r="CX97" s="426"/>
      <c r="CY97" s="426"/>
      <c r="CZ97" s="426"/>
      <c r="DA97" s="426"/>
      <c r="DB97" s="426"/>
      <c r="DC97" s="426"/>
      <c r="DD97" s="426"/>
      <c r="DE97" s="426"/>
      <c r="DF97" s="427"/>
      <c r="DG97" s="428" t="s">
        <v>108</v>
      </c>
      <c r="DH97" s="429"/>
      <c r="DI97" s="429"/>
      <c r="DJ97" s="429"/>
      <c r="DK97" s="429"/>
      <c r="DL97" s="429"/>
      <c r="DM97" s="429"/>
      <c r="DN97" s="430"/>
      <c r="DP97" s="38"/>
    </row>
    <row r="98" spans="1:121" s="37" customFormat="1" ht="36" customHeight="1" thickBot="1">
      <c r="A98" s="49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415" t="s">
        <v>510</v>
      </c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  <c r="BL98" s="415"/>
      <c r="BM98" s="415"/>
      <c r="BN98" s="416"/>
      <c r="BO98" s="408" t="s">
        <v>97</v>
      </c>
      <c r="BP98" s="409"/>
      <c r="BQ98" s="409"/>
      <c r="BR98" s="409"/>
      <c r="BS98" s="409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09"/>
      <c r="CY98" s="409"/>
      <c r="CZ98" s="409"/>
      <c r="DA98" s="409"/>
      <c r="DB98" s="409"/>
      <c r="DC98" s="409"/>
      <c r="DD98" s="409"/>
      <c r="DE98" s="409"/>
      <c r="DF98" s="410"/>
      <c r="DG98" s="412" t="s">
        <v>98</v>
      </c>
      <c r="DH98" s="413"/>
      <c r="DI98" s="413"/>
      <c r="DJ98" s="413"/>
      <c r="DK98" s="413"/>
      <c r="DL98" s="413"/>
      <c r="DM98" s="413"/>
      <c r="DN98" s="414"/>
      <c r="DP98" s="38"/>
      <c r="DQ98" s="46"/>
    </row>
    <row r="99" spans="1:121" s="37" customFormat="1" ht="28.5" customHeight="1" thickBot="1">
      <c r="A99" s="49"/>
      <c r="B99" s="142"/>
      <c r="C99" s="143"/>
      <c r="D99" s="143"/>
      <c r="E99" s="143"/>
      <c r="F99" s="143"/>
      <c r="G99" s="143"/>
      <c r="H99" s="356" t="s">
        <v>59</v>
      </c>
      <c r="I99" s="357"/>
      <c r="J99" s="357"/>
      <c r="K99" s="357"/>
      <c r="L99" s="357"/>
      <c r="M99" s="358"/>
      <c r="N99" s="367" t="s">
        <v>53</v>
      </c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9"/>
      <c r="AE99" s="144"/>
      <c r="AF99" s="144"/>
      <c r="AG99" s="365" t="s">
        <v>52</v>
      </c>
      <c r="AH99" s="365"/>
      <c r="AI99" s="365"/>
      <c r="AJ99" s="365"/>
      <c r="AK99" s="365"/>
      <c r="AL99" s="365"/>
      <c r="AM99" s="365"/>
      <c r="AN99" s="365"/>
      <c r="AO99" s="365"/>
      <c r="AP99" s="365"/>
      <c r="AQ99" s="365"/>
      <c r="AR99" s="365"/>
      <c r="AS99" s="365"/>
      <c r="AT99" s="366"/>
      <c r="AU99" s="367" t="s">
        <v>50</v>
      </c>
      <c r="AV99" s="368"/>
      <c r="AW99" s="368"/>
      <c r="AX99" s="368"/>
      <c r="AY99" s="368"/>
      <c r="AZ99" s="368"/>
      <c r="BA99" s="368"/>
      <c r="BB99" s="368"/>
      <c r="BC99" s="368"/>
      <c r="BD99" s="368"/>
      <c r="BE99" s="369"/>
      <c r="BF99" s="365" t="s">
        <v>51</v>
      </c>
      <c r="BG99" s="365"/>
      <c r="BH99" s="365"/>
      <c r="BI99" s="365"/>
      <c r="BJ99" s="365"/>
      <c r="BK99" s="365"/>
      <c r="BL99" s="366"/>
      <c r="BM99" s="383" t="s">
        <v>65</v>
      </c>
      <c r="BN99" s="384"/>
      <c r="BO99" s="389" t="s">
        <v>66</v>
      </c>
      <c r="BP99" s="390"/>
      <c r="BQ99" s="390"/>
      <c r="BR99" s="390"/>
      <c r="BS99" s="390"/>
      <c r="BT99" s="390"/>
      <c r="BU99" s="390"/>
      <c r="BV99" s="390"/>
      <c r="BW99" s="390"/>
      <c r="BX99" s="390"/>
      <c r="BY99" s="390"/>
      <c r="BZ99" s="390"/>
      <c r="CA99" s="390"/>
      <c r="CB99" s="390"/>
      <c r="CC99" s="390"/>
      <c r="CD99" s="390"/>
      <c r="CE99" s="391"/>
      <c r="CF99" s="439" t="s">
        <v>70</v>
      </c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1"/>
      <c r="CR99" s="411" t="s">
        <v>71</v>
      </c>
      <c r="CS99" s="365"/>
      <c r="CT99" s="365"/>
      <c r="CU99" s="365"/>
      <c r="CV99" s="365"/>
      <c r="CW99" s="365"/>
      <c r="CX99" s="366"/>
      <c r="CY99" s="389" t="s">
        <v>72</v>
      </c>
      <c r="CZ99" s="390"/>
      <c r="DA99" s="390"/>
      <c r="DB99" s="390"/>
      <c r="DC99" s="390"/>
      <c r="DD99" s="391"/>
      <c r="DE99" s="398" t="s">
        <v>75</v>
      </c>
      <c r="DF99" s="399"/>
      <c r="DG99" s="566" t="s">
        <v>76</v>
      </c>
      <c r="DH99" s="567"/>
      <c r="DI99" s="566" t="s">
        <v>77</v>
      </c>
      <c r="DJ99" s="567"/>
      <c r="DK99" s="563" t="s">
        <v>6</v>
      </c>
      <c r="DL99" s="563" t="s">
        <v>7</v>
      </c>
      <c r="DM99" s="560" t="s">
        <v>78</v>
      </c>
      <c r="DN99" s="198"/>
      <c r="DP99" s="38"/>
      <c r="DQ99" s="46"/>
    </row>
    <row r="100" spans="1:121" s="37" customFormat="1" ht="59.25" customHeight="1" thickBot="1">
      <c r="A100" s="49"/>
      <c r="B100" s="151"/>
      <c r="C100" s="152"/>
      <c r="D100" s="152"/>
      <c r="E100" s="152"/>
      <c r="F100" s="152"/>
      <c r="G100" s="153"/>
      <c r="H100" s="370" t="s">
        <v>4</v>
      </c>
      <c r="I100" s="371"/>
      <c r="J100" s="370" t="s">
        <v>5</v>
      </c>
      <c r="K100" s="371"/>
      <c r="L100" s="154" t="s">
        <v>79</v>
      </c>
      <c r="M100" s="155" t="s">
        <v>80</v>
      </c>
      <c r="N100" s="359" t="s">
        <v>54</v>
      </c>
      <c r="O100" s="360"/>
      <c r="P100" s="360"/>
      <c r="Q100" s="360"/>
      <c r="R100" s="361"/>
      <c r="S100" s="362" t="s">
        <v>55</v>
      </c>
      <c r="T100" s="363"/>
      <c r="U100" s="363"/>
      <c r="V100" s="363"/>
      <c r="W100" s="364"/>
      <c r="X100" s="359" t="s">
        <v>56</v>
      </c>
      <c r="Y100" s="360"/>
      <c r="Z100" s="360"/>
      <c r="AA100" s="360"/>
      <c r="AB100" s="361"/>
      <c r="AC100" s="377" t="s">
        <v>9</v>
      </c>
      <c r="AD100" s="378"/>
      <c r="AE100" s="362" t="s">
        <v>60</v>
      </c>
      <c r="AF100" s="363"/>
      <c r="AG100" s="363"/>
      <c r="AH100" s="364"/>
      <c r="AI100" s="359" t="s">
        <v>99</v>
      </c>
      <c r="AJ100" s="360"/>
      <c r="AK100" s="360"/>
      <c r="AL100" s="360"/>
      <c r="AM100" s="361"/>
      <c r="AN100" s="362" t="s">
        <v>61</v>
      </c>
      <c r="AO100" s="363"/>
      <c r="AP100" s="363"/>
      <c r="AQ100" s="363"/>
      <c r="AR100" s="364"/>
      <c r="AS100" s="377" t="s">
        <v>9</v>
      </c>
      <c r="AT100" s="378"/>
      <c r="AU100" s="362" t="s">
        <v>63</v>
      </c>
      <c r="AV100" s="363"/>
      <c r="AW100" s="363"/>
      <c r="AX100" s="363"/>
      <c r="AY100" s="364"/>
      <c r="AZ100" s="359" t="s">
        <v>62</v>
      </c>
      <c r="BA100" s="360"/>
      <c r="BB100" s="360"/>
      <c r="BC100" s="361"/>
      <c r="BD100" s="372" t="s">
        <v>9</v>
      </c>
      <c r="BE100" s="373"/>
      <c r="BF100" s="359" t="s">
        <v>64</v>
      </c>
      <c r="BG100" s="360"/>
      <c r="BH100" s="360"/>
      <c r="BI100" s="360"/>
      <c r="BJ100" s="361"/>
      <c r="BK100" s="379" t="s">
        <v>9</v>
      </c>
      <c r="BL100" s="380"/>
      <c r="BM100" s="385"/>
      <c r="BN100" s="386"/>
      <c r="BO100" s="392" t="s">
        <v>67</v>
      </c>
      <c r="BP100" s="393"/>
      <c r="BQ100" s="393"/>
      <c r="BR100" s="393"/>
      <c r="BS100" s="393"/>
      <c r="BT100" s="382" t="s">
        <v>68</v>
      </c>
      <c r="BU100" s="382"/>
      <c r="BV100" s="382"/>
      <c r="BW100" s="382"/>
      <c r="BX100" s="382"/>
      <c r="BY100" s="393" t="s">
        <v>103</v>
      </c>
      <c r="BZ100" s="393"/>
      <c r="CA100" s="393"/>
      <c r="CB100" s="393"/>
      <c r="CC100" s="393"/>
      <c r="CD100" s="381" t="s">
        <v>9</v>
      </c>
      <c r="CE100" s="382"/>
      <c r="CF100" s="393" t="s">
        <v>104</v>
      </c>
      <c r="CG100" s="393"/>
      <c r="CH100" s="393"/>
      <c r="CI100" s="393"/>
      <c r="CJ100" s="393"/>
      <c r="CK100" s="359" t="s">
        <v>69</v>
      </c>
      <c r="CL100" s="360"/>
      <c r="CM100" s="360"/>
      <c r="CN100" s="360"/>
      <c r="CO100" s="361"/>
      <c r="CP100" s="402" t="s">
        <v>9</v>
      </c>
      <c r="CQ100" s="403"/>
      <c r="CR100" s="362" t="s">
        <v>74</v>
      </c>
      <c r="CS100" s="363"/>
      <c r="CT100" s="363"/>
      <c r="CU100" s="363"/>
      <c r="CV100" s="363"/>
      <c r="CW100" s="396" t="s">
        <v>9</v>
      </c>
      <c r="CX100" s="397"/>
      <c r="CY100" s="359" t="s">
        <v>73</v>
      </c>
      <c r="CZ100" s="360"/>
      <c r="DA100" s="360"/>
      <c r="DB100" s="361"/>
      <c r="DC100" s="396" t="s">
        <v>9</v>
      </c>
      <c r="DD100" s="397"/>
      <c r="DE100" s="400"/>
      <c r="DF100" s="401"/>
      <c r="DG100" s="568"/>
      <c r="DH100" s="569"/>
      <c r="DI100" s="568"/>
      <c r="DJ100" s="569"/>
      <c r="DK100" s="564"/>
      <c r="DL100" s="564"/>
      <c r="DM100" s="561"/>
      <c r="DN100" s="156"/>
      <c r="DP100" s="38"/>
      <c r="DQ100" s="46"/>
    </row>
    <row r="101" spans="1:121" s="37" customFormat="1" ht="40.5" customHeight="1" thickTop="1" thickBot="1">
      <c r="A101" s="49"/>
      <c r="B101" s="157" t="s">
        <v>0</v>
      </c>
      <c r="C101" s="158" t="s">
        <v>81</v>
      </c>
      <c r="D101" s="158" t="s">
        <v>82</v>
      </c>
      <c r="E101" s="159" t="s">
        <v>1</v>
      </c>
      <c r="F101" s="160" t="s">
        <v>2</v>
      </c>
      <c r="G101" s="161" t="s">
        <v>3</v>
      </c>
      <c r="H101" s="162" t="s">
        <v>10</v>
      </c>
      <c r="I101" s="163" t="s">
        <v>11</v>
      </c>
      <c r="J101" s="164" t="s">
        <v>10</v>
      </c>
      <c r="K101" s="163" t="s">
        <v>11</v>
      </c>
      <c r="L101" s="165" t="s">
        <v>49</v>
      </c>
      <c r="M101" s="166" t="s">
        <v>49</v>
      </c>
      <c r="N101" s="167" t="s">
        <v>57</v>
      </c>
      <c r="O101" s="168" t="s">
        <v>58</v>
      </c>
      <c r="P101" s="199" t="s">
        <v>105</v>
      </c>
      <c r="Q101" s="168" t="s">
        <v>10</v>
      </c>
      <c r="R101" s="169" t="s">
        <v>11</v>
      </c>
      <c r="S101" s="167" t="s">
        <v>57</v>
      </c>
      <c r="T101" s="168" t="s">
        <v>58</v>
      </c>
      <c r="U101" s="199" t="s">
        <v>105</v>
      </c>
      <c r="V101" s="168" t="s">
        <v>10</v>
      </c>
      <c r="W101" s="169" t="s">
        <v>11</v>
      </c>
      <c r="X101" s="167" t="s">
        <v>57</v>
      </c>
      <c r="Y101" s="168" t="s">
        <v>58</v>
      </c>
      <c r="Z101" s="199" t="s">
        <v>105</v>
      </c>
      <c r="AA101" s="168" t="s">
        <v>10</v>
      </c>
      <c r="AB101" s="169" t="s">
        <v>11</v>
      </c>
      <c r="AC101" s="170" t="s">
        <v>10</v>
      </c>
      <c r="AD101" s="171" t="s">
        <v>11</v>
      </c>
      <c r="AE101" s="168" t="s">
        <v>58</v>
      </c>
      <c r="AF101" s="199" t="s">
        <v>105</v>
      </c>
      <c r="AG101" s="172" t="s">
        <v>10</v>
      </c>
      <c r="AH101" s="169" t="s">
        <v>11</v>
      </c>
      <c r="AI101" s="167" t="s">
        <v>57</v>
      </c>
      <c r="AJ101" s="168" t="s">
        <v>58</v>
      </c>
      <c r="AK101" s="199" t="s">
        <v>105</v>
      </c>
      <c r="AL101" s="173" t="s">
        <v>10</v>
      </c>
      <c r="AM101" s="174" t="s">
        <v>11</v>
      </c>
      <c r="AN101" s="167" t="s">
        <v>57</v>
      </c>
      <c r="AO101" s="168" t="s">
        <v>58</v>
      </c>
      <c r="AP101" s="199" t="s">
        <v>105</v>
      </c>
      <c r="AQ101" s="175" t="s">
        <v>10</v>
      </c>
      <c r="AR101" s="176" t="s">
        <v>11</v>
      </c>
      <c r="AS101" s="177" t="s">
        <v>10</v>
      </c>
      <c r="AT101" s="178" t="s">
        <v>11</v>
      </c>
      <c r="AU101" s="167" t="s">
        <v>57</v>
      </c>
      <c r="AV101" s="168" t="s">
        <v>58</v>
      </c>
      <c r="AW101" s="199" t="s">
        <v>105</v>
      </c>
      <c r="AX101" s="179" t="s">
        <v>10</v>
      </c>
      <c r="AY101" s="174" t="s">
        <v>11</v>
      </c>
      <c r="AZ101" s="172" t="s">
        <v>58</v>
      </c>
      <c r="BA101" s="199" t="s">
        <v>105</v>
      </c>
      <c r="BB101" s="175" t="s">
        <v>10</v>
      </c>
      <c r="BC101" s="176" t="s">
        <v>11</v>
      </c>
      <c r="BD101" s="180" t="s">
        <v>10</v>
      </c>
      <c r="BE101" s="181" t="s">
        <v>11</v>
      </c>
      <c r="BF101" s="167" t="s">
        <v>57</v>
      </c>
      <c r="BG101" s="168" t="s">
        <v>58</v>
      </c>
      <c r="BH101" s="199" t="s">
        <v>105</v>
      </c>
      <c r="BI101" s="175" t="s">
        <v>10</v>
      </c>
      <c r="BJ101" s="176" t="s">
        <v>11</v>
      </c>
      <c r="BK101" s="180" t="s">
        <v>10</v>
      </c>
      <c r="BL101" s="182" t="s">
        <v>11</v>
      </c>
      <c r="BM101" s="183" t="s">
        <v>10</v>
      </c>
      <c r="BN101" s="184" t="s">
        <v>11</v>
      </c>
      <c r="BO101" s="185" t="s">
        <v>57</v>
      </c>
      <c r="BP101" s="168" t="s">
        <v>58</v>
      </c>
      <c r="BQ101" s="199" t="s">
        <v>105</v>
      </c>
      <c r="BR101" s="168" t="s">
        <v>10</v>
      </c>
      <c r="BS101" s="169" t="s">
        <v>11</v>
      </c>
      <c r="BT101" s="167" t="s">
        <v>57</v>
      </c>
      <c r="BU101" s="168" t="s">
        <v>58</v>
      </c>
      <c r="BV101" s="199" t="s">
        <v>105</v>
      </c>
      <c r="BW101" s="168" t="s">
        <v>10</v>
      </c>
      <c r="BX101" s="169" t="s">
        <v>11</v>
      </c>
      <c r="BY101" s="167" t="s">
        <v>57</v>
      </c>
      <c r="BZ101" s="168" t="s">
        <v>58</v>
      </c>
      <c r="CA101" s="199" t="s">
        <v>105</v>
      </c>
      <c r="CB101" s="168" t="s">
        <v>10</v>
      </c>
      <c r="CC101" s="169" t="s">
        <v>11</v>
      </c>
      <c r="CD101" s="186" t="s">
        <v>10</v>
      </c>
      <c r="CE101" s="171" t="s">
        <v>11</v>
      </c>
      <c r="CF101" s="167" t="s">
        <v>57</v>
      </c>
      <c r="CG101" s="168" t="s">
        <v>58</v>
      </c>
      <c r="CH101" s="199" t="s">
        <v>105</v>
      </c>
      <c r="CI101" s="168" t="s">
        <v>10</v>
      </c>
      <c r="CJ101" s="169" t="s">
        <v>11</v>
      </c>
      <c r="CK101" s="167" t="s">
        <v>57</v>
      </c>
      <c r="CL101" s="168" t="s">
        <v>58</v>
      </c>
      <c r="CM101" s="199" t="s">
        <v>105</v>
      </c>
      <c r="CN101" s="173" t="s">
        <v>10</v>
      </c>
      <c r="CO101" s="176" t="s">
        <v>11</v>
      </c>
      <c r="CP101" s="187" t="s">
        <v>10</v>
      </c>
      <c r="CQ101" s="188" t="s">
        <v>11</v>
      </c>
      <c r="CR101" s="167" t="s">
        <v>57</v>
      </c>
      <c r="CS101" s="168" t="s">
        <v>58</v>
      </c>
      <c r="CT101" s="199" t="s">
        <v>105</v>
      </c>
      <c r="CU101" s="179" t="s">
        <v>10</v>
      </c>
      <c r="CV101" s="176" t="s">
        <v>11</v>
      </c>
      <c r="CW101" s="189" t="s">
        <v>10</v>
      </c>
      <c r="CX101" s="190" t="s">
        <v>11</v>
      </c>
      <c r="CY101" s="191" t="s">
        <v>58</v>
      </c>
      <c r="CZ101" s="199" t="s">
        <v>105</v>
      </c>
      <c r="DA101" s="179" t="s">
        <v>10</v>
      </c>
      <c r="DB101" s="176" t="s">
        <v>11</v>
      </c>
      <c r="DC101" s="177" t="s">
        <v>10</v>
      </c>
      <c r="DD101" s="178" t="s">
        <v>11</v>
      </c>
      <c r="DE101" s="192" t="s">
        <v>10</v>
      </c>
      <c r="DF101" s="193" t="s">
        <v>11</v>
      </c>
      <c r="DG101" s="194" t="s">
        <v>10</v>
      </c>
      <c r="DH101" s="195" t="s">
        <v>11</v>
      </c>
      <c r="DI101" s="196" t="s">
        <v>10</v>
      </c>
      <c r="DJ101" s="194" t="s">
        <v>11</v>
      </c>
      <c r="DK101" s="565"/>
      <c r="DL101" s="565"/>
      <c r="DM101" s="562"/>
      <c r="DN101" s="197" t="s">
        <v>8</v>
      </c>
      <c r="DP101" s="38"/>
      <c r="DQ101" s="46"/>
    </row>
    <row r="102" spans="1:121" s="37" customFormat="1" ht="32.25" customHeight="1" thickBot="1">
      <c r="A102" s="49"/>
      <c r="B102" s="1">
        <v>1</v>
      </c>
      <c r="C102" s="249" t="s">
        <v>235</v>
      </c>
      <c r="D102" s="249" t="s">
        <v>236</v>
      </c>
      <c r="E102" s="48" t="s">
        <v>430</v>
      </c>
      <c r="F102" s="130">
        <v>34877</v>
      </c>
      <c r="G102" s="52" t="s">
        <v>110</v>
      </c>
      <c r="H102" s="131">
        <v>6.65</v>
      </c>
      <c r="I102" s="132">
        <v>20</v>
      </c>
      <c r="J102" s="133">
        <v>6.38</v>
      </c>
      <c r="K102" s="134">
        <v>12</v>
      </c>
      <c r="L102" s="53">
        <f>(H102+J102)/2</f>
        <v>6.5150000000000006</v>
      </c>
      <c r="M102" s="58">
        <f>IF(L102&gt;=10,60,I102+K102)</f>
        <v>32</v>
      </c>
      <c r="N102" s="138">
        <v>13</v>
      </c>
      <c r="O102" s="139">
        <v>8</v>
      </c>
      <c r="P102" s="140"/>
      <c r="Q102" s="228">
        <f>IF(O102&gt;P102,(N102+O102)/2,(P102+N102)/2)</f>
        <v>10.5</v>
      </c>
      <c r="R102" s="229">
        <f>IF(Q102&gt;=10,5,0)</f>
        <v>5</v>
      </c>
      <c r="S102" s="230">
        <v>14</v>
      </c>
      <c r="T102" s="231">
        <v>6.5</v>
      </c>
      <c r="U102" s="285"/>
      <c r="V102" s="228">
        <f>IF(T102&gt;U102,(S102+T102)/2,(U102+S102)/2)</f>
        <v>10.25</v>
      </c>
      <c r="W102" s="229">
        <f>IF(V102&gt;=10,6,0)</f>
        <v>6</v>
      </c>
      <c r="X102" s="230">
        <v>14.25</v>
      </c>
      <c r="Y102" s="231">
        <v>5.75</v>
      </c>
      <c r="Z102" s="285"/>
      <c r="AA102" s="228">
        <f>IF(Y102&gt;Z102,(X102+Y102)/2,(Z102+X102)/2)</f>
        <v>10</v>
      </c>
      <c r="AB102" s="229">
        <f>IF(AA102&gt;=10,6,0)</f>
        <v>6</v>
      </c>
      <c r="AC102" s="232">
        <f>((Q102*2)+(V102*2)+(AA102*2))/6</f>
        <v>10.25</v>
      </c>
      <c r="AD102" s="233">
        <f>IF(AC102&gt;=10,17,R102+W102+AB102)</f>
        <v>17</v>
      </c>
      <c r="AE102" s="231">
        <v>10.5</v>
      </c>
      <c r="AF102" s="285"/>
      <c r="AG102" s="234">
        <f>IF(AE102&gt;AF102,AE102,AF102)</f>
        <v>10.5</v>
      </c>
      <c r="AH102" s="235">
        <f>IF(AG102&gt;=10,1,0)</f>
        <v>1</v>
      </c>
      <c r="AI102" s="230">
        <v>9</v>
      </c>
      <c r="AJ102" s="231">
        <v>4.75</v>
      </c>
      <c r="AK102" s="285"/>
      <c r="AL102" s="228">
        <f>IF(AJ102&gt;AK102,(AI102+AJ102)/2,(AK102+AI102)/2)</f>
        <v>6.875</v>
      </c>
      <c r="AM102" s="229">
        <f>IF(AL102&gt;=10,3,0)</f>
        <v>0</v>
      </c>
      <c r="AN102" s="230">
        <v>9</v>
      </c>
      <c r="AO102" s="231">
        <v>0</v>
      </c>
      <c r="AP102" s="285"/>
      <c r="AQ102" s="228">
        <f>IF(AO102&gt;AP102,(AN102+AO102)/2,(AP102+AN102)/2)</f>
        <v>4.5</v>
      </c>
      <c r="AR102" s="229">
        <f>IF(AQ102&gt;=10,3,0)</f>
        <v>0</v>
      </c>
      <c r="AS102" s="236">
        <f>(AG102+(AL102*2)+(AQ102*2))/5</f>
        <v>6.65</v>
      </c>
      <c r="AT102" s="237">
        <f>IF(AS102&gt;=10,7,AR102+AM102+AH102)</f>
        <v>1</v>
      </c>
      <c r="AU102" s="230">
        <v>11</v>
      </c>
      <c r="AV102" s="231">
        <v>6</v>
      </c>
      <c r="AW102" s="285"/>
      <c r="AX102" s="228">
        <f>IF(AV102&gt;AW102,(AU102+AV102)/2,(AW102+AU102)/2)</f>
        <v>8.5</v>
      </c>
      <c r="AY102" s="229">
        <f>IF(AX102&gt;=10,4,0)</f>
        <v>0</v>
      </c>
      <c r="AZ102" s="231">
        <v>5</v>
      </c>
      <c r="BA102" s="285"/>
      <c r="BB102" s="234">
        <f>IF(AZ102&gt;BA102,AZ102,BA102)</f>
        <v>5</v>
      </c>
      <c r="BC102" s="235">
        <f>IF(BB102&gt;=10,1,0)</f>
        <v>0</v>
      </c>
      <c r="BD102" s="236">
        <f>(BB102+AX102)/2</f>
        <v>6.75</v>
      </c>
      <c r="BE102" s="237">
        <f>IF(BD102&gt;=10,5,BC102+AY102)</f>
        <v>0</v>
      </c>
      <c r="BF102" s="230">
        <v>14.25</v>
      </c>
      <c r="BG102" s="231">
        <v>11.5</v>
      </c>
      <c r="BH102" s="285"/>
      <c r="BI102" s="228">
        <f>IF(BG102&gt;BH102,(BF102+BG102)/2,(BH102+BF102)/2)</f>
        <v>12.875</v>
      </c>
      <c r="BJ102" s="229">
        <f>IF(BI102&gt;=10,1,0)</f>
        <v>1</v>
      </c>
      <c r="BK102" s="236">
        <f>BI102</f>
        <v>12.875</v>
      </c>
      <c r="BL102" s="237">
        <f>BJ102</f>
        <v>1</v>
      </c>
      <c r="BM102" s="239">
        <f>((Q102*2)+(V102*2)+(AA102*2)+AG102+(AL102*2)+(AQ102*2)+AX102+BB102+BI102)/14</f>
        <v>8.6517857142857135</v>
      </c>
      <c r="BN102" s="240">
        <f>IF(BM102&gt;=10,30,BL102+BE102+AT102+AD102)</f>
        <v>19</v>
      </c>
      <c r="BO102" s="262">
        <v>12.5</v>
      </c>
      <c r="BP102" s="263">
        <v>4.5</v>
      </c>
      <c r="BQ102" s="140">
        <v>6</v>
      </c>
      <c r="BR102" s="228">
        <f>IF(BP102&gt;BQ102,(BO102+BP102)/2,(BQ102+BO102)/2)</f>
        <v>9.25</v>
      </c>
      <c r="BS102" s="229">
        <f>IF(BR102&gt;=10,6,0)</f>
        <v>0</v>
      </c>
      <c r="BT102" s="230">
        <v>15.5</v>
      </c>
      <c r="BU102" s="231">
        <v>4.5</v>
      </c>
      <c r="BV102" s="285"/>
      <c r="BW102" s="228">
        <f>IF(BU102&gt;BV102,(BT102+BU102)/2,(BV102+BT102)/2)</f>
        <v>10</v>
      </c>
      <c r="BX102" s="229">
        <f>IF(BW102&gt;=10,6,0)</f>
        <v>6</v>
      </c>
      <c r="BY102" s="230">
        <v>9.5</v>
      </c>
      <c r="BZ102" s="231">
        <v>1</v>
      </c>
      <c r="CA102" s="285">
        <v>8</v>
      </c>
      <c r="CB102" s="228">
        <f>IF(BZ102&gt;CA102,(BY102+BZ102)/2,(CA102+BY102)/2)</f>
        <v>8.75</v>
      </c>
      <c r="CC102" s="229">
        <f>IF(CB102&gt;=10,4,0)</f>
        <v>0</v>
      </c>
      <c r="CD102" s="297">
        <f>(CB102+(BW102*2)+(BR102*2))/5</f>
        <v>9.4499999999999993</v>
      </c>
      <c r="CE102" s="233">
        <f>IF(CD102&gt;=10,16,CC102+BX102+BS102)</f>
        <v>6</v>
      </c>
      <c r="CF102" s="230">
        <v>12</v>
      </c>
      <c r="CG102" s="231">
        <v>6.75</v>
      </c>
      <c r="CH102" s="285">
        <v>9.5</v>
      </c>
      <c r="CI102" s="228">
        <f>IF(CG102&gt;CH102,(CF102+CG102)/2,(CH102+CF102)/2)</f>
        <v>10.75</v>
      </c>
      <c r="CJ102" s="229">
        <f>IF(CI102&gt;=10,5,0)</f>
        <v>5</v>
      </c>
      <c r="CK102" s="230">
        <v>12.5</v>
      </c>
      <c r="CL102" s="231">
        <v>4</v>
      </c>
      <c r="CM102" s="285"/>
      <c r="CN102" s="228">
        <f>IF(CL102&gt;CM102,(CK102+CL102)/2,(CM102+CK102)/2)</f>
        <v>8.25</v>
      </c>
      <c r="CO102" s="229">
        <f>IF(CN102&gt;=10,5,0)</f>
        <v>0</v>
      </c>
      <c r="CP102" s="232">
        <f>((CN102*2)+(CI102*2))/4</f>
        <v>9.5</v>
      </c>
      <c r="CQ102" s="233">
        <f>IF(CP102&gt;=10,10,CO102+CJ102)</f>
        <v>5</v>
      </c>
      <c r="CR102" s="230">
        <v>9.25</v>
      </c>
      <c r="CS102" s="231">
        <v>1.5</v>
      </c>
      <c r="CT102" s="285">
        <v>3</v>
      </c>
      <c r="CU102" s="228">
        <f>IF(CS102&gt;CT102,(CR102+CS102)/2,(CT102+CR102)/2)</f>
        <v>6.125</v>
      </c>
      <c r="CV102" s="229">
        <f>IF(CU102&gt;=10,3,0)</f>
        <v>0</v>
      </c>
      <c r="CW102" s="232">
        <f>CU102</f>
        <v>6.125</v>
      </c>
      <c r="CX102" s="233">
        <f>CV102</f>
        <v>0</v>
      </c>
      <c r="CY102" s="231">
        <v>10</v>
      </c>
      <c r="CZ102" s="285"/>
      <c r="DA102" s="234">
        <f>IF(CY102&gt;CZ102,CY102,CZ102)</f>
        <v>10</v>
      </c>
      <c r="DB102" s="235">
        <f>IF(DA102&gt;=10,1,0)</f>
        <v>1</v>
      </c>
      <c r="DC102" s="232">
        <f>DA102</f>
        <v>10</v>
      </c>
      <c r="DD102" s="233">
        <f>DB102</f>
        <v>1</v>
      </c>
      <c r="DE102" s="65">
        <f>((CU102*2)+(CI102*2)+(CN102*2)+DA102+CB102+(BW102*2)+(BR102*2))/12</f>
        <v>8.9583333333333339</v>
      </c>
      <c r="DF102" s="66">
        <f>IF(DE102&gt;=10,30,CX102+DD102+CQ102+CE102)</f>
        <v>12</v>
      </c>
      <c r="DG102" s="31">
        <f t="shared" ref="DG102:DG142" si="123">BM102</f>
        <v>8.6517857142857135</v>
      </c>
      <c r="DH102" s="32">
        <f t="shared" ref="DH102:DH142" si="124">IF(DK102&gt;=10,30,BN102)</f>
        <v>19</v>
      </c>
      <c r="DI102" s="33">
        <f t="shared" ref="DI102:DI142" si="125">DE102</f>
        <v>8.9583333333333339</v>
      </c>
      <c r="DJ102" s="34">
        <f t="shared" ref="DJ102:DJ142" si="126">IF(DK102&gt;=10,30,DF102)</f>
        <v>12</v>
      </c>
      <c r="DK102" s="67">
        <f t="shared" ref="DK102:DK142" si="127">(DI102+DG102)/2</f>
        <v>8.8050595238095237</v>
      </c>
      <c r="DL102" s="35">
        <f t="shared" ref="DL102:DL142" si="128">IF(DK102&gt;=10,60,DJ102+DH102)</f>
        <v>31</v>
      </c>
      <c r="DM102" s="59">
        <f t="shared" ref="DM102:DM142" si="129">(M102+DL102)</f>
        <v>63</v>
      </c>
      <c r="DN102" s="43" t="str">
        <f>IF(DM102=120,"ناجح(ة) دورة2",IF(DM102&gt;=90,"ناجح(ة)بتأخير","راسب(ة)"))</f>
        <v>راسب(ة)</v>
      </c>
      <c r="DO102" s="44"/>
      <c r="DP102" s="50"/>
      <c r="DQ102" s="46"/>
    </row>
    <row r="103" spans="1:121" s="37" customFormat="1" ht="32.25" customHeight="1" thickBot="1">
      <c r="A103" s="49"/>
      <c r="B103" s="1">
        <f>B102+1</f>
        <v>2</v>
      </c>
      <c r="C103" s="249" t="s">
        <v>237</v>
      </c>
      <c r="D103" s="249" t="s">
        <v>238</v>
      </c>
      <c r="E103" s="47" t="s">
        <v>431</v>
      </c>
      <c r="F103" s="135">
        <v>34243</v>
      </c>
      <c r="G103" s="136" t="s">
        <v>411</v>
      </c>
      <c r="H103" s="131">
        <v>5.05</v>
      </c>
      <c r="I103" s="132">
        <v>12</v>
      </c>
      <c r="J103" s="133">
        <v>5.53</v>
      </c>
      <c r="K103" s="134">
        <v>18</v>
      </c>
      <c r="L103" s="53">
        <f t="shared" ref="L103:L142" si="130">(H103+J103)/2</f>
        <v>5.29</v>
      </c>
      <c r="M103" s="58">
        <f t="shared" ref="M103:M142" si="131">IF(L103&gt;=10,60,I103+K103)</f>
        <v>30</v>
      </c>
      <c r="N103" s="222">
        <v>13</v>
      </c>
      <c r="O103" s="223">
        <v>0</v>
      </c>
      <c r="P103" s="140"/>
      <c r="Q103" s="228">
        <f t="shared" ref="Q103:Q142" si="132">IF(O103&gt;P103,(N103+O103)/2,(P103+N103)/2)</f>
        <v>6.5</v>
      </c>
      <c r="R103" s="229">
        <f t="shared" ref="R103:R142" si="133">IF(Q103&gt;=10,5,0)</f>
        <v>0</v>
      </c>
      <c r="S103" s="241">
        <v>8.5</v>
      </c>
      <c r="T103" s="242">
        <v>5.5</v>
      </c>
      <c r="U103" s="285"/>
      <c r="V103" s="228">
        <f t="shared" ref="V103:V142" si="134">IF(T103&gt;U103,(S103+T103)/2,(U103+S103)/2)</f>
        <v>7</v>
      </c>
      <c r="W103" s="229">
        <f t="shared" ref="W103:W142" si="135">IF(V103&gt;=10,6,0)</f>
        <v>0</v>
      </c>
      <c r="X103" s="245">
        <v>11</v>
      </c>
      <c r="Y103" s="246">
        <v>11</v>
      </c>
      <c r="Z103" s="285"/>
      <c r="AA103" s="228">
        <f t="shared" ref="AA103:AA142" si="136">IF(Y103&gt;Z103,(X103+Y103)/2,(Z103+X103)/2)</f>
        <v>11</v>
      </c>
      <c r="AB103" s="229">
        <f t="shared" ref="AB103:AB142" si="137">IF(AA103&gt;=10,6,0)</f>
        <v>6</v>
      </c>
      <c r="AC103" s="232">
        <f t="shared" ref="AC103:AC142" si="138">((Q103*2)+(V103*2)+(AA103*2))/6</f>
        <v>8.1666666666666661</v>
      </c>
      <c r="AD103" s="233">
        <f t="shared" ref="AD103:AD142" si="139">IF(AC103&gt;=10,17,R103+W103+AB103)</f>
        <v>6</v>
      </c>
      <c r="AE103" s="242">
        <v>6.5</v>
      </c>
      <c r="AF103" s="285"/>
      <c r="AG103" s="234">
        <f t="shared" ref="AG103:AG142" si="140">IF(AE103&gt;AF103,AE103,AF103)</f>
        <v>6.5</v>
      </c>
      <c r="AH103" s="235">
        <f t="shared" ref="AH103:AH142" si="141">IF(AG103&gt;=10,1,0)</f>
        <v>0</v>
      </c>
      <c r="AI103" s="241">
        <v>1</v>
      </c>
      <c r="AJ103" s="242">
        <v>0</v>
      </c>
      <c r="AK103" s="285"/>
      <c r="AL103" s="228">
        <f t="shared" ref="AL103:AL142" si="142">IF(AJ103&gt;AK103,(AI103+AJ103)/2,(AK103+AI103)/2)</f>
        <v>0.5</v>
      </c>
      <c r="AM103" s="229">
        <f t="shared" ref="AM103:AM142" si="143">IF(AL103&gt;=10,3,0)</f>
        <v>0</v>
      </c>
      <c r="AN103" s="241">
        <v>13.5</v>
      </c>
      <c r="AO103" s="242">
        <v>3.75</v>
      </c>
      <c r="AP103" s="285"/>
      <c r="AQ103" s="228">
        <f t="shared" ref="AQ103:AQ142" si="144">IF(AO103&gt;AP103,(AN103+AO103)/2,(AP103+AN103)/2)</f>
        <v>8.625</v>
      </c>
      <c r="AR103" s="229">
        <f t="shared" ref="AR103:AR142" si="145">IF(AQ103&gt;=10,3,0)</f>
        <v>0</v>
      </c>
      <c r="AS103" s="236">
        <f t="shared" ref="AS103:AS142" si="146">(AG103+(AL103*2)+(AQ103*2))/5</f>
        <v>4.95</v>
      </c>
      <c r="AT103" s="237">
        <f t="shared" ref="AT103:AT142" si="147">IF(AS103&gt;=10,7,AR103+AM103+AH103)</f>
        <v>0</v>
      </c>
      <c r="AU103" s="241">
        <v>4</v>
      </c>
      <c r="AV103" s="242">
        <v>2</v>
      </c>
      <c r="AW103" s="285"/>
      <c r="AX103" s="228">
        <f t="shared" ref="AX103:AX142" si="148">IF(AV103&gt;AW103,(AU103+AV103)/2,(AW103+AU103)/2)</f>
        <v>3</v>
      </c>
      <c r="AY103" s="229">
        <f t="shared" ref="AY103:AY142" si="149">IF(AX103&gt;=10,4,0)</f>
        <v>0</v>
      </c>
      <c r="AZ103" s="242">
        <v>0</v>
      </c>
      <c r="BA103" s="285"/>
      <c r="BB103" s="234">
        <f t="shared" ref="BB103:BB142" si="150">IF(AZ103&gt;BA103,AZ103,BA103)</f>
        <v>0</v>
      </c>
      <c r="BC103" s="235">
        <f t="shared" ref="BC103:BC142" si="151">IF(BB103&gt;=10,1,0)</f>
        <v>0</v>
      </c>
      <c r="BD103" s="236">
        <f t="shared" ref="BD103:BD142" si="152">(BB103+AX103)/2</f>
        <v>1.5</v>
      </c>
      <c r="BE103" s="237">
        <f t="shared" ref="BE103:BE142" si="153">IF(BD103&gt;=10,5,BC103+AY103)</f>
        <v>0</v>
      </c>
      <c r="BF103" s="241">
        <v>8.5</v>
      </c>
      <c r="BG103" s="242">
        <v>5</v>
      </c>
      <c r="BH103" s="285">
        <v>13</v>
      </c>
      <c r="BI103" s="228">
        <f t="shared" ref="BI103:BI142" si="154">IF(BG103&gt;BH103,(BF103+BG103)/2,(BH103+BF103)/2)</f>
        <v>10.75</v>
      </c>
      <c r="BJ103" s="229">
        <f t="shared" ref="BJ103:BJ142" si="155">IF(BI103&gt;=10,1,0)</f>
        <v>1</v>
      </c>
      <c r="BK103" s="236">
        <f t="shared" ref="BK103:BK142" si="156">BI103</f>
        <v>10.75</v>
      </c>
      <c r="BL103" s="237">
        <f t="shared" ref="BL103:BL142" si="157">BJ103</f>
        <v>1</v>
      </c>
      <c r="BM103" s="239">
        <f t="shared" ref="BM103:BM142" si="158">((Q103*2)+(V103*2)+(AA103*2)+AG103+(AL103*2)+(AQ103*2)+AX103+BB103+BI103)/14</f>
        <v>6.25</v>
      </c>
      <c r="BN103" s="240">
        <f t="shared" ref="BN103:BN142" si="159">IF(BM103&gt;=10,30,BL103+BE103+AT103+AD103)</f>
        <v>7</v>
      </c>
      <c r="BO103" s="273"/>
      <c r="BP103" s="274"/>
      <c r="BQ103" s="140"/>
      <c r="BR103" s="228">
        <f t="shared" ref="BR103:BR142" si="160">IF(BP103&gt;BQ103,(BO103+BP103)/2,(BQ103+BO103)/2)</f>
        <v>0</v>
      </c>
      <c r="BS103" s="229">
        <f t="shared" ref="BS103:BS142" si="161">IF(BR103&gt;=10,6,0)</f>
        <v>0</v>
      </c>
      <c r="BT103" s="282"/>
      <c r="BU103" s="283"/>
      <c r="BV103" s="285"/>
      <c r="BW103" s="228">
        <f t="shared" ref="BW103:BW142" si="162">IF(BU103&gt;BV103,(BT103+BU103)/2,(BV103+BT103)/2)</f>
        <v>0</v>
      </c>
      <c r="BX103" s="229">
        <f t="shared" ref="BX103:BX142" si="163">IF(BW103&gt;=10,6,0)</f>
        <v>0</v>
      </c>
      <c r="BY103" s="282"/>
      <c r="BZ103" s="283"/>
      <c r="CA103" s="285"/>
      <c r="CB103" s="228">
        <f t="shared" ref="CB103:CB142" si="164">IF(BZ103&gt;CA103,(BY103+BZ103)/2,(CA103+BY103)/2)</f>
        <v>0</v>
      </c>
      <c r="CC103" s="229">
        <f t="shared" ref="CC103:CC142" si="165">IF(CB103&gt;=10,4,0)</f>
        <v>0</v>
      </c>
      <c r="CD103" s="297">
        <f t="shared" ref="CD103:CD142" si="166">(CB103+(BW103*2)+(BR103*2))/5</f>
        <v>0</v>
      </c>
      <c r="CE103" s="233">
        <f t="shared" ref="CE103:CE142" si="167">IF(CD103&gt;=10,16,CC103+BX103+BS103)</f>
        <v>0</v>
      </c>
      <c r="CF103" s="282">
        <v>0</v>
      </c>
      <c r="CG103" s="283"/>
      <c r="CH103" s="285"/>
      <c r="CI103" s="228">
        <f t="shared" ref="CI103:CI142" si="168">IF(CG103&gt;CH103,(CF103+CG103)/2,(CH103+CF103)/2)</f>
        <v>0</v>
      </c>
      <c r="CJ103" s="229">
        <f t="shared" ref="CJ103:CJ142" si="169">IF(CI103&gt;=10,5,0)</f>
        <v>0</v>
      </c>
      <c r="CK103" s="230"/>
      <c r="CL103" s="231"/>
      <c r="CM103" s="285"/>
      <c r="CN103" s="228">
        <f t="shared" ref="CN103:CN142" si="170">IF(CL103&gt;CM103,(CK103+CL103)/2,(CM103+CK103)/2)</f>
        <v>0</v>
      </c>
      <c r="CO103" s="229">
        <f t="shared" ref="CO103:CO142" si="171">IF(CN103&gt;=10,5,0)</f>
        <v>0</v>
      </c>
      <c r="CP103" s="232">
        <f t="shared" ref="CP103:CP142" si="172">((CN103*2)+(CI103*2))/4</f>
        <v>0</v>
      </c>
      <c r="CQ103" s="233">
        <f t="shared" ref="CQ103:CQ142" si="173">IF(CP103&gt;=10,10,CO103+CJ103)</f>
        <v>0</v>
      </c>
      <c r="CR103" s="230"/>
      <c r="CS103" s="231"/>
      <c r="CT103" s="285"/>
      <c r="CU103" s="228">
        <f t="shared" ref="CU103:CU142" si="174">IF(CS103&gt;CT103,(CR103+CS103)/2,(CT103+CR103)/2)</f>
        <v>0</v>
      </c>
      <c r="CV103" s="229">
        <f t="shared" ref="CV103:CV142" si="175">IF(CU103&gt;=10,3,0)</f>
        <v>0</v>
      </c>
      <c r="CW103" s="232">
        <f t="shared" ref="CW103:CW142" si="176">CU103</f>
        <v>0</v>
      </c>
      <c r="CX103" s="233">
        <f t="shared" ref="CX103:CX142" si="177">CV103</f>
        <v>0</v>
      </c>
      <c r="CY103" s="231"/>
      <c r="CZ103" s="285"/>
      <c r="DA103" s="234">
        <f t="shared" ref="DA103:DA142" si="178">IF(CY103&gt;CZ103,CY103,CZ103)</f>
        <v>0</v>
      </c>
      <c r="DB103" s="235">
        <f t="shared" ref="DB103:DB142" si="179">IF(DA103&gt;=10,1,0)</f>
        <v>0</v>
      </c>
      <c r="DC103" s="232">
        <f t="shared" ref="DC103:DC142" si="180">DA103</f>
        <v>0</v>
      </c>
      <c r="DD103" s="233">
        <f t="shared" ref="DD103:DD142" si="181">DB103</f>
        <v>0</v>
      </c>
      <c r="DE103" s="65">
        <f t="shared" ref="DE103:DE142" si="182">((CU103*2)+(CI103*2)+(CN103*2)+DA103+CB103+(BW103*2)+(BR103*2))/12</f>
        <v>0</v>
      </c>
      <c r="DF103" s="66">
        <f t="shared" ref="DF103:DF142" si="183">IF(DE103&gt;=10,30,CX103+DD103+CQ103+CE103)</f>
        <v>0</v>
      </c>
      <c r="DG103" s="31">
        <f t="shared" si="123"/>
        <v>6.25</v>
      </c>
      <c r="DH103" s="32">
        <f t="shared" si="124"/>
        <v>7</v>
      </c>
      <c r="DI103" s="33">
        <f t="shared" si="125"/>
        <v>0</v>
      </c>
      <c r="DJ103" s="34">
        <f t="shared" si="126"/>
        <v>0</v>
      </c>
      <c r="DK103" s="67">
        <f t="shared" si="127"/>
        <v>3.125</v>
      </c>
      <c r="DL103" s="35">
        <f t="shared" si="128"/>
        <v>7</v>
      </c>
      <c r="DM103" s="59">
        <f t="shared" si="129"/>
        <v>37</v>
      </c>
      <c r="DN103" s="43" t="s">
        <v>503</v>
      </c>
      <c r="DO103" s="44"/>
      <c r="DP103" s="50"/>
      <c r="DQ103" s="46"/>
    </row>
    <row r="104" spans="1:121" s="37" customFormat="1" ht="32.25" customHeight="1" thickBot="1">
      <c r="A104" s="49"/>
      <c r="B104" s="1">
        <f t="shared" ref="B104:B142" si="184">B103+1</f>
        <v>3</v>
      </c>
      <c r="C104" s="249" t="s">
        <v>239</v>
      </c>
      <c r="D104" s="249" t="s">
        <v>240</v>
      </c>
      <c r="E104" s="47" t="s">
        <v>432</v>
      </c>
      <c r="F104" s="135">
        <v>33934</v>
      </c>
      <c r="G104" s="136" t="s">
        <v>110</v>
      </c>
      <c r="H104" s="131">
        <v>6.84</v>
      </c>
      <c r="I104" s="132">
        <v>18</v>
      </c>
      <c r="J104" s="133">
        <v>8.1300000000000008</v>
      </c>
      <c r="K104" s="134">
        <v>15</v>
      </c>
      <c r="L104" s="53">
        <f t="shared" si="130"/>
        <v>7.4850000000000003</v>
      </c>
      <c r="M104" s="58">
        <f t="shared" si="131"/>
        <v>33</v>
      </c>
      <c r="N104" s="222">
        <v>15</v>
      </c>
      <c r="O104" s="223">
        <v>8</v>
      </c>
      <c r="P104" s="140"/>
      <c r="Q104" s="228">
        <f t="shared" si="132"/>
        <v>11.5</v>
      </c>
      <c r="R104" s="229">
        <f t="shared" si="133"/>
        <v>5</v>
      </c>
      <c r="S104" s="241">
        <v>14</v>
      </c>
      <c r="T104" s="242">
        <v>6</v>
      </c>
      <c r="U104" s="285"/>
      <c r="V104" s="228">
        <f t="shared" si="134"/>
        <v>10</v>
      </c>
      <c r="W104" s="229">
        <f t="shared" si="135"/>
        <v>6</v>
      </c>
      <c r="X104" s="241">
        <v>11</v>
      </c>
      <c r="Y104" s="242">
        <v>4.25</v>
      </c>
      <c r="Z104" s="285"/>
      <c r="AA104" s="228">
        <f t="shared" si="136"/>
        <v>7.625</v>
      </c>
      <c r="AB104" s="229">
        <f t="shared" si="137"/>
        <v>0</v>
      </c>
      <c r="AC104" s="232">
        <f t="shared" si="138"/>
        <v>9.7083333333333339</v>
      </c>
      <c r="AD104" s="233">
        <f t="shared" si="139"/>
        <v>11</v>
      </c>
      <c r="AE104" s="242">
        <v>6.5</v>
      </c>
      <c r="AF104" s="285"/>
      <c r="AG104" s="234">
        <f t="shared" si="140"/>
        <v>6.5</v>
      </c>
      <c r="AH104" s="235">
        <f t="shared" si="141"/>
        <v>0</v>
      </c>
      <c r="AI104" s="241">
        <v>3</v>
      </c>
      <c r="AJ104" s="242">
        <v>0</v>
      </c>
      <c r="AK104" s="285"/>
      <c r="AL104" s="228">
        <f t="shared" si="142"/>
        <v>1.5</v>
      </c>
      <c r="AM104" s="229">
        <f t="shared" si="143"/>
        <v>0</v>
      </c>
      <c r="AN104" s="241">
        <v>7</v>
      </c>
      <c r="AO104" s="242">
        <v>0</v>
      </c>
      <c r="AP104" s="285"/>
      <c r="AQ104" s="228">
        <f t="shared" si="144"/>
        <v>3.5</v>
      </c>
      <c r="AR104" s="229">
        <f t="shared" si="145"/>
        <v>0</v>
      </c>
      <c r="AS104" s="236">
        <f t="shared" si="146"/>
        <v>3.3</v>
      </c>
      <c r="AT104" s="237">
        <f t="shared" si="147"/>
        <v>0</v>
      </c>
      <c r="AU104" s="241"/>
      <c r="AV104" s="242">
        <v>2</v>
      </c>
      <c r="AW104" s="285"/>
      <c r="AX104" s="228">
        <f t="shared" si="148"/>
        <v>1</v>
      </c>
      <c r="AY104" s="229">
        <f t="shared" si="149"/>
        <v>0</v>
      </c>
      <c r="AZ104" s="242">
        <v>0</v>
      </c>
      <c r="BA104" s="285"/>
      <c r="BB104" s="234">
        <f t="shared" si="150"/>
        <v>0</v>
      </c>
      <c r="BC104" s="235">
        <f t="shared" si="151"/>
        <v>0</v>
      </c>
      <c r="BD104" s="236">
        <f t="shared" si="152"/>
        <v>0.5</v>
      </c>
      <c r="BE104" s="237">
        <f t="shared" si="153"/>
        <v>0</v>
      </c>
      <c r="BF104" s="241">
        <v>10.5</v>
      </c>
      <c r="BG104" s="242">
        <v>4.5</v>
      </c>
      <c r="BH104" s="285"/>
      <c r="BI104" s="228">
        <f t="shared" si="154"/>
        <v>7.5</v>
      </c>
      <c r="BJ104" s="229">
        <f t="shared" si="155"/>
        <v>0</v>
      </c>
      <c r="BK104" s="236">
        <f t="shared" si="156"/>
        <v>7.5</v>
      </c>
      <c r="BL104" s="237">
        <f t="shared" si="157"/>
        <v>0</v>
      </c>
      <c r="BM104" s="239">
        <f t="shared" si="158"/>
        <v>5.9464285714285712</v>
      </c>
      <c r="BN104" s="240">
        <f t="shared" si="159"/>
        <v>11</v>
      </c>
      <c r="BO104" s="271">
        <v>13.25</v>
      </c>
      <c r="BP104" s="272">
        <v>0.5</v>
      </c>
      <c r="BQ104" s="140">
        <v>1</v>
      </c>
      <c r="BR104" s="228">
        <f t="shared" si="160"/>
        <v>7.125</v>
      </c>
      <c r="BS104" s="229">
        <f t="shared" si="161"/>
        <v>0</v>
      </c>
      <c r="BT104" s="241">
        <v>14</v>
      </c>
      <c r="BU104" s="242">
        <v>6</v>
      </c>
      <c r="BV104" s="285"/>
      <c r="BW104" s="228">
        <f t="shared" si="162"/>
        <v>10</v>
      </c>
      <c r="BX104" s="229">
        <f t="shared" si="163"/>
        <v>6</v>
      </c>
      <c r="BY104" s="241">
        <v>5.5</v>
      </c>
      <c r="BZ104" s="242">
        <v>0</v>
      </c>
      <c r="CA104" s="285"/>
      <c r="CB104" s="228">
        <f t="shared" si="164"/>
        <v>2.75</v>
      </c>
      <c r="CC104" s="229">
        <f t="shared" si="165"/>
        <v>0</v>
      </c>
      <c r="CD104" s="297">
        <f t="shared" si="166"/>
        <v>7.4</v>
      </c>
      <c r="CE104" s="233">
        <f t="shared" si="167"/>
        <v>6</v>
      </c>
      <c r="CF104" s="241">
        <v>7</v>
      </c>
      <c r="CG104" s="242">
        <v>3</v>
      </c>
      <c r="CH104" s="285"/>
      <c r="CI104" s="228">
        <f t="shared" si="168"/>
        <v>5</v>
      </c>
      <c r="CJ104" s="229">
        <f t="shared" si="169"/>
        <v>0</v>
      </c>
      <c r="CK104" s="230">
        <v>12</v>
      </c>
      <c r="CL104" s="231">
        <v>2</v>
      </c>
      <c r="CM104" s="285"/>
      <c r="CN104" s="228">
        <f t="shared" si="170"/>
        <v>7</v>
      </c>
      <c r="CO104" s="229">
        <f t="shared" si="171"/>
        <v>0</v>
      </c>
      <c r="CP104" s="232">
        <f t="shared" si="172"/>
        <v>6</v>
      </c>
      <c r="CQ104" s="233">
        <f t="shared" si="173"/>
        <v>0</v>
      </c>
      <c r="CR104" s="230">
        <v>6.25</v>
      </c>
      <c r="CS104" s="231">
        <v>0</v>
      </c>
      <c r="CT104" s="285"/>
      <c r="CU104" s="228">
        <f t="shared" si="174"/>
        <v>3.125</v>
      </c>
      <c r="CV104" s="229">
        <f t="shared" si="175"/>
        <v>0</v>
      </c>
      <c r="CW104" s="232">
        <f t="shared" si="176"/>
        <v>3.125</v>
      </c>
      <c r="CX104" s="233">
        <f t="shared" si="177"/>
        <v>0</v>
      </c>
      <c r="CY104" s="231">
        <v>4</v>
      </c>
      <c r="CZ104" s="285"/>
      <c r="DA104" s="234">
        <f t="shared" si="178"/>
        <v>4</v>
      </c>
      <c r="DB104" s="235">
        <f t="shared" si="179"/>
        <v>0</v>
      </c>
      <c r="DC104" s="232">
        <f t="shared" si="180"/>
        <v>4</v>
      </c>
      <c r="DD104" s="233">
        <f t="shared" si="181"/>
        <v>0</v>
      </c>
      <c r="DE104" s="65">
        <f t="shared" si="182"/>
        <v>5.9375</v>
      </c>
      <c r="DF104" s="66">
        <f t="shared" si="183"/>
        <v>6</v>
      </c>
      <c r="DG104" s="31">
        <f t="shared" si="123"/>
        <v>5.9464285714285712</v>
      </c>
      <c r="DH104" s="32">
        <f t="shared" si="124"/>
        <v>11</v>
      </c>
      <c r="DI104" s="33">
        <f t="shared" si="125"/>
        <v>5.9375</v>
      </c>
      <c r="DJ104" s="34">
        <f t="shared" si="126"/>
        <v>6</v>
      </c>
      <c r="DK104" s="67">
        <f t="shared" si="127"/>
        <v>5.9419642857142856</v>
      </c>
      <c r="DL104" s="35">
        <f t="shared" si="128"/>
        <v>17</v>
      </c>
      <c r="DM104" s="59">
        <f t="shared" si="129"/>
        <v>50</v>
      </c>
      <c r="DN104" s="43" t="str">
        <f t="shared" ref="DN104:DN142" si="185">IF(DM104=120,"ناجح(ة) دورة2",IF(DM104&gt;=90,"ناجح(ة)بتأخير","راسب(ة)"))</f>
        <v>راسب(ة)</v>
      </c>
      <c r="DP104" s="51"/>
      <c r="DQ104" s="46"/>
    </row>
    <row r="105" spans="1:121" s="37" customFormat="1" ht="32.25" customHeight="1" thickBot="1">
      <c r="A105" s="49"/>
      <c r="B105" s="1">
        <f t="shared" si="184"/>
        <v>4</v>
      </c>
      <c r="C105" s="249" t="s">
        <v>241</v>
      </c>
      <c r="D105" s="249" t="s">
        <v>117</v>
      </c>
      <c r="E105" s="47" t="s">
        <v>433</v>
      </c>
      <c r="F105" s="135">
        <v>34638</v>
      </c>
      <c r="G105" s="136" t="s">
        <v>110</v>
      </c>
      <c r="H105" s="131">
        <v>9</v>
      </c>
      <c r="I105" s="132">
        <v>21</v>
      </c>
      <c r="J105" s="133">
        <v>6.9</v>
      </c>
      <c r="K105" s="134">
        <v>18</v>
      </c>
      <c r="L105" s="53">
        <f t="shared" si="130"/>
        <v>7.95</v>
      </c>
      <c r="M105" s="58">
        <f t="shared" si="131"/>
        <v>39</v>
      </c>
      <c r="N105" s="222">
        <v>13</v>
      </c>
      <c r="O105" s="223">
        <v>8</v>
      </c>
      <c r="P105" s="140"/>
      <c r="Q105" s="228">
        <f t="shared" si="132"/>
        <v>10.5</v>
      </c>
      <c r="R105" s="229">
        <f t="shared" si="133"/>
        <v>5</v>
      </c>
      <c r="S105" s="241">
        <v>14.5</v>
      </c>
      <c r="T105" s="242">
        <v>3.5</v>
      </c>
      <c r="U105" s="285">
        <v>5.5</v>
      </c>
      <c r="V105" s="228">
        <f t="shared" si="134"/>
        <v>10</v>
      </c>
      <c r="W105" s="229">
        <f t="shared" si="135"/>
        <v>6</v>
      </c>
      <c r="X105" s="241">
        <v>10</v>
      </c>
      <c r="Y105" s="242">
        <v>3</v>
      </c>
      <c r="Z105" s="285">
        <v>5</v>
      </c>
      <c r="AA105" s="228">
        <f t="shared" si="136"/>
        <v>7.5</v>
      </c>
      <c r="AB105" s="229">
        <f t="shared" si="137"/>
        <v>0</v>
      </c>
      <c r="AC105" s="232">
        <f t="shared" si="138"/>
        <v>9.3333333333333339</v>
      </c>
      <c r="AD105" s="233">
        <f t="shared" si="139"/>
        <v>11</v>
      </c>
      <c r="AE105" s="242">
        <v>8.5</v>
      </c>
      <c r="AF105" s="285"/>
      <c r="AG105" s="234">
        <f t="shared" si="140"/>
        <v>8.5</v>
      </c>
      <c r="AH105" s="235">
        <f t="shared" si="141"/>
        <v>0</v>
      </c>
      <c r="AI105" s="241">
        <v>3</v>
      </c>
      <c r="AJ105" s="242">
        <v>2</v>
      </c>
      <c r="AK105" s="285"/>
      <c r="AL105" s="228">
        <f t="shared" si="142"/>
        <v>2.5</v>
      </c>
      <c r="AM105" s="229">
        <f t="shared" si="143"/>
        <v>0</v>
      </c>
      <c r="AN105" s="241">
        <v>8</v>
      </c>
      <c r="AO105" s="242">
        <v>0</v>
      </c>
      <c r="AP105" s="285">
        <v>1</v>
      </c>
      <c r="AQ105" s="228">
        <f t="shared" si="144"/>
        <v>4.5</v>
      </c>
      <c r="AR105" s="229">
        <f t="shared" si="145"/>
        <v>0</v>
      </c>
      <c r="AS105" s="236">
        <f t="shared" si="146"/>
        <v>4.5</v>
      </c>
      <c r="AT105" s="237">
        <f t="shared" si="147"/>
        <v>0</v>
      </c>
      <c r="AU105" s="241">
        <v>2</v>
      </c>
      <c r="AV105" s="242">
        <v>2</v>
      </c>
      <c r="AW105" s="285">
        <v>4</v>
      </c>
      <c r="AX105" s="228">
        <f t="shared" si="148"/>
        <v>3</v>
      </c>
      <c r="AY105" s="229">
        <f t="shared" si="149"/>
        <v>0</v>
      </c>
      <c r="AZ105" s="242">
        <v>5</v>
      </c>
      <c r="BA105" s="285">
        <v>7</v>
      </c>
      <c r="BB105" s="234">
        <f t="shared" si="150"/>
        <v>7</v>
      </c>
      <c r="BC105" s="235">
        <f t="shared" si="151"/>
        <v>0</v>
      </c>
      <c r="BD105" s="236">
        <f t="shared" si="152"/>
        <v>5</v>
      </c>
      <c r="BE105" s="237">
        <f t="shared" si="153"/>
        <v>0</v>
      </c>
      <c r="BF105" s="241">
        <v>13.75</v>
      </c>
      <c r="BG105" s="242">
        <v>9.5</v>
      </c>
      <c r="BH105" s="285"/>
      <c r="BI105" s="228">
        <f t="shared" si="154"/>
        <v>11.625</v>
      </c>
      <c r="BJ105" s="229">
        <f t="shared" si="155"/>
        <v>1</v>
      </c>
      <c r="BK105" s="236">
        <f t="shared" si="156"/>
        <v>11.625</v>
      </c>
      <c r="BL105" s="237">
        <f t="shared" si="157"/>
        <v>1</v>
      </c>
      <c r="BM105" s="239">
        <f t="shared" si="158"/>
        <v>7.1517857142857144</v>
      </c>
      <c r="BN105" s="240">
        <f t="shared" si="159"/>
        <v>12</v>
      </c>
      <c r="BO105" s="271">
        <v>11.5</v>
      </c>
      <c r="BP105" s="272">
        <v>2.75</v>
      </c>
      <c r="BQ105" s="140">
        <v>3</v>
      </c>
      <c r="BR105" s="228">
        <f t="shared" si="160"/>
        <v>7.25</v>
      </c>
      <c r="BS105" s="229">
        <f t="shared" si="161"/>
        <v>0</v>
      </c>
      <c r="BT105" s="241">
        <v>12.5</v>
      </c>
      <c r="BU105" s="242">
        <v>3.5</v>
      </c>
      <c r="BV105" s="285"/>
      <c r="BW105" s="228">
        <f t="shared" si="162"/>
        <v>8</v>
      </c>
      <c r="BX105" s="229">
        <f t="shared" si="163"/>
        <v>0</v>
      </c>
      <c r="BY105" s="241">
        <v>7.5</v>
      </c>
      <c r="BZ105" s="242">
        <v>2</v>
      </c>
      <c r="CA105" s="285">
        <v>3.5</v>
      </c>
      <c r="CB105" s="228">
        <f t="shared" si="164"/>
        <v>5.5</v>
      </c>
      <c r="CC105" s="229">
        <f t="shared" si="165"/>
        <v>0</v>
      </c>
      <c r="CD105" s="297">
        <f t="shared" si="166"/>
        <v>7.2</v>
      </c>
      <c r="CE105" s="233">
        <f t="shared" si="167"/>
        <v>0</v>
      </c>
      <c r="CF105" s="241">
        <v>7</v>
      </c>
      <c r="CG105" s="242">
        <v>3.75</v>
      </c>
      <c r="CH105" s="285"/>
      <c r="CI105" s="228">
        <f t="shared" si="168"/>
        <v>5.375</v>
      </c>
      <c r="CJ105" s="229">
        <f t="shared" si="169"/>
        <v>0</v>
      </c>
      <c r="CK105" s="230">
        <v>13</v>
      </c>
      <c r="CL105" s="231">
        <v>4</v>
      </c>
      <c r="CM105" s="285"/>
      <c r="CN105" s="228">
        <f t="shared" si="170"/>
        <v>8.5</v>
      </c>
      <c r="CO105" s="229">
        <f t="shared" si="171"/>
        <v>0</v>
      </c>
      <c r="CP105" s="232">
        <f t="shared" si="172"/>
        <v>6.9375</v>
      </c>
      <c r="CQ105" s="233">
        <f t="shared" si="173"/>
        <v>0</v>
      </c>
      <c r="CR105" s="230">
        <v>4.25</v>
      </c>
      <c r="CS105" s="231">
        <v>1</v>
      </c>
      <c r="CT105" s="285">
        <v>5</v>
      </c>
      <c r="CU105" s="228">
        <f t="shared" si="174"/>
        <v>4.625</v>
      </c>
      <c r="CV105" s="229">
        <f t="shared" si="175"/>
        <v>0</v>
      </c>
      <c r="CW105" s="232">
        <f t="shared" si="176"/>
        <v>4.625</v>
      </c>
      <c r="CX105" s="233">
        <f t="shared" si="177"/>
        <v>0</v>
      </c>
      <c r="CY105" s="231">
        <v>10</v>
      </c>
      <c r="CZ105" s="285"/>
      <c r="DA105" s="234">
        <f t="shared" si="178"/>
        <v>10</v>
      </c>
      <c r="DB105" s="235">
        <f t="shared" si="179"/>
        <v>1</v>
      </c>
      <c r="DC105" s="232">
        <f t="shared" si="180"/>
        <v>10</v>
      </c>
      <c r="DD105" s="233">
        <f t="shared" si="181"/>
        <v>1</v>
      </c>
      <c r="DE105" s="65">
        <f t="shared" si="182"/>
        <v>6.916666666666667</v>
      </c>
      <c r="DF105" s="66">
        <f t="shared" si="183"/>
        <v>1</v>
      </c>
      <c r="DG105" s="31">
        <f t="shared" si="123"/>
        <v>7.1517857142857144</v>
      </c>
      <c r="DH105" s="32">
        <f t="shared" si="124"/>
        <v>12</v>
      </c>
      <c r="DI105" s="33">
        <f t="shared" si="125"/>
        <v>6.916666666666667</v>
      </c>
      <c r="DJ105" s="34">
        <f t="shared" si="126"/>
        <v>1</v>
      </c>
      <c r="DK105" s="67">
        <f t="shared" si="127"/>
        <v>7.0342261904761907</v>
      </c>
      <c r="DL105" s="35">
        <f t="shared" si="128"/>
        <v>13</v>
      </c>
      <c r="DM105" s="59">
        <f t="shared" si="129"/>
        <v>52</v>
      </c>
      <c r="DN105" s="43" t="str">
        <f t="shared" si="185"/>
        <v>راسب(ة)</v>
      </c>
      <c r="DO105" s="44"/>
      <c r="DP105" s="50"/>
      <c r="DQ105" s="46"/>
    </row>
    <row r="106" spans="1:121" s="37" customFormat="1" ht="32.25" customHeight="1" thickBot="1">
      <c r="A106" s="49"/>
      <c r="B106" s="1">
        <f t="shared" si="184"/>
        <v>5</v>
      </c>
      <c r="C106" s="249" t="s">
        <v>242</v>
      </c>
      <c r="D106" s="249" t="s">
        <v>243</v>
      </c>
      <c r="E106" s="47" t="s">
        <v>434</v>
      </c>
      <c r="F106" s="135">
        <v>35473</v>
      </c>
      <c r="G106" s="136" t="s">
        <v>110</v>
      </c>
      <c r="H106" s="131">
        <v>10.11</v>
      </c>
      <c r="I106" s="132">
        <v>30</v>
      </c>
      <c r="J106" s="133">
        <v>7.49</v>
      </c>
      <c r="K106" s="134">
        <v>10</v>
      </c>
      <c r="L106" s="53">
        <f t="shared" si="130"/>
        <v>8.8000000000000007</v>
      </c>
      <c r="M106" s="58">
        <f t="shared" si="131"/>
        <v>40</v>
      </c>
      <c r="N106" s="222">
        <v>15</v>
      </c>
      <c r="O106" s="223">
        <v>8</v>
      </c>
      <c r="P106" s="140"/>
      <c r="Q106" s="228">
        <f t="shared" si="132"/>
        <v>11.5</v>
      </c>
      <c r="R106" s="229">
        <f t="shared" si="133"/>
        <v>5</v>
      </c>
      <c r="S106" s="241">
        <v>14.5</v>
      </c>
      <c r="T106" s="242">
        <v>7.25</v>
      </c>
      <c r="U106" s="285"/>
      <c r="V106" s="228">
        <f t="shared" si="134"/>
        <v>10.875</v>
      </c>
      <c r="W106" s="229">
        <f t="shared" si="135"/>
        <v>6</v>
      </c>
      <c r="X106" s="241">
        <v>11</v>
      </c>
      <c r="Y106" s="242">
        <v>1.5</v>
      </c>
      <c r="Z106" s="285">
        <v>3</v>
      </c>
      <c r="AA106" s="228">
        <f t="shared" si="136"/>
        <v>7</v>
      </c>
      <c r="AB106" s="229">
        <f t="shared" si="137"/>
        <v>0</v>
      </c>
      <c r="AC106" s="232">
        <f t="shared" si="138"/>
        <v>9.7916666666666661</v>
      </c>
      <c r="AD106" s="233">
        <f t="shared" si="139"/>
        <v>11</v>
      </c>
      <c r="AE106" s="242">
        <v>10.5</v>
      </c>
      <c r="AF106" s="285"/>
      <c r="AG106" s="234">
        <f t="shared" si="140"/>
        <v>10.5</v>
      </c>
      <c r="AH106" s="235">
        <f t="shared" si="141"/>
        <v>1</v>
      </c>
      <c r="AI106" s="241">
        <v>7</v>
      </c>
      <c r="AJ106" s="242">
        <v>2</v>
      </c>
      <c r="AK106" s="285"/>
      <c r="AL106" s="228">
        <f t="shared" si="142"/>
        <v>4.5</v>
      </c>
      <c r="AM106" s="229">
        <f t="shared" si="143"/>
        <v>0</v>
      </c>
      <c r="AN106" s="241">
        <v>14</v>
      </c>
      <c r="AO106" s="242">
        <v>4.5</v>
      </c>
      <c r="AP106" s="285"/>
      <c r="AQ106" s="228">
        <f t="shared" si="144"/>
        <v>9.25</v>
      </c>
      <c r="AR106" s="229">
        <f t="shared" si="145"/>
        <v>0</v>
      </c>
      <c r="AS106" s="236">
        <f t="shared" si="146"/>
        <v>7.6</v>
      </c>
      <c r="AT106" s="237">
        <f t="shared" si="147"/>
        <v>1</v>
      </c>
      <c r="AU106" s="241">
        <v>7</v>
      </c>
      <c r="AV106" s="242">
        <v>5</v>
      </c>
      <c r="AW106" s="285"/>
      <c r="AX106" s="228">
        <f t="shared" si="148"/>
        <v>6</v>
      </c>
      <c r="AY106" s="229">
        <f t="shared" si="149"/>
        <v>0</v>
      </c>
      <c r="AZ106" s="242">
        <v>7</v>
      </c>
      <c r="BA106" s="285">
        <v>8.5</v>
      </c>
      <c r="BB106" s="234">
        <f t="shared" si="150"/>
        <v>8.5</v>
      </c>
      <c r="BC106" s="235">
        <f t="shared" si="151"/>
        <v>0</v>
      </c>
      <c r="BD106" s="236">
        <f t="shared" si="152"/>
        <v>7.25</v>
      </c>
      <c r="BE106" s="237">
        <f t="shared" si="153"/>
        <v>0</v>
      </c>
      <c r="BF106" s="241">
        <v>11.75</v>
      </c>
      <c r="BG106" s="242">
        <v>11.25</v>
      </c>
      <c r="BH106" s="285"/>
      <c r="BI106" s="228">
        <f t="shared" si="154"/>
        <v>11.5</v>
      </c>
      <c r="BJ106" s="229">
        <f t="shared" si="155"/>
        <v>1</v>
      </c>
      <c r="BK106" s="236">
        <f t="shared" si="156"/>
        <v>11.5</v>
      </c>
      <c r="BL106" s="237">
        <f t="shared" si="157"/>
        <v>1</v>
      </c>
      <c r="BM106" s="239">
        <f t="shared" si="158"/>
        <v>8.7678571428571423</v>
      </c>
      <c r="BN106" s="240">
        <f t="shared" si="159"/>
        <v>13</v>
      </c>
      <c r="BO106" s="271">
        <v>10.5</v>
      </c>
      <c r="BP106" s="272">
        <v>7.5</v>
      </c>
      <c r="BQ106" s="140">
        <v>12</v>
      </c>
      <c r="BR106" s="228">
        <f t="shared" si="160"/>
        <v>11.25</v>
      </c>
      <c r="BS106" s="229">
        <f t="shared" si="161"/>
        <v>6</v>
      </c>
      <c r="BT106" s="241">
        <v>13</v>
      </c>
      <c r="BU106" s="242">
        <v>4.5</v>
      </c>
      <c r="BV106" s="285">
        <v>7</v>
      </c>
      <c r="BW106" s="228">
        <f t="shared" si="162"/>
        <v>10</v>
      </c>
      <c r="BX106" s="229">
        <f t="shared" si="163"/>
        <v>6</v>
      </c>
      <c r="BY106" s="241">
        <v>8</v>
      </c>
      <c r="BZ106" s="242">
        <v>4</v>
      </c>
      <c r="CA106" s="285"/>
      <c r="CB106" s="228">
        <f t="shared" si="164"/>
        <v>6</v>
      </c>
      <c r="CC106" s="229">
        <f t="shared" si="165"/>
        <v>0</v>
      </c>
      <c r="CD106" s="297">
        <f t="shared" si="166"/>
        <v>9.6999999999999993</v>
      </c>
      <c r="CE106" s="233">
        <f t="shared" si="167"/>
        <v>12</v>
      </c>
      <c r="CF106" s="241">
        <v>4</v>
      </c>
      <c r="CG106" s="242">
        <v>8</v>
      </c>
      <c r="CH106" s="285">
        <v>10.5</v>
      </c>
      <c r="CI106" s="228">
        <f t="shared" si="168"/>
        <v>7.25</v>
      </c>
      <c r="CJ106" s="229">
        <f t="shared" si="169"/>
        <v>0</v>
      </c>
      <c r="CK106" s="230">
        <v>13</v>
      </c>
      <c r="CL106" s="231">
        <v>4.5</v>
      </c>
      <c r="CM106" s="285">
        <v>7</v>
      </c>
      <c r="CN106" s="228">
        <f t="shared" si="170"/>
        <v>10</v>
      </c>
      <c r="CO106" s="229">
        <f t="shared" si="171"/>
        <v>5</v>
      </c>
      <c r="CP106" s="232">
        <f t="shared" si="172"/>
        <v>8.625</v>
      </c>
      <c r="CQ106" s="233">
        <f t="shared" si="173"/>
        <v>5</v>
      </c>
      <c r="CR106" s="230">
        <v>7.25</v>
      </c>
      <c r="CS106" s="231">
        <v>0.75</v>
      </c>
      <c r="CT106" s="285">
        <v>5.5</v>
      </c>
      <c r="CU106" s="228">
        <f t="shared" si="174"/>
        <v>6.375</v>
      </c>
      <c r="CV106" s="229">
        <f t="shared" si="175"/>
        <v>0</v>
      </c>
      <c r="CW106" s="232">
        <f t="shared" si="176"/>
        <v>6.375</v>
      </c>
      <c r="CX106" s="233">
        <f t="shared" si="177"/>
        <v>0</v>
      </c>
      <c r="CY106" s="231">
        <v>4</v>
      </c>
      <c r="CZ106" s="285">
        <v>12</v>
      </c>
      <c r="DA106" s="234">
        <f t="shared" si="178"/>
        <v>12</v>
      </c>
      <c r="DB106" s="235">
        <f t="shared" si="179"/>
        <v>1</v>
      </c>
      <c r="DC106" s="232">
        <f t="shared" si="180"/>
        <v>12</v>
      </c>
      <c r="DD106" s="233">
        <f t="shared" si="181"/>
        <v>1</v>
      </c>
      <c r="DE106" s="65">
        <f t="shared" si="182"/>
        <v>8.9791666666666661</v>
      </c>
      <c r="DF106" s="66">
        <f t="shared" si="183"/>
        <v>18</v>
      </c>
      <c r="DG106" s="31">
        <f t="shared" si="123"/>
        <v>8.7678571428571423</v>
      </c>
      <c r="DH106" s="32">
        <f t="shared" si="124"/>
        <v>13</v>
      </c>
      <c r="DI106" s="33">
        <f t="shared" si="125"/>
        <v>8.9791666666666661</v>
      </c>
      <c r="DJ106" s="34">
        <f t="shared" si="126"/>
        <v>18</v>
      </c>
      <c r="DK106" s="67">
        <f t="shared" si="127"/>
        <v>8.8735119047619051</v>
      </c>
      <c r="DL106" s="35">
        <f t="shared" si="128"/>
        <v>31</v>
      </c>
      <c r="DM106" s="59">
        <f t="shared" si="129"/>
        <v>71</v>
      </c>
      <c r="DN106" s="43" t="str">
        <f t="shared" si="185"/>
        <v>راسب(ة)</v>
      </c>
      <c r="DO106" s="44"/>
      <c r="DP106" s="50"/>
      <c r="DQ106" s="46"/>
    </row>
    <row r="107" spans="1:121" s="37" customFormat="1" ht="32.25" customHeight="1" thickBot="1">
      <c r="A107" s="49"/>
      <c r="B107" s="1">
        <f t="shared" si="184"/>
        <v>6</v>
      </c>
      <c r="C107" s="249" t="s">
        <v>244</v>
      </c>
      <c r="D107" s="249" t="s">
        <v>245</v>
      </c>
      <c r="E107" s="47" t="s">
        <v>435</v>
      </c>
      <c r="F107" s="135">
        <v>33873</v>
      </c>
      <c r="G107" s="136" t="s">
        <v>110</v>
      </c>
      <c r="H107" s="131">
        <v>7.19</v>
      </c>
      <c r="I107" s="132">
        <v>21</v>
      </c>
      <c r="J107" s="133">
        <v>5</v>
      </c>
      <c r="K107" s="134">
        <v>10</v>
      </c>
      <c r="L107" s="53">
        <f t="shared" si="130"/>
        <v>6.0950000000000006</v>
      </c>
      <c r="M107" s="58">
        <f t="shared" si="131"/>
        <v>31</v>
      </c>
      <c r="N107" s="222">
        <v>13</v>
      </c>
      <c r="O107" s="223"/>
      <c r="P107" s="140"/>
      <c r="Q107" s="228">
        <f t="shared" si="132"/>
        <v>6.5</v>
      </c>
      <c r="R107" s="229">
        <f t="shared" si="133"/>
        <v>0</v>
      </c>
      <c r="S107" s="241">
        <v>10.5</v>
      </c>
      <c r="T107" s="242"/>
      <c r="U107" s="285"/>
      <c r="V107" s="228">
        <f t="shared" si="134"/>
        <v>5.25</v>
      </c>
      <c r="W107" s="229">
        <f t="shared" si="135"/>
        <v>0</v>
      </c>
      <c r="X107" s="241">
        <v>10</v>
      </c>
      <c r="Y107" s="242">
        <v>2</v>
      </c>
      <c r="Z107" s="285"/>
      <c r="AA107" s="228">
        <f t="shared" si="136"/>
        <v>6</v>
      </c>
      <c r="AB107" s="229">
        <f t="shared" si="137"/>
        <v>0</v>
      </c>
      <c r="AC107" s="232">
        <f t="shared" si="138"/>
        <v>5.916666666666667</v>
      </c>
      <c r="AD107" s="233">
        <f t="shared" si="139"/>
        <v>0</v>
      </c>
      <c r="AE107" s="248"/>
      <c r="AF107" s="285"/>
      <c r="AG107" s="234">
        <f t="shared" si="140"/>
        <v>0</v>
      </c>
      <c r="AH107" s="235">
        <f t="shared" si="141"/>
        <v>0</v>
      </c>
      <c r="AI107" s="247"/>
      <c r="AJ107" s="248"/>
      <c r="AK107" s="285"/>
      <c r="AL107" s="228">
        <f t="shared" si="142"/>
        <v>0</v>
      </c>
      <c r="AM107" s="229">
        <f t="shared" si="143"/>
        <v>0</v>
      </c>
      <c r="AN107" s="241">
        <v>7</v>
      </c>
      <c r="AO107" s="242"/>
      <c r="AP107" s="285"/>
      <c r="AQ107" s="228">
        <f t="shared" si="144"/>
        <v>3.5</v>
      </c>
      <c r="AR107" s="229">
        <f t="shared" si="145"/>
        <v>0</v>
      </c>
      <c r="AS107" s="236">
        <f t="shared" si="146"/>
        <v>1.4</v>
      </c>
      <c r="AT107" s="237">
        <f t="shared" si="147"/>
        <v>0</v>
      </c>
      <c r="AU107" s="241"/>
      <c r="AV107" s="242">
        <v>1</v>
      </c>
      <c r="AW107" s="285"/>
      <c r="AX107" s="228">
        <f t="shared" si="148"/>
        <v>0.5</v>
      </c>
      <c r="AY107" s="229">
        <f t="shared" si="149"/>
        <v>0</v>
      </c>
      <c r="AZ107" s="242"/>
      <c r="BA107" s="285"/>
      <c r="BB107" s="234">
        <f t="shared" si="150"/>
        <v>0</v>
      </c>
      <c r="BC107" s="235">
        <f t="shared" si="151"/>
        <v>0</v>
      </c>
      <c r="BD107" s="236">
        <f t="shared" si="152"/>
        <v>0.25</v>
      </c>
      <c r="BE107" s="237">
        <f t="shared" si="153"/>
        <v>0</v>
      </c>
      <c r="BF107" s="245">
        <v>10</v>
      </c>
      <c r="BG107" s="246">
        <v>10</v>
      </c>
      <c r="BH107" s="285"/>
      <c r="BI107" s="228">
        <f t="shared" si="154"/>
        <v>10</v>
      </c>
      <c r="BJ107" s="229">
        <f t="shared" si="155"/>
        <v>1</v>
      </c>
      <c r="BK107" s="236">
        <f t="shared" si="156"/>
        <v>10</v>
      </c>
      <c r="BL107" s="237">
        <f t="shared" si="157"/>
        <v>1</v>
      </c>
      <c r="BM107" s="239">
        <f t="shared" si="158"/>
        <v>3.7857142857142856</v>
      </c>
      <c r="BN107" s="240">
        <f t="shared" si="159"/>
        <v>1</v>
      </c>
      <c r="BO107" s="273"/>
      <c r="BP107" s="274"/>
      <c r="BQ107" s="140"/>
      <c r="BR107" s="228">
        <f t="shared" si="160"/>
        <v>0</v>
      </c>
      <c r="BS107" s="229">
        <f t="shared" si="161"/>
        <v>0</v>
      </c>
      <c r="BT107" s="282">
        <v>10</v>
      </c>
      <c r="BU107" s="283">
        <v>10</v>
      </c>
      <c r="BV107" s="285"/>
      <c r="BW107" s="228">
        <f t="shared" si="162"/>
        <v>10</v>
      </c>
      <c r="BX107" s="229">
        <f t="shared" si="163"/>
        <v>6</v>
      </c>
      <c r="BY107" s="282"/>
      <c r="BZ107" s="283"/>
      <c r="CA107" s="285"/>
      <c r="CB107" s="228">
        <f t="shared" si="164"/>
        <v>0</v>
      </c>
      <c r="CC107" s="229">
        <f t="shared" si="165"/>
        <v>0</v>
      </c>
      <c r="CD107" s="297">
        <f t="shared" si="166"/>
        <v>4</v>
      </c>
      <c r="CE107" s="233">
        <f t="shared" si="167"/>
        <v>6</v>
      </c>
      <c r="CF107" s="282">
        <v>0</v>
      </c>
      <c r="CG107" s="283"/>
      <c r="CH107" s="285"/>
      <c r="CI107" s="228">
        <f t="shared" si="168"/>
        <v>0</v>
      </c>
      <c r="CJ107" s="229">
        <f t="shared" si="169"/>
        <v>0</v>
      </c>
      <c r="CK107" s="298"/>
      <c r="CL107" s="299"/>
      <c r="CM107" s="285"/>
      <c r="CN107" s="228">
        <f t="shared" si="170"/>
        <v>0</v>
      </c>
      <c r="CO107" s="229">
        <f t="shared" si="171"/>
        <v>0</v>
      </c>
      <c r="CP107" s="232">
        <f t="shared" si="172"/>
        <v>0</v>
      </c>
      <c r="CQ107" s="233">
        <f t="shared" si="173"/>
        <v>0</v>
      </c>
      <c r="CR107" s="298"/>
      <c r="CS107" s="299"/>
      <c r="CT107" s="285"/>
      <c r="CU107" s="228">
        <f t="shared" si="174"/>
        <v>0</v>
      </c>
      <c r="CV107" s="229">
        <f t="shared" si="175"/>
        <v>0</v>
      </c>
      <c r="CW107" s="232">
        <f t="shared" si="176"/>
        <v>0</v>
      </c>
      <c r="CX107" s="233">
        <f t="shared" si="177"/>
        <v>0</v>
      </c>
      <c r="CY107" s="299"/>
      <c r="CZ107" s="285"/>
      <c r="DA107" s="234">
        <f t="shared" si="178"/>
        <v>0</v>
      </c>
      <c r="DB107" s="235">
        <f t="shared" si="179"/>
        <v>0</v>
      </c>
      <c r="DC107" s="232">
        <f t="shared" si="180"/>
        <v>0</v>
      </c>
      <c r="DD107" s="233">
        <f t="shared" si="181"/>
        <v>0</v>
      </c>
      <c r="DE107" s="65">
        <f t="shared" si="182"/>
        <v>1.6666666666666667</v>
      </c>
      <c r="DF107" s="66">
        <f t="shared" si="183"/>
        <v>6</v>
      </c>
      <c r="DG107" s="31">
        <f t="shared" si="123"/>
        <v>3.7857142857142856</v>
      </c>
      <c r="DH107" s="32">
        <f t="shared" si="124"/>
        <v>1</v>
      </c>
      <c r="DI107" s="33">
        <f t="shared" si="125"/>
        <v>1.6666666666666667</v>
      </c>
      <c r="DJ107" s="34">
        <f t="shared" si="126"/>
        <v>6</v>
      </c>
      <c r="DK107" s="67">
        <f t="shared" si="127"/>
        <v>2.7261904761904763</v>
      </c>
      <c r="DL107" s="35">
        <f t="shared" si="128"/>
        <v>7</v>
      </c>
      <c r="DM107" s="59">
        <f t="shared" si="129"/>
        <v>38</v>
      </c>
      <c r="DN107" s="43" t="s">
        <v>509</v>
      </c>
      <c r="DO107" s="44"/>
      <c r="DP107" s="50"/>
      <c r="DQ107" s="46"/>
    </row>
    <row r="108" spans="1:121" s="37" customFormat="1" ht="32.25" customHeight="1" thickBot="1">
      <c r="A108" s="49"/>
      <c r="B108" s="1">
        <f t="shared" si="184"/>
        <v>7</v>
      </c>
      <c r="C108" s="249" t="s">
        <v>246</v>
      </c>
      <c r="D108" s="249" t="s">
        <v>247</v>
      </c>
      <c r="E108" s="137" t="s">
        <v>436</v>
      </c>
      <c r="F108" s="135">
        <v>34745</v>
      </c>
      <c r="G108" s="136" t="s">
        <v>110</v>
      </c>
      <c r="H108" s="131">
        <v>8.9499999999999993</v>
      </c>
      <c r="I108" s="132">
        <v>18</v>
      </c>
      <c r="J108" s="133">
        <v>8.52</v>
      </c>
      <c r="K108" s="134">
        <v>12</v>
      </c>
      <c r="L108" s="53">
        <f t="shared" si="130"/>
        <v>8.7349999999999994</v>
      </c>
      <c r="M108" s="58">
        <f t="shared" si="131"/>
        <v>30</v>
      </c>
      <c r="N108" s="222">
        <v>13</v>
      </c>
      <c r="O108" s="223">
        <v>8</v>
      </c>
      <c r="P108" s="140"/>
      <c r="Q108" s="228">
        <f t="shared" si="132"/>
        <v>10.5</v>
      </c>
      <c r="R108" s="229">
        <f t="shared" si="133"/>
        <v>5</v>
      </c>
      <c r="S108" s="241">
        <v>12.5</v>
      </c>
      <c r="T108" s="242">
        <v>7.5</v>
      </c>
      <c r="U108" s="285"/>
      <c r="V108" s="228">
        <f t="shared" si="134"/>
        <v>10</v>
      </c>
      <c r="W108" s="229">
        <f t="shared" si="135"/>
        <v>6</v>
      </c>
      <c r="X108" s="241">
        <v>13.5</v>
      </c>
      <c r="Y108" s="242">
        <v>6.75</v>
      </c>
      <c r="Z108" s="285"/>
      <c r="AA108" s="228">
        <f t="shared" si="136"/>
        <v>10.125</v>
      </c>
      <c r="AB108" s="229">
        <f t="shared" si="137"/>
        <v>6</v>
      </c>
      <c r="AC108" s="232">
        <f t="shared" si="138"/>
        <v>10.208333333333334</v>
      </c>
      <c r="AD108" s="233">
        <f t="shared" si="139"/>
        <v>17</v>
      </c>
      <c r="AE108" s="242">
        <v>10.5</v>
      </c>
      <c r="AF108" s="285"/>
      <c r="AG108" s="234">
        <f t="shared" si="140"/>
        <v>10.5</v>
      </c>
      <c r="AH108" s="235">
        <f t="shared" si="141"/>
        <v>1</v>
      </c>
      <c r="AI108" s="241">
        <v>5.5</v>
      </c>
      <c r="AJ108" s="242">
        <v>0.5</v>
      </c>
      <c r="AK108" s="285"/>
      <c r="AL108" s="228">
        <f t="shared" si="142"/>
        <v>3</v>
      </c>
      <c r="AM108" s="229">
        <f t="shared" si="143"/>
        <v>0</v>
      </c>
      <c r="AN108" s="241">
        <v>13.5</v>
      </c>
      <c r="AO108" s="242">
        <v>3.5</v>
      </c>
      <c r="AP108" s="285"/>
      <c r="AQ108" s="228">
        <f t="shared" si="144"/>
        <v>8.5</v>
      </c>
      <c r="AR108" s="229">
        <f t="shared" si="145"/>
        <v>0</v>
      </c>
      <c r="AS108" s="236">
        <f t="shared" si="146"/>
        <v>6.7</v>
      </c>
      <c r="AT108" s="237">
        <f t="shared" si="147"/>
        <v>1</v>
      </c>
      <c r="AU108" s="241">
        <v>15</v>
      </c>
      <c r="AV108" s="242">
        <v>8</v>
      </c>
      <c r="AW108" s="285"/>
      <c r="AX108" s="228">
        <f t="shared" si="148"/>
        <v>11.5</v>
      </c>
      <c r="AY108" s="229">
        <f t="shared" si="149"/>
        <v>4</v>
      </c>
      <c r="AZ108" s="242">
        <v>0</v>
      </c>
      <c r="BA108" s="285"/>
      <c r="BB108" s="234">
        <f t="shared" si="150"/>
        <v>0</v>
      </c>
      <c r="BC108" s="235">
        <f t="shared" si="151"/>
        <v>0</v>
      </c>
      <c r="BD108" s="236">
        <f t="shared" si="152"/>
        <v>5.75</v>
      </c>
      <c r="BE108" s="237">
        <f t="shared" si="153"/>
        <v>4</v>
      </c>
      <c r="BF108" s="241">
        <v>12.75</v>
      </c>
      <c r="BG108" s="242">
        <v>4</v>
      </c>
      <c r="BH108" s="285"/>
      <c r="BI108" s="228">
        <f t="shared" si="154"/>
        <v>8.375</v>
      </c>
      <c r="BJ108" s="229">
        <f t="shared" si="155"/>
        <v>0</v>
      </c>
      <c r="BK108" s="236">
        <f t="shared" si="156"/>
        <v>8.375</v>
      </c>
      <c r="BL108" s="237">
        <f t="shared" si="157"/>
        <v>0</v>
      </c>
      <c r="BM108" s="239">
        <f t="shared" si="158"/>
        <v>8.1875</v>
      </c>
      <c r="BN108" s="240">
        <f t="shared" si="159"/>
        <v>22</v>
      </c>
      <c r="BO108" s="271">
        <v>12.25</v>
      </c>
      <c r="BP108" s="272">
        <v>2</v>
      </c>
      <c r="BQ108" s="140"/>
      <c r="BR108" s="228">
        <f t="shared" si="160"/>
        <v>7.125</v>
      </c>
      <c r="BS108" s="229">
        <f t="shared" si="161"/>
        <v>0</v>
      </c>
      <c r="BT108" s="241">
        <v>14.5</v>
      </c>
      <c r="BU108" s="242">
        <v>17.5</v>
      </c>
      <c r="BV108" s="285"/>
      <c r="BW108" s="228">
        <f t="shared" si="162"/>
        <v>16</v>
      </c>
      <c r="BX108" s="229">
        <f t="shared" si="163"/>
        <v>6</v>
      </c>
      <c r="BY108" s="241">
        <v>12.5</v>
      </c>
      <c r="BZ108" s="242">
        <v>6</v>
      </c>
      <c r="CA108" s="285"/>
      <c r="CB108" s="228">
        <f t="shared" si="164"/>
        <v>9.25</v>
      </c>
      <c r="CC108" s="229">
        <f t="shared" si="165"/>
        <v>0</v>
      </c>
      <c r="CD108" s="297">
        <f t="shared" si="166"/>
        <v>11.1</v>
      </c>
      <c r="CE108" s="233">
        <f t="shared" si="167"/>
        <v>16</v>
      </c>
      <c r="CF108" s="241">
        <v>7.5</v>
      </c>
      <c r="CG108" s="242">
        <v>7.75</v>
      </c>
      <c r="CH108" s="285"/>
      <c r="CI108" s="228">
        <f t="shared" si="168"/>
        <v>7.625</v>
      </c>
      <c r="CJ108" s="229">
        <f t="shared" si="169"/>
        <v>0</v>
      </c>
      <c r="CK108" s="230">
        <v>13</v>
      </c>
      <c r="CL108" s="231">
        <v>7</v>
      </c>
      <c r="CM108" s="285"/>
      <c r="CN108" s="228">
        <f t="shared" si="170"/>
        <v>10</v>
      </c>
      <c r="CO108" s="229">
        <f t="shared" si="171"/>
        <v>5</v>
      </c>
      <c r="CP108" s="232">
        <f t="shared" si="172"/>
        <v>8.8125</v>
      </c>
      <c r="CQ108" s="233">
        <f t="shared" si="173"/>
        <v>5</v>
      </c>
      <c r="CR108" s="230">
        <v>2.75</v>
      </c>
      <c r="CS108" s="231">
        <v>1</v>
      </c>
      <c r="CT108" s="285"/>
      <c r="CU108" s="228">
        <f t="shared" si="174"/>
        <v>1.875</v>
      </c>
      <c r="CV108" s="229">
        <f t="shared" si="175"/>
        <v>0</v>
      </c>
      <c r="CW108" s="232">
        <f t="shared" si="176"/>
        <v>1.875</v>
      </c>
      <c r="CX108" s="233">
        <f t="shared" si="177"/>
        <v>0</v>
      </c>
      <c r="CY108" s="231">
        <v>8</v>
      </c>
      <c r="CZ108" s="285"/>
      <c r="DA108" s="234">
        <f t="shared" si="178"/>
        <v>8</v>
      </c>
      <c r="DB108" s="235">
        <f t="shared" si="179"/>
        <v>0</v>
      </c>
      <c r="DC108" s="232">
        <f t="shared" si="180"/>
        <v>8</v>
      </c>
      <c r="DD108" s="233">
        <f t="shared" si="181"/>
        <v>0</v>
      </c>
      <c r="DE108" s="65">
        <f t="shared" si="182"/>
        <v>8.5416666666666661</v>
      </c>
      <c r="DF108" s="66">
        <f t="shared" si="183"/>
        <v>21</v>
      </c>
      <c r="DG108" s="31">
        <f t="shared" si="123"/>
        <v>8.1875</v>
      </c>
      <c r="DH108" s="32">
        <f t="shared" si="124"/>
        <v>22</v>
      </c>
      <c r="DI108" s="33">
        <f t="shared" si="125"/>
        <v>8.5416666666666661</v>
      </c>
      <c r="DJ108" s="34">
        <f t="shared" si="126"/>
        <v>21</v>
      </c>
      <c r="DK108" s="67">
        <f t="shared" si="127"/>
        <v>8.3645833333333321</v>
      </c>
      <c r="DL108" s="35">
        <f t="shared" si="128"/>
        <v>43</v>
      </c>
      <c r="DM108" s="59">
        <f t="shared" si="129"/>
        <v>73</v>
      </c>
      <c r="DN108" s="43" t="str">
        <f t="shared" si="185"/>
        <v>راسب(ة)</v>
      </c>
      <c r="DO108" s="44"/>
      <c r="DP108" s="50"/>
      <c r="DQ108" s="46"/>
    </row>
    <row r="109" spans="1:121" s="37" customFormat="1" ht="32.25" customHeight="1" thickBot="1">
      <c r="A109" s="49"/>
      <c r="B109" s="1">
        <f t="shared" si="184"/>
        <v>8</v>
      </c>
      <c r="C109" s="249" t="s">
        <v>248</v>
      </c>
      <c r="D109" s="249" t="s">
        <v>249</v>
      </c>
      <c r="E109" s="47" t="s">
        <v>437</v>
      </c>
      <c r="F109" s="135">
        <v>35491</v>
      </c>
      <c r="G109" s="136" t="s">
        <v>110</v>
      </c>
      <c r="H109" s="131">
        <v>10.050000000000001</v>
      </c>
      <c r="I109" s="132">
        <v>30</v>
      </c>
      <c r="J109" s="133">
        <v>10.37</v>
      </c>
      <c r="K109" s="134">
        <v>30</v>
      </c>
      <c r="L109" s="53">
        <f t="shared" si="130"/>
        <v>10.210000000000001</v>
      </c>
      <c r="M109" s="58">
        <f t="shared" si="131"/>
        <v>60</v>
      </c>
      <c r="N109" s="222">
        <v>13</v>
      </c>
      <c r="O109" s="223">
        <v>8</v>
      </c>
      <c r="P109" s="140"/>
      <c r="Q109" s="228">
        <f t="shared" si="132"/>
        <v>10.5</v>
      </c>
      <c r="R109" s="229">
        <f t="shared" si="133"/>
        <v>5</v>
      </c>
      <c r="S109" s="241">
        <v>14.5</v>
      </c>
      <c r="T109" s="242">
        <v>10</v>
      </c>
      <c r="U109" s="285"/>
      <c r="V109" s="228">
        <f t="shared" si="134"/>
        <v>12.25</v>
      </c>
      <c r="W109" s="229">
        <f t="shared" si="135"/>
        <v>6</v>
      </c>
      <c r="X109" s="241">
        <v>13.5</v>
      </c>
      <c r="Y109" s="242">
        <v>4</v>
      </c>
      <c r="Z109" s="285"/>
      <c r="AA109" s="228">
        <f t="shared" si="136"/>
        <v>8.75</v>
      </c>
      <c r="AB109" s="229">
        <f t="shared" si="137"/>
        <v>0</v>
      </c>
      <c r="AC109" s="232">
        <f t="shared" si="138"/>
        <v>10.5</v>
      </c>
      <c r="AD109" s="233">
        <f t="shared" si="139"/>
        <v>17</v>
      </c>
      <c r="AE109" s="242">
        <v>8.5</v>
      </c>
      <c r="AF109" s="285">
        <v>10</v>
      </c>
      <c r="AG109" s="234">
        <f t="shared" si="140"/>
        <v>10</v>
      </c>
      <c r="AH109" s="235">
        <f t="shared" si="141"/>
        <v>1</v>
      </c>
      <c r="AI109" s="241">
        <v>10.5</v>
      </c>
      <c r="AJ109" s="242">
        <v>10</v>
      </c>
      <c r="AK109" s="285"/>
      <c r="AL109" s="228">
        <f t="shared" si="142"/>
        <v>10.25</v>
      </c>
      <c r="AM109" s="229">
        <f t="shared" si="143"/>
        <v>3</v>
      </c>
      <c r="AN109" s="241">
        <v>9.5</v>
      </c>
      <c r="AO109" s="242">
        <v>2</v>
      </c>
      <c r="AP109" s="285">
        <v>3</v>
      </c>
      <c r="AQ109" s="228">
        <f t="shared" si="144"/>
        <v>6.25</v>
      </c>
      <c r="AR109" s="229">
        <f t="shared" si="145"/>
        <v>0</v>
      </c>
      <c r="AS109" s="236">
        <f t="shared" si="146"/>
        <v>8.6</v>
      </c>
      <c r="AT109" s="237">
        <f t="shared" si="147"/>
        <v>4</v>
      </c>
      <c r="AU109" s="241">
        <v>5</v>
      </c>
      <c r="AV109" s="242">
        <v>5</v>
      </c>
      <c r="AW109" s="285">
        <v>6</v>
      </c>
      <c r="AX109" s="228">
        <f t="shared" si="148"/>
        <v>5.5</v>
      </c>
      <c r="AY109" s="229">
        <f t="shared" si="149"/>
        <v>0</v>
      </c>
      <c r="AZ109" s="242">
        <v>10</v>
      </c>
      <c r="BA109" s="285"/>
      <c r="BB109" s="234">
        <f t="shared" si="150"/>
        <v>10</v>
      </c>
      <c r="BC109" s="235">
        <f t="shared" si="151"/>
        <v>1</v>
      </c>
      <c r="BD109" s="236">
        <f t="shared" si="152"/>
        <v>7.75</v>
      </c>
      <c r="BE109" s="237">
        <f t="shared" si="153"/>
        <v>1</v>
      </c>
      <c r="BF109" s="241">
        <v>18</v>
      </c>
      <c r="BG109" s="242">
        <v>12</v>
      </c>
      <c r="BH109" s="285"/>
      <c r="BI109" s="228">
        <f t="shared" si="154"/>
        <v>15</v>
      </c>
      <c r="BJ109" s="229">
        <f t="shared" si="155"/>
        <v>1</v>
      </c>
      <c r="BK109" s="236">
        <f t="shared" si="156"/>
        <v>15</v>
      </c>
      <c r="BL109" s="237">
        <f t="shared" si="157"/>
        <v>1</v>
      </c>
      <c r="BM109" s="239">
        <f t="shared" si="158"/>
        <v>9.75</v>
      </c>
      <c r="BN109" s="240">
        <f t="shared" si="159"/>
        <v>23</v>
      </c>
      <c r="BO109" s="271">
        <v>14.25</v>
      </c>
      <c r="BP109" s="272">
        <v>5.75</v>
      </c>
      <c r="BQ109" s="140"/>
      <c r="BR109" s="228">
        <f t="shared" si="160"/>
        <v>10</v>
      </c>
      <c r="BS109" s="229">
        <f t="shared" si="161"/>
        <v>6</v>
      </c>
      <c r="BT109" s="241">
        <v>13.5</v>
      </c>
      <c r="BU109" s="242">
        <v>12.5</v>
      </c>
      <c r="BV109" s="285"/>
      <c r="BW109" s="228">
        <f t="shared" si="162"/>
        <v>13</v>
      </c>
      <c r="BX109" s="229">
        <f t="shared" si="163"/>
        <v>6</v>
      </c>
      <c r="BY109" s="241">
        <v>12</v>
      </c>
      <c r="BZ109" s="242">
        <v>3.75</v>
      </c>
      <c r="CA109" s="285"/>
      <c r="CB109" s="228">
        <f t="shared" si="164"/>
        <v>7.875</v>
      </c>
      <c r="CC109" s="229">
        <f t="shared" si="165"/>
        <v>0</v>
      </c>
      <c r="CD109" s="297">
        <f t="shared" si="166"/>
        <v>10.775</v>
      </c>
      <c r="CE109" s="233">
        <f t="shared" si="167"/>
        <v>16</v>
      </c>
      <c r="CF109" s="241">
        <v>9</v>
      </c>
      <c r="CG109" s="242">
        <v>12.75</v>
      </c>
      <c r="CH109" s="285"/>
      <c r="CI109" s="228">
        <f t="shared" si="168"/>
        <v>10.875</v>
      </c>
      <c r="CJ109" s="229">
        <f t="shared" si="169"/>
        <v>5</v>
      </c>
      <c r="CK109" s="230">
        <v>13.5</v>
      </c>
      <c r="CL109" s="231">
        <v>8</v>
      </c>
      <c r="CM109" s="285"/>
      <c r="CN109" s="228">
        <f t="shared" si="170"/>
        <v>10.75</v>
      </c>
      <c r="CO109" s="229">
        <f t="shared" si="171"/>
        <v>5</v>
      </c>
      <c r="CP109" s="232">
        <f t="shared" si="172"/>
        <v>10.8125</v>
      </c>
      <c r="CQ109" s="233">
        <f t="shared" si="173"/>
        <v>10</v>
      </c>
      <c r="CR109" s="230">
        <v>10.5</v>
      </c>
      <c r="CS109" s="231">
        <v>3.5</v>
      </c>
      <c r="CT109" s="285"/>
      <c r="CU109" s="228">
        <f t="shared" si="174"/>
        <v>7</v>
      </c>
      <c r="CV109" s="229">
        <f t="shared" si="175"/>
        <v>0</v>
      </c>
      <c r="CW109" s="232">
        <f t="shared" si="176"/>
        <v>7</v>
      </c>
      <c r="CX109" s="233">
        <f t="shared" si="177"/>
        <v>0</v>
      </c>
      <c r="CY109" s="231">
        <v>13</v>
      </c>
      <c r="CZ109" s="285"/>
      <c r="DA109" s="234">
        <f t="shared" si="178"/>
        <v>13</v>
      </c>
      <c r="DB109" s="235">
        <f t="shared" si="179"/>
        <v>1</v>
      </c>
      <c r="DC109" s="232">
        <f t="shared" si="180"/>
        <v>13</v>
      </c>
      <c r="DD109" s="233">
        <f t="shared" si="181"/>
        <v>1</v>
      </c>
      <c r="DE109" s="65">
        <f t="shared" si="182"/>
        <v>10.34375</v>
      </c>
      <c r="DF109" s="66">
        <f t="shared" si="183"/>
        <v>30</v>
      </c>
      <c r="DG109" s="31">
        <f t="shared" si="123"/>
        <v>9.75</v>
      </c>
      <c r="DH109" s="32">
        <f t="shared" si="124"/>
        <v>30</v>
      </c>
      <c r="DI109" s="33">
        <f t="shared" si="125"/>
        <v>10.34375</v>
      </c>
      <c r="DJ109" s="34">
        <f t="shared" si="126"/>
        <v>30</v>
      </c>
      <c r="DK109" s="67">
        <f t="shared" si="127"/>
        <v>10.046875</v>
      </c>
      <c r="DL109" s="35">
        <f t="shared" si="128"/>
        <v>60</v>
      </c>
      <c r="DM109" s="59">
        <f t="shared" si="129"/>
        <v>120</v>
      </c>
      <c r="DN109" s="43" t="str">
        <f t="shared" si="185"/>
        <v>ناجح(ة) دورة2</v>
      </c>
      <c r="DO109" s="44"/>
      <c r="DP109" s="50"/>
      <c r="DQ109" s="46"/>
    </row>
    <row r="110" spans="1:121" s="37" customFormat="1" ht="32.25" customHeight="1" thickBot="1">
      <c r="A110" s="49"/>
      <c r="B110" s="1">
        <f t="shared" si="184"/>
        <v>9</v>
      </c>
      <c r="C110" s="249" t="s">
        <v>250</v>
      </c>
      <c r="D110" s="249" t="s">
        <v>251</v>
      </c>
      <c r="E110" s="47" t="s">
        <v>438</v>
      </c>
      <c r="F110" s="135">
        <v>35008</v>
      </c>
      <c r="G110" s="136" t="s">
        <v>110</v>
      </c>
      <c r="H110" s="131">
        <v>9.5299999999999994</v>
      </c>
      <c r="I110" s="132">
        <v>20</v>
      </c>
      <c r="J110" s="133">
        <v>9.75</v>
      </c>
      <c r="K110" s="134">
        <v>13</v>
      </c>
      <c r="L110" s="53">
        <f t="shared" si="130"/>
        <v>9.64</v>
      </c>
      <c r="M110" s="58">
        <f t="shared" si="131"/>
        <v>33</v>
      </c>
      <c r="N110" s="222">
        <v>13</v>
      </c>
      <c r="O110" s="223">
        <v>8</v>
      </c>
      <c r="P110" s="140"/>
      <c r="Q110" s="228">
        <f t="shared" si="132"/>
        <v>10.5</v>
      </c>
      <c r="R110" s="229">
        <f t="shared" si="133"/>
        <v>5</v>
      </c>
      <c r="S110" s="241">
        <v>13.5</v>
      </c>
      <c r="T110" s="242">
        <v>8</v>
      </c>
      <c r="U110" s="285"/>
      <c r="V110" s="228">
        <f t="shared" si="134"/>
        <v>10.75</v>
      </c>
      <c r="W110" s="229">
        <f t="shared" si="135"/>
        <v>6</v>
      </c>
      <c r="X110" s="241">
        <v>14</v>
      </c>
      <c r="Y110" s="242">
        <v>8</v>
      </c>
      <c r="Z110" s="285"/>
      <c r="AA110" s="228">
        <f t="shared" si="136"/>
        <v>11</v>
      </c>
      <c r="AB110" s="229">
        <f t="shared" si="137"/>
        <v>6</v>
      </c>
      <c r="AC110" s="232">
        <f t="shared" si="138"/>
        <v>10.75</v>
      </c>
      <c r="AD110" s="233">
        <f t="shared" si="139"/>
        <v>17</v>
      </c>
      <c r="AE110" s="242">
        <v>16</v>
      </c>
      <c r="AF110" s="285"/>
      <c r="AG110" s="234">
        <f t="shared" si="140"/>
        <v>16</v>
      </c>
      <c r="AH110" s="235">
        <f t="shared" si="141"/>
        <v>1</v>
      </c>
      <c r="AI110" s="241">
        <v>12.5</v>
      </c>
      <c r="AJ110" s="242">
        <v>6.5</v>
      </c>
      <c r="AK110" s="285"/>
      <c r="AL110" s="228">
        <f t="shared" si="142"/>
        <v>9.5</v>
      </c>
      <c r="AM110" s="229">
        <f t="shared" si="143"/>
        <v>0</v>
      </c>
      <c r="AN110" s="241">
        <v>14.75</v>
      </c>
      <c r="AO110" s="242">
        <v>4.5</v>
      </c>
      <c r="AP110" s="285"/>
      <c r="AQ110" s="228">
        <f t="shared" si="144"/>
        <v>9.625</v>
      </c>
      <c r="AR110" s="229">
        <f t="shared" si="145"/>
        <v>0</v>
      </c>
      <c r="AS110" s="236">
        <f t="shared" si="146"/>
        <v>10.85</v>
      </c>
      <c r="AT110" s="237">
        <f t="shared" si="147"/>
        <v>7</v>
      </c>
      <c r="AU110" s="241">
        <v>17</v>
      </c>
      <c r="AV110" s="242">
        <v>5</v>
      </c>
      <c r="AW110" s="285"/>
      <c r="AX110" s="228">
        <f t="shared" si="148"/>
        <v>11</v>
      </c>
      <c r="AY110" s="229">
        <f t="shared" si="149"/>
        <v>4</v>
      </c>
      <c r="AZ110" s="242">
        <v>11.5</v>
      </c>
      <c r="BA110" s="285"/>
      <c r="BB110" s="234">
        <f t="shared" si="150"/>
        <v>11.5</v>
      </c>
      <c r="BC110" s="235">
        <f t="shared" si="151"/>
        <v>1</v>
      </c>
      <c r="BD110" s="236">
        <f t="shared" si="152"/>
        <v>11.25</v>
      </c>
      <c r="BE110" s="237">
        <f t="shared" si="153"/>
        <v>5</v>
      </c>
      <c r="BF110" s="241">
        <v>15.5</v>
      </c>
      <c r="BG110" s="242">
        <v>11.75</v>
      </c>
      <c r="BH110" s="285"/>
      <c r="BI110" s="228">
        <f t="shared" si="154"/>
        <v>13.625</v>
      </c>
      <c r="BJ110" s="229">
        <f t="shared" si="155"/>
        <v>1</v>
      </c>
      <c r="BK110" s="236">
        <f t="shared" si="156"/>
        <v>13.625</v>
      </c>
      <c r="BL110" s="237">
        <f t="shared" si="157"/>
        <v>1</v>
      </c>
      <c r="BM110" s="239">
        <f t="shared" si="158"/>
        <v>11.0625</v>
      </c>
      <c r="BN110" s="240">
        <f t="shared" si="159"/>
        <v>30</v>
      </c>
      <c r="BO110" s="271">
        <v>12.25</v>
      </c>
      <c r="BP110" s="272">
        <v>5.25</v>
      </c>
      <c r="BQ110" s="140"/>
      <c r="BR110" s="228">
        <f t="shared" si="160"/>
        <v>8.75</v>
      </c>
      <c r="BS110" s="229">
        <f t="shared" si="161"/>
        <v>0</v>
      </c>
      <c r="BT110" s="241">
        <v>17</v>
      </c>
      <c r="BU110" s="242">
        <v>12.5</v>
      </c>
      <c r="BV110" s="285"/>
      <c r="BW110" s="228">
        <f t="shared" si="162"/>
        <v>14.75</v>
      </c>
      <c r="BX110" s="229">
        <f t="shared" si="163"/>
        <v>6</v>
      </c>
      <c r="BY110" s="241">
        <v>12.75</v>
      </c>
      <c r="BZ110" s="242">
        <v>7</v>
      </c>
      <c r="CA110" s="285"/>
      <c r="CB110" s="228">
        <f t="shared" si="164"/>
        <v>9.875</v>
      </c>
      <c r="CC110" s="229">
        <f t="shared" si="165"/>
        <v>0</v>
      </c>
      <c r="CD110" s="297">
        <f t="shared" si="166"/>
        <v>11.375</v>
      </c>
      <c r="CE110" s="233">
        <f t="shared" si="167"/>
        <v>16</v>
      </c>
      <c r="CF110" s="241">
        <v>8.5</v>
      </c>
      <c r="CG110" s="242">
        <v>7.5</v>
      </c>
      <c r="CH110" s="285"/>
      <c r="CI110" s="228">
        <f t="shared" si="168"/>
        <v>8</v>
      </c>
      <c r="CJ110" s="229">
        <f t="shared" si="169"/>
        <v>0</v>
      </c>
      <c r="CK110" s="230">
        <v>13.5</v>
      </c>
      <c r="CL110" s="231">
        <v>8</v>
      </c>
      <c r="CM110" s="285"/>
      <c r="CN110" s="228">
        <f t="shared" si="170"/>
        <v>10.75</v>
      </c>
      <c r="CO110" s="229">
        <f t="shared" si="171"/>
        <v>5</v>
      </c>
      <c r="CP110" s="232">
        <f t="shared" si="172"/>
        <v>9.375</v>
      </c>
      <c r="CQ110" s="233">
        <f t="shared" si="173"/>
        <v>5</v>
      </c>
      <c r="CR110" s="230">
        <v>8.5</v>
      </c>
      <c r="CS110" s="231">
        <v>15</v>
      </c>
      <c r="CT110" s="285"/>
      <c r="CU110" s="228">
        <f t="shared" si="174"/>
        <v>11.75</v>
      </c>
      <c r="CV110" s="229">
        <f t="shared" si="175"/>
        <v>3</v>
      </c>
      <c r="CW110" s="232">
        <f t="shared" si="176"/>
        <v>11.75</v>
      </c>
      <c r="CX110" s="233">
        <f t="shared" si="177"/>
        <v>3</v>
      </c>
      <c r="CY110" s="231">
        <v>11</v>
      </c>
      <c r="CZ110" s="285"/>
      <c r="DA110" s="234">
        <f t="shared" si="178"/>
        <v>11</v>
      </c>
      <c r="DB110" s="235">
        <f t="shared" si="179"/>
        <v>1</v>
      </c>
      <c r="DC110" s="232">
        <f t="shared" si="180"/>
        <v>11</v>
      </c>
      <c r="DD110" s="233">
        <f t="shared" si="181"/>
        <v>1</v>
      </c>
      <c r="DE110" s="65">
        <f t="shared" si="182"/>
        <v>10.739583333333334</v>
      </c>
      <c r="DF110" s="66">
        <f t="shared" si="183"/>
        <v>30</v>
      </c>
      <c r="DG110" s="31">
        <f t="shared" si="123"/>
        <v>11.0625</v>
      </c>
      <c r="DH110" s="32">
        <f t="shared" si="124"/>
        <v>30</v>
      </c>
      <c r="DI110" s="33">
        <f t="shared" si="125"/>
        <v>10.739583333333334</v>
      </c>
      <c r="DJ110" s="34">
        <f t="shared" si="126"/>
        <v>30</v>
      </c>
      <c r="DK110" s="67">
        <f t="shared" si="127"/>
        <v>10.901041666666668</v>
      </c>
      <c r="DL110" s="35">
        <f t="shared" si="128"/>
        <v>60</v>
      </c>
      <c r="DM110" s="59">
        <f t="shared" si="129"/>
        <v>93</v>
      </c>
      <c r="DN110" s="43" t="str">
        <f t="shared" si="185"/>
        <v>ناجح(ة)بتأخير</v>
      </c>
      <c r="DO110" s="44"/>
      <c r="DP110" s="50"/>
      <c r="DQ110" s="46"/>
    </row>
    <row r="111" spans="1:121" s="37" customFormat="1" ht="32.25" customHeight="1" thickBot="1">
      <c r="A111" s="49"/>
      <c r="B111" s="1">
        <f t="shared" si="184"/>
        <v>10</v>
      </c>
      <c r="C111" s="249" t="s">
        <v>252</v>
      </c>
      <c r="D111" s="249" t="s">
        <v>253</v>
      </c>
      <c r="E111" s="47" t="s">
        <v>439</v>
      </c>
      <c r="F111" s="135">
        <v>34583</v>
      </c>
      <c r="G111" s="136" t="s">
        <v>110</v>
      </c>
      <c r="H111" s="131">
        <v>10.02</v>
      </c>
      <c r="I111" s="132">
        <v>30</v>
      </c>
      <c r="J111" s="133">
        <v>9.99</v>
      </c>
      <c r="K111" s="134">
        <v>30</v>
      </c>
      <c r="L111" s="53">
        <f t="shared" si="130"/>
        <v>10.004999999999999</v>
      </c>
      <c r="M111" s="58">
        <f t="shared" si="131"/>
        <v>60</v>
      </c>
      <c r="N111" s="222">
        <v>13</v>
      </c>
      <c r="O111" s="223">
        <v>8</v>
      </c>
      <c r="P111" s="140"/>
      <c r="Q111" s="228">
        <f t="shared" si="132"/>
        <v>10.5</v>
      </c>
      <c r="R111" s="229">
        <f t="shared" si="133"/>
        <v>5</v>
      </c>
      <c r="S111" s="241">
        <v>15.5</v>
      </c>
      <c r="T111" s="242">
        <v>2</v>
      </c>
      <c r="U111" s="285">
        <v>17</v>
      </c>
      <c r="V111" s="228">
        <f t="shared" si="134"/>
        <v>16.25</v>
      </c>
      <c r="W111" s="229">
        <f t="shared" si="135"/>
        <v>6</v>
      </c>
      <c r="X111" s="241">
        <v>13.75</v>
      </c>
      <c r="Y111" s="242">
        <v>6.25</v>
      </c>
      <c r="Z111" s="285"/>
      <c r="AA111" s="228">
        <f t="shared" si="136"/>
        <v>10</v>
      </c>
      <c r="AB111" s="229">
        <f t="shared" si="137"/>
        <v>6</v>
      </c>
      <c r="AC111" s="232">
        <f t="shared" si="138"/>
        <v>12.25</v>
      </c>
      <c r="AD111" s="233">
        <f t="shared" si="139"/>
        <v>17</v>
      </c>
      <c r="AE111" s="242">
        <v>8</v>
      </c>
      <c r="AF111" s="285">
        <v>18</v>
      </c>
      <c r="AG111" s="234">
        <f t="shared" si="140"/>
        <v>18</v>
      </c>
      <c r="AH111" s="235">
        <f t="shared" si="141"/>
        <v>1</v>
      </c>
      <c r="AI111" s="241">
        <v>6.5</v>
      </c>
      <c r="AJ111" s="242">
        <v>1.5</v>
      </c>
      <c r="AK111" s="285">
        <v>6.5</v>
      </c>
      <c r="AL111" s="228">
        <f t="shared" si="142"/>
        <v>6.5</v>
      </c>
      <c r="AM111" s="229">
        <f t="shared" si="143"/>
        <v>0</v>
      </c>
      <c r="AN111" s="241">
        <v>7.5</v>
      </c>
      <c r="AO111" s="242">
        <v>0</v>
      </c>
      <c r="AP111" s="285">
        <v>1</v>
      </c>
      <c r="AQ111" s="228">
        <f t="shared" si="144"/>
        <v>4.25</v>
      </c>
      <c r="AR111" s="229">
        <f t="shared" si="145"/>
        <v>0</v>
      </c>
      <c r="AS111" s="236">
        <f t="shared" si="146"/>
        <v>7.9</v>
      </c>
      <c r="AT111" s="237">
        <f t="shared" si="147"/>
        <v>1</v>
      </c>
      <c r="AU111" s="241">
        <v>6</v>
      </c>
      <c r="AV111" s="242">
        <v>4</v>
      </c>
      <c r="AW111" s="285">
        <v>12</v>
      </c>
      <c r="AX111" s="228">
        <f t="shared" si="148"/>
        <v>9</v>
      </c>
      <c r="AY111" s="229">
        <f t="shared" si="149"/>
        <v>0</v>
      </c>
      <c r="AZ111" s="242">
        <v>4</v>
      </c>
      <c r="BA111" s="285"/>
      <c r="BB111" s="234">
        <f t="shared" si="150"/>
        <v>4</v>
      </c>
      <c r="BC111" s="235">
        <f t="shared" si="151"/>
        <v>0</v>
      </c>
      <c r="BD111" s="236">
        <f t="shared" si="152"/>
        <v>6.5</v>
      </c>
      <c r="BE111" s="237">
        <f t="shared" si="153"/>
        <v>0</v>
      </c>
      <c r="BF111" s="241">
        <v>11</v>
      </c>
      <c r="BG111" s="242">
        <v>3.5</v>
      </c>
      <c r="BH111" s="285">
        <v>7</v>
      </c>
      <c r="BI111" s="228">
        <f t="shared" si="154"/>
        <v>9</v>
      </c>
      <c r="BJ111" s="229">
        <f t="shared" si="155"/>
        <v>0</v>
      </c>
      <c r="BK111" s="236">
        <f t="shared" si="156"/>
        <v>9</v>
      </c>
      <c r="BL111" s="237">
        <f t="shared" si="157"/>
        <v>0</v>
      </c>
      <c r="BM111" s="239">
        <f t="shared" si="158"/>
        <v>9.6428571428571423</v>
      </c>
      <c r="BN111" s="240">
        <f t="shared" si="159"/>
        <v>18</v>
      </c>
      <c r="BO111" s="271">
        <v>11.75</v>
      </c>
      <c r="BP111" s="272">
        <v>8.75</v>
      </c>
      <c r="BQ111" s="140"/>
      <c r="BR111" s="228">
        <f t="shared" si="160"/>
        <v>10.25</v>
      </c>
      <c r="BS111" s="229">
        <f t="shared" si="161"/>
        <v>6</v>
      </c>
      <c r="BT111" s="241">
        <v>13</v>
      </c>
      <c r="BU111" s="242">
        <v>9.5</v>
      </c>
      <c r="BV111" s="285"/>
      <c r="BW111" s="228">
        <f t="shared" si="162"/>
        <v>11.25</v>
      </c>
      <c r="BX111" s="229">
        <f t="shared" si="163"/>
        <v>6</v>
      </c>
      <c r="BY111" s="241">
        <v>14.5</v>
      </c>
      <c r="BZ111" s="242">
        <v>3.75</v>
      </c>
      <c r="CA111" s="285"/>
      <c r="CB111" s="228">
        <f t="shared" si="164"/>
        <v>9.125</v>
      </c>
      <c r="CC111" s="229">
        <f t="shared" si="165"/>
        <v>0</v>
      </c>
      <c r="CD111" s="297">
        <f t="shared" si="166"/>
        <v>10.425000000000001</v>
      </c>
      <c r="CE111" s="233">
        <f t="shared" si="167"/>
        <v>16</v>
      </c>
      <c r="CF111" s="241">
        <v>16.5</v>
      </c>
      <c r="CG111" s="242">
        <v>15.25</v>
      </c>
      <c r="CH111" s="285"/>
      <c r="CI111" s="228">
        <f t="shared" si="168"/>
        <v>15.875</v>
      </c>
      <c r="CJ111" s="229">
        <f t="shared" si="169"/>
        <v>5</v>
      </c>
      <c r="CK111" s="230">
        <v>13.5</v>
      </c>
      <c r="CL111" s="231">
        <v>6.5</v>
      </c>
      <c r="CM111" s="285"/>
      <c r="CN111" s="228">
        <f t="shared" si="170"/>
        <v>10</v>
      </c>
      <c r="CO111" s="229">
        <f t="shared" si="171"/>
        <v>5</v>
      </c>
      <c r="CP111" s="232">
        <f t="shared" si="172"/>
        <v>12.9375</v>
      </c>
      <c r="CQ111" s="233">
        <f t="shared" si="173"/>
        <v>10</v>
      </c>
      <c r="CR111" s="230">
        <v>7</v>
      </c>
      <c r="CS111" s="231">
        <v>1.75</v>
      </c>
      <c r="CT111" s="285"/>
      <c r="CU111" s="228">
        <f t="shared" si="174"/>
        <v>4.375</v>
      </c>
      <c r="CV111" s="229">
        <f t="shared" si="175"/>
        <v>0</v>
      </c>
      <c r="CW111" s="232">
        <f t="shared" si="176"/>
        <v>4.375</v>
      </c>
      <c r="CX111" s="233">
        <f t="shared" si="177"/>
        <v>0</v>
      </c>
      <c r="CY111" s="231">
        <v>15</v>
      </c>
      <c r="CZ111" s="285"/>
      <c r="DA111" s="234">
        <f t="shared" si="178"/>
        <v>15</v>
      </c>
      <c r="DB111" s="235">
        <f t="shared" si="179"/>
        <v>1</v>
      </c>
      <c r="DC111" s="232">
        <f t="shared" si="180"/>
        <v>15</v>
      </c>
      <c r="DD111" s="233">
        <f t="shared" si="181"/>
        <v>1</v>
      </c>
      <c r="DE111" s="65">
        <f t="shared" si="182"/>
        <v>10.635416666666666</v>
      </c>
      <c r="DF111" s="66">
        <f t="shared" si="183"/>
        <v>30</v>
      </c>
      <c r="DG111" s="31">
        <f t="shared" si="123"/>
        <v>9.6428571428571423</v>
      </c>
      <c r="DH111" s="32">
        <f t="shared" si="124"/>
        <v>30</v>
      </c>
      <c r="DI111" s="33">
        <f t="shared" si="125"/>
        <v>10.635416666666666</v>
      </c>
      <c r="DJ111" s="34">
        <f t="shared" si="126"/>
        <v>30</v>
      </c>
      <c r="DK111" s="67">
        <f t="shared" si="127"/>
        <v>10.139136904761905</v>
      </c>
      <c r="DL111" s="35">
        <f t="shared" si="128"/>
        <v>60</v>
      </c>
      <c r="DM111" s="59">
        <f t="shared" si="129"/>
        <v>120</v>
      </c>
      <c r="DN111" s="43" t="str">
        <f t="shared" si="185"/>
        <v>ناجح(ة) دورة2</v>
      </c>
      <c r="DO111" s="44"/>
      <c r="DP111" s="50"/>
      <c r="DQ111" s="46"/>
    </row>
    <row r="112" spans="1:121" s="37" customFormat="1" ht="32.25" customHeight="1" thickBot="1">
      <c r="A112" s="49"/>
      <c r="B112" s="1">
        <f t="shared" si="184"/>
        <v>11</v>
      </c>
      <c r="C112" s="249" t="s">
        <v>254</v>
      </c>
      <c r="D112" s="249" t="s">
        <v>255</v>
      </c>
      <c r="E112" s="47" t="s">
        <v>440</v>
      </c>
      <c r="F112" s="135">
        <v>35622</v>
      </c>
      <c r="G112" s="136" t="s">
        <v>411</v>
      </c>
      <c r="H112" s="131">
        <v>8.7100000000000009</v>
      </c>
      <c r="I112" s="132">
        <v>15</v>
      </c>
      <c r="J112" s="133">
        <v>9.02</v>
      </c>
      <c r="K112" s="134">
        <v>15</v>
      </c>
      <c r="L112" s="53">
        <f t="shared" si="130"/>
        <v>8.8650000000000002</v>
      </c>
      <c r="M112" s="58">
        <f t="shared" si="131"/>
        <v>30</v>
      </c>
      <c r="N112" s="222"/>
      <c r="O112" s="223"/>
      <c r="P112" s="140"/>
      <c r="Q112" s="228">
        <f t="shared" si="132"/>
        <v>0</v>
      </c>
      <c r="R112" s="229">
        <f t="shared" si="133"/>
        <v>0</v>
      </c>
      <c r="S112" s="241"/>
      <c r="T112" s="242"/>
      <c r="U112" s="285"/>
      <c r="V112" s="228">
        <f t="shared" si="134"/>
        <v>0</v>
      </c>
      <c r="W112" s="229">
        <f t="shared" si="135"/>
        <v>0</v>
      </c>
      <c r="X112" s="241">
        <v>0</v>
      </c>
      <c r="Y112" s="242"/>
      <c r="Z112" s="285"/>
      <c r="AA112" s="228">
        <f t="shared" si="136"/>
        <v>0</v>
      </c>
      <c r="AB112" s="229">
        <f t="shared" si="137"/>
        <v>0</v>
      </c>
      <c r="AC112" s="232">
        <f t="shared" si="138"/>
        <v>0</v>
      </c>
      <c r="AD112" s="233">
        <f t="shared" si="139"/>
        <v>0</v>
      </c>
      <c r="AE112" s="248"/>
      <c r="AF112" s="285"/>
      <c r="AG112" s="234">
        <f t="shared" si="140"/>
        <v>0</v>
      </c>
      <c r="AH112" s="235">
        <f t="shared" si="141"/>
        <v>0</v>
      </c>
      <c r="AI112" s="247"/>
      <c r="AJ112" s="248"/>
      <c r="AK112" s="285"/>
      <c r="AL112" s="228">
        <f t="shared" si="142"/>
        <v>0</v>
      </c>
      <c r="AM112" s="229">
        <f t="shared" si="143"/>
        <v>0</v>
      </c>
      <c r="AN112" s="247"/>
      <c r="AO112" s="248"/>
      <c r="AP112" s="285"/>
      <c r="AQ112" s="228">
        <f t="shared" si="144"/>
        <v>0</v>
      </c>
      <c r="AR112" s="229">
        <f t="shared" si="145"/>
        <v>0</v>
      </c>
      <c r="AS112" s="236">
        <f t="shared" si="146"/>
        <v>0</v>
      </c>
      <c r="AT112" s="237">
        <f t="shared" si="147"/>
        <v>0</v>
      </c>
      <c r="AU112" s="247"/>
      <c r="AV112" s="248"/>
      <c r="AW112" s="285"/>
      <c r="AX112" s="228">
        <f t="shared" si="148"/>
        <v>0</v>
      </c>
      <c r="AY112" s="229">
        <f t="shared" si="149"/>
        <v>0</v>
      </c>
      <c r="AZ112" s="248"/>
      <c r="BA112" s="285"/>
      <c r="BB112" s="234">
        <f t="shared" si="150"/>
        <v>0</v>
      </c>
      <c r="BC112" s="235">
        <f t="shared" si="151"/>
        <v>0</v>
      </c>
      <c r="BD112" s="236">
        <f t="shared" si="152"/>
        <v>0</v>
      </c>
      <c r="BE112" s="237">
        <f t="shared" si="153"/>
        <v>0</v>
      </c>
      <c r="BF112" s="241"/>
      <c r="BG112" s="242"/>
      <c r="BH112" s="285"/>
      <c r="BI112" s="228">
        <f t="shared" si="154"/>
        <v>0</v>
      </c>
      <c r="BJ112" s="229">
        <f t="shared" si="155"/>
        <v>0</v>
      </c>
      <c r="BK112" s="236">
        <f t="shared" si="156"/>
        <v>0</v>
      </c>
      <c r="BL112" s="237">
        <f t="shared" si="157"/>
        <v>0</v>
      </c>
      <c r="BM112" s="239">
        <f t="shared" si="158"/>
        <v>0</v>
      </c>
      <c r="BN112" s="240">
        <f t="shared" si="159"/>
        <v>0</v>
      </c>
      <c r="BO112" s="273"/>
      <c r="BP112" s="274"/>
      <c r="BQ112" s="140"/>
      <c r="BR112" s="228">
        <f t="shared" si="160"/>
        <v>0</v>
      </c>
      <c r="BS112" s="229">
        <f t="shared" si="161"/>
        <v>0</v>
      </c>
      <c r="BT112" s="282"/>
      <c r="BU112" s="283"/>
      <c r="BV112" s="285"/>
      <c r="BW112" s="228">
        <f t="shared" si="162"/>
        <v>0</v>
      </c>
      <c r="BX112" s="229">
        <f t="shared" si="163"/>
        <v>0</v>
      </c>
      <c r="BY112" s="282"/>
      <c r="BZ112" s="283"/>
      <c r="CA112" s="285"/>
      <c r="CB112" s="228">
        <f t="shared" si="164"/>
        <v>0</v>
      </c>
      <c r="CC112" s="229">
        <f t="shared" si="165"/>
        <v>0</v>
      </c>
      <c r="CD112" s="297">
        <f t="shared" si="166"/>
        <v>0</v>
      </c>
      <c r="CE112" s="233">
        <f t="shared" si="167"/>
        <v>0</v>
      </c>
      <c r="CF112" s="282">
        <v>0</v>
      </c>
      <c r="CG112" s="283"/>
      <c r="CH112" s="285"/>
      <c r="CI112" s="228">
        <f t="shared" si="168"/>
        <v>0</v>
      </c>
      <c r="CJ112" s="229">
        <f t="shared" si="169"/>
        <v>0</v>
      </c>
      <c r="CK112" s="298"/>
      <c r="CL112" s="299"/>
      <c r="CM112" s="285"/>
      <c r="CN112" s="228">
        <f t="shared" si="170"/>
        <v>0</v>
      </c>
      <c r="CO112" s="229">
        <f t="shared" si="171"/>
        <v>0</v>
      </c>
      <c r="CP112" s="232">
        <f t="shared" si="172"/>
        <v>0</v>
      </c>
      <c r="CQ112" s="233">
        <f t="shared" si="173"/>
        <v>0</v>
      </c>
      <c r="CR112" s="298"/>
      <c r="CS112" s="299"/>
      <c r="CT112" s="285"/>
      <c r="CU112" s="228">
        <f t="shared" si="174"/>
        <v>0</v>
      </c>
      <c r="CV112" s="229">
        <f t="shared" si="175"/>
        <v>0</v>
      </c>
      <c r="CW112" s="232">
        <f t="shared" si="176"/>
        <v>0</v>
      </c>
      <c r="CX112" s="233">
        <f t="shared" si="177"/>
        <v>0</v>
      </c>
      <c r="CY112" s="299"/>
      <c r="CZ112" s="285"/>
      <c r="DA112" s="234">
        <f t="shared" si="178"/>
        <v>0</v>
      </c>
      <c r="DB112" s="235">
        <f t="shared" si="179"/>
        <v>0</v>
      </c>
      <c r="DC112" s="232">
        <f t="shared" si="180"/>
        <v>0</v>
      </c>
      <c r="DD112" s="233">
        <f t="shared" si="181"/>
        <v>0</v>
      </c>
      <c r="DE112" s="65">
        <f t="shared" si="182"/>
        <v>0</v>
      </c>
      <c r="DF112" s="66">
        <f t="shared" si="183"/>
        <v>0</v>
      </c>
      <c r="DG112" s="31">
        <f t="shared" si="123"/>
        <v>0</v>
      </c>
      <c r="DH112" s="32">
        <f t="shared" si="124"/>
        <v>0</v>
      </c>
      <c r="DI112" s="33">
        <f t="shared" si="125"/>
        <v>0</v>
      </c>
      <c r="DJ112" s="34">
        <f t="shared" si="126"/>
        <v>0</v>
      </c>
      <c r="DK112" s="67">
        <f t="shared" si="127"/>
        <v>0</v>
      </c>
      <c r="DL112" s="35">
        <f t="shared" si="128"/>
        <v>0</v>
      </c>
      <c r="DM112" s="59">
        <f t="shared" si="129"/>
        <v>30</v>
      </c>
      <c r="DN112" s="43" t="s">
        <v>507</v>
      </c>
      <c r="DO112" s="44"/>
      <c r="DP112" s="51"/>
      <c r="DQ112" s="46"/>
    </row>
    <row r="113" spans="1:121" s="37" customFormat="1" ht="32.25" customHeight="1" thickBot="1">
      <c r="A113" s="49"/>
      <c r="B113" s="1">
        <f t="shared" si="184"/>
        <v>12</v>
      </c>
      <c r="C113" s="249" t="s">
        <v>256</v>
      </c>
      <c r="D113" s="249" t="s">
        <v>257</v>
      </c>
      <c r="E113" s="47" t="s">
        <v>441</v>
      </c>
      <c r="F113" s="135">
        <v>34719</v>
      </c>
      <c r="G113" s="52" t="s">
        <v>442</v>
      </c>
      <c r="H113" s="131">
        <v>8.23</v>
      </c>
      <c r="I113" s="132">
        <v>16</v>
      </c>
      <c r="J113" s="133">
        <v>7.82</v>
      </c>
      <c r="K113" s="134">
        <v>14</v>
      </c>
      <c r="L113" s="53">
        <f t="shared" si="130"/>
        <v>8.0250000000000004</v>
      </c>
      <c r="M113" s="58">
        <f t="shared" si="131"/>
        <v>30</v>
      </c>
      <c r="N113" s="222"/>
      <c r="O113" s="223">
        <v>0</v>
      </c>
      <c r="P113" s="140"/>
      <c r="Q113" s="228">
        <f t="shared" si="132"/>
        <v>0</v>
      </c>
      <c r="R113" s="229">
        <f t="shared" si="133"/>
        <v>0</v>
      </c>
      <c r="S113" s="241">
        <v>10</v>
      </c>
      <c r="T113" s="242">
        <v>0</v>
      </c>
      <c r="U113" s="285"/>
      <c r="V113" s="228">
        <f t="shared" si="134"/>
        <v>5</v>
      </c>
      <c r="W113" s="229">
        <f t="shared" si="135"/>
        <v>0</v>
      </c>
      <c r="X113" s="241">
        <v>10</v>
      </c>
      <c r="Y113" s="242">
        <v>2.25</v>
      </c>
      <c r="Z113" s="285"/>
      <c r="AA113" s="228">
        <f t="shared" si="136"/>
        <v>6.125</v>
      </c>
      <c r="AB113" s="229">
        <f t="shared" si="137"/>
        <v>0</v>
      </c>
      <c r="AC113" s="232">
        <f t="shared" si="138"/>
        <v>3.7083333333333335</v>
      </c>
      <c r="AD113" s="233">
        <f t="shared" si="139"/>
        <v>0</v>
      </c>
      <c r="AE113" s="242">
        <v>9</v>
      </c>
      <c r="AF113" s="285"/>
      <c r="AG113" s="234">
        <f t="shared" si="140"/>
        <v>9</v>
      </c>
      <c r="AH113" s="235">
        <f t="shared" si="141"/>
        <v>0</v>
      </c>
      <c r="AI113" s="241">
        <v>0</v>
      </c>
      <c r="AJ113" s="242"/>
      <c r="AK113" s="285"/>
      <c r="AL113" s="228">
        <f t="shared" si="142"/>
        <v>0</v>
      </c>
      <c r="AM113" s="229">
        <f t="shared" si="143"/>
        <v>0</v>
      </c>
      <c r="AN113" s="241">
        <v>7</v>
      </c>
      <c r="AO113" s="242"/>
      <c r="AP113" s="285"/>
      <c r="AQ113" s="228">
        <f t="shared" si="144"/>
        <v>3.5</v>
      </c>
      <c r="AR113" s="229">
        <f t="shared" si="145"/>
        <v>0</v>
      </c>
      <c r="AS113" s="236">
        <f t="shared" si="146"/>
        <v>3.2</v>
      </c>
      <c r="AT113" s="237">
        <f t="shared" si="147"/>
        <v>0</v>
      </c>
      <c r="AU113" s="241">
        <v>9</v>
      </c>
      <c r="AV113" s="242">
        <v>0</v>
      </c>
      <c r="AW113" s="285"/>
      <c r="AX113" s="228">
        <f t="shared" si="148"/>
        <v>4.5</v>
      </c>
      <c r="AY113" s="229">
        <f t="shared" si="149"/>
        <v>0</v>
      </c>
      <c r="AZ113" s="242">
        <v>0</v>
      </c>
      <c r="BA113" s="285"/>
      <c r="BB113" s="234">
        <f t="shared" si="150"/>
        <v>0</v>
      </c>
      <c r="BC113" s="235">
        <f t="shared" si="151"/>
        <v>0</v>
      </c>
      <c r="BD113" s="236">
        <f t="shared" si="152"/>
        <v>2.25</v>
      </c>
      <c r="BE113" s="237">
        <f t="shared" si="153"/>
        <v>0</v>
      </c>
      <c r="BF113" s="241">
        <v>12.5</v>
      </c>
      <c r="BG113" s="242">
        <v>10</v>
      </c>
      <c r="BH113" s="285"/>
      <c r="BI113" s="228">
        <f t="shared" si="154"/>
        <v>11.25</v>
      </c>
      <c r="BJ113" s="229">
        <f t="shared" si="155"/>
        <v>1</v>
      </c>
      <c r="BK113" s="236">
        <f t="shared" si="156"/>
        <v>11.25</v>
      </c>
      <c r="BL113" s="237">
        <f t="shared" si="157"/>
        <v>1</v>
      </c>
      <c r="BM113" s="239">
        <f t="shared" si="158"/>
        <v>3.8571428571428572</v>
      </c>
      <c r="BN113" s="240">
        <f t="shared" si="159"/>
        <v>1</v>
      </c>
      <c r="BO113" s="271">
        <v>10.25</v>
      </c>
      <c r="BP113" s="274"/>
      <c r="BQ113" s="140"/>
      <c r="BR113" s="228">
        <f t="shared" si="160"/>
        <v>5.125</v>
      </c>
      <c r="BS113" s="229">
        <f t="shared" si="161"/>
        <v>0</v>
      </c>
      <c r="BT113" s="241">
        <v>12.5</v>
      </c>
      <c r="BU113" s="242">
        <v>9</v>
      </c>
      <c r="BV113" s="285"/>
      <c r="BW113" s="228">
        <f t="shared" si="162"/>
        <v>10.75</v>
      </c>
      <c r="BX113" s="229">
        <f t="shared" si="163"/>
        <v>6</v>
      </c>
      <c r="BY113" s="241">
        <v>5</v>
      </c>
      <c r="BZ113" s="242">
        <v>0</v>
      </c>
      <c r="CA113" s="285"/>
      <c r="CB113" s="228">
        <f t="shared" si="164"/>
        <v>2.5</v>
      </c>
      <c r="CC113" s="229">
        <f t="shared" si="165"/>
        <v>0</v>
      </c>
      <c r="CD113" s="297">
        <f t="shared" si="166"/>
        <v>6.85</v>
      </c>
      <c r="CE113" s="233">
        <f t="shared" si="167"/>
        <v>6</v>
      </c>
      <c r="CF113" s="241">
        <v>0</v>
      </c>
      <c r="CG113" s="242">
        <v>0</v>
      </c>
      <c r="CH113" s="285"/>
      <c r="CI113" s="228">
        <f t="shared" si="168"/>
        <v>0</v>
      </c>
      <c r="CJ113" s="229">
        <f t="shared" si="169"/>
        <v>0</v>
      </c>
      <c r="CK113" s="230">
        <v>4</v>
      </c>
      <c r="CL113" s="231">
        <v>0</v>
      </c>
      <c r="CM113" s="285"/>
      <c r="CN113" s="228">
        <f t="shared" si="170"/>
        <v>2</v>
      </c>
      <c r="CO113" s="229">
        <f t="shared" si="171"/>
        <v>0</v>
      </c>
      <c r="CP113" s="232">
        <f t="shared" si="172"/>
        <v>1</v>
      </c>
      <c r="CQ113" s="233">
        <f t="shared" si="173"/>
        <v>0</v>
      </c>
      <c r="CR113" s="230">
        <v>5.5</v>
      </c>
      <c r="CS113" s="231">
        <v>0</v>
      </c>
      <c r="CT113" s="285"/>
      <c r="CU113" s="228">
        <f t="shared" si="174"/>
        <v>2.75</v>
      </c>
      <c r="CV113" s="229">
        <f t="shared" si="175"/>
        <v>0</v>
      </c>
      <c r="CW113" s="232">
        <f t="shared" si="176"/>
        <v>2.75</v>
      </c>
      <c r="CX113" s="233">
        <f t="shared" si="177"/>
        <v>0</v>
      </c>
      <c r="CY113" s="231">
        <v>0</v>
      </c>
      <c r="CZ113" s="285"/>
      <c r="DA113" s="234">
        <f t="shared" si="178"/>
        <v>0</v>
      </c>
      <c r="DB113" s="235">
        <f t="shared" si="179"/>
        <v>0</v>
      </c>
      <c r="DC113" s="232">
        <f t="shared" si="180"/>
        <v>0</v>
      </c>
      <c r="DD113" s="233">
        <f t="shared" si="181"/>
        <v>0</v>
      </c>
      <c r="DE113" s="65">
        <f t="shared" si="182"/>
        <v>3.6458333333333335</v>
      </c>
      <c r="DF113" s="66">
        <f t="shared" si="183"/>
        <v>6</v>
      </c>
      <c r="DG113" s="31">
        <f t="shared" si="123"/>
        <v>3.8571428571428572</v>
      </c>
      <c r="DH113" s="32">
        <f t="shared" si="124"/>
        <v>1</v>
      </c>
      <c r="DI113" s="33">
        <f t="shared" si="125"/>
        <v>3.6458333333333335</v>
      </c>
      <c r="DJ113" s="34">
        <f t="shared" si="126"/>
        <v>6</v>
      </c>
      <c r="DK113" s="67">
        <f t="shared" si="127"/>
        <v>3.7514880952380953</v>
      </c>
      <c r="DL113" s="35">
        <f t="shared" si="128"/>
        <v>7</v>
      </c>
      <c r="DM113" s="59">
        <f t="shared" si="129"/>
        <v>37</v>
      </c>
      <c r="DN113" s="43" t="str">
        <f t="shared" si="185"/>
        <v>راسب(ة)</v>
      </c>
      <c r="DO113" s="44"/>
      <c r="DP113" s="50"/>
      <c r="DQ113" s="46"/>
    </row>
    <row r="114" spans="1:121" s="37" customFormat="1" ht="32.25" customHeight="1" thickBot="1">
      <c r="A114" s="49"/>
      <c r="B114" s="1">
        <f t="shared" si="184"/>
        <v>13</v>
      </c>
      <c r="C114" s="249" t="s">
        <v>258</v>
      </c>
      <c r="D114" s="249" t="s">
        <v>259</v>
      </c>
      <c r="E114" s="47" t="s">
        <v>443</v>
      </c>
      <c r="F114" s="135">
        <v>35568</v>
      </c>
      <c r="G114" s="136" t="s">
        <v>110</v>
      </c>
      <c r="H114" s="131">
        <v>9.3800000000000008</v>
      </c>
      <c r="I114" s="132">
        <v>16</v>
      </c>
      <c r="J114" s="133">
        <v>9.2200000000000006</v>
      </c>
      <c r="K114" s="134">
        <v>16</v>
      </c>
      <c r="L114" s="53">
        <f t="shared" si="130"/>
        <v>9.3000000000000007</v>
      </c>
      <c r="M114" s="58">
        <v>36</v>
      </c>
      <c r="N114" s="222">
        <v>13</v>
      </c>
      <c r="O114" s="223">
        <v>11</v>
      </c>
      <c r="P114" s="140"/>
      <c r="Q114" s="228">
        <f t="shared" si="132"/>
        <v>12</v>
      </c>
      <c r="R114" s="229">
        <f t="shared" si="133"/>
        <v>5</v>
      </c>
      <c r="S114" s="241">
        <v>12.5</v>
      </c>
      <c r="T114" s="242">
        <v>7.5</v>
      </c>
      <c r="U114" s="285"/>
      <c r="V114" s="228">
        <f t="shared" si="134"/>
        <v>10</v>
      </c>
      <c r="W114" s="229">
        <f t="shared" si="135"/>
        <v>6</v>
      </c>
      <c r="X114" s="241">
        <v>15</v>
      </c>
      <c r="Y114" s="242">
        <v>5</v>
      </c>
      <c r="Z114" s="285"/>
      <c r="AA114" s="228">
        <f t="shared" si="136"/>
        <v>10</v>
      </c>
      <c r="AB114" s="229">
        <f t="shared" si="137"/>
        <v>6</v>
      </c>
      <c r="AC114" s="232">
        <f t="shared" si="138"/>
        <v>10.666666666666666</v>
      </c>
      <c r="AD114" s="233">
        <f t="shared" si="139"/>
        <v>17</v>
      </c>
      <c r="AE114" s="242">
        <v>10</v>
      </c>
      <c r="AF114" s="285"/>
      <c r="AG114" s="234">
        <f t="shared" si="140"/>
        <v>10</v>
      </c>
      <c r="AH114" s="235">
        <f t="shared" si="141"/>
        <v>1</v>
      </c>
      <c r="AI114" s="241">
        <v>10.5</v>
      </c>
      <c r="AJ114" s="242">
        <v>7</v>
      </c>
      <c r="AK114" s="285">
        <v>10.5</v>
      </c>
      <c r="AL114" s="228">
        <f t="shared" si="142"/>
        <v>10.5</v>
      </c>
      <c r="AM114" s="229">
        <f t="shared" si="143"/>
        <v>3</v>
      </c>
      <c r="AN114" s="241">
        <v>8</v>
      </c>
      <c r="AO114" s="242">
        <v>2.5</v>
      </c>
      <c r="AP114" s="285">
        <v>4</v>
      </c>
      <c r="AQ114" s="228">
        <f t="shared" si="144"/>
        <v>6</v>
      </c>
      <c r="AR114" s="229">
        <f t="shared" si="145"/>
        <v>0</v>
      </c>
      <c r="AS114" s="236">
        <f t="shared" si="146"/>
        <v>8.6</v>
      </c>
      <c r="AT114" s="237">
        <f t="shared" si="147"/>
        <v>4</v>
      </c>
      <c r="AU114" s="241">
        <v>10</v>
      </c>
      <c r="AV114" s="242">
        <v>11</v>
      </c>
      <c r="AW114" s="285"/>
      <c r="AX114" s="228">
        <f t="shared" si="148"/>
        <v>10.5</v>
      </c>
      <c r="AY114" s="229">
        <f t="shared" si="149"/>
        <v>4</v>
      </c>
      <c r="AZ114" s="242">
        <v>6</v>
      </c>
      <c r="BA114" s="285">
        <v>13.5</v>
      </c>
      <c r="BB114" s="234">
        <f t="shared" si="150"/>
        <v>13.5</v>
      </c>
      <c r="BC114" s="235">
        <f t="shared" si="151"/>
        <v>1</v>
      </c>
      <c r="BD114" s="236">
        <f t="shared" si="152"/>
        <v>12</v>
      </c>
      <c r="BE114" s="237">
        <f t="shared" si="153"/>
        <v>5</v>
      </c>
      <c r="BF114" s="241">
        <v>10</v>
      </c>
      <c r="BG114" s="242">
        <v>5.5</v>
      </c>
      <c r="BH114" s="285">
        <v>8.25</v>
      </c>
      <c r="BI114" s="228">
        <f t="shared" si="154"/>
        <v>9.125</v>
      </c>
      <c r="BJ114" s="229">
        <f t="shared" si="155"/>
        <v>0</v>
      </c>
      <c r="BK114" s="236">
        <f t="shared" si="156"/>
        <v>9.125</v>
      </c>
      <c r="BL114" s="237">
        <f t="shared" si="157"/>
        <v>0</v>
      </c>
      <c r="BM114" s="239">
        <f t="shared" si="158"/>
        <v>10.008928571428571</v>
      </c>
      <c r="BN114" s="240">
        <f t="shared" si="159"/>
        <v>30</v>
      </c>
      <c r="BO114" s="271">
        <v>15</v>
      </c>
      <c r="BP114" s="272">
        <v>4.25</v>
      </c>
      <c r="BQ114" s="140"/>
      <c r="BR114" s="228">
        <f t="shared" si="160"/>
        <v>9.625</v>
      </c>
      <c r="BS114" s="229">
        <f t="shared" si="161"/>
        <v>0</v>
      </c>
      <c r="BT114" s="241">
        <v>17</v>
      </c>
      <c r="BU114" s="242">
        <v>9.5</v>
      </c>
      <c r="BV114" s="285"/>
      <c r="BW114" s="228">
        <f t="shared" si="162"/>
        <v>13.25</v>
      </c>
      <c r="BX114" s="229">
        <f t="shared" si="163"/>
        <v>6</v>
      </c>
      <c r="BY114" s="241">
        <v>14.5</v>
      </c>
      <c r="BZ114" s="242">
        <v>5.75</v>
      </c>
      <c r="CA114" s="285"/>
      <c r="CB114" s="228">
        <f t="shared" si="164"/>
        <v>10.125</v>
      </c>
      <c r="CC114" s="229">
        <f t="shared" si="165"/>
        <v>4</v>
      </c>
      <c r="CD114" s="297">
        <f t="shared" si="166"/>
        <v>11.175000000000001</v>
      </c>
      <c r="CE114" s="233">
        <f t="shared" si="167"/>
        <v>16</v>
      </c>
      <c r="CF114" s="241">
        <v>13</v>
      </c>
      <c r="CG114" s="242">
        <v>11</v>
      </c>
      <c r="CH114" s="285"/>
      <c r="CI114" s="228">
        <f t="shared" si="168"/>
        <v>12</v>
      </c>
      <c r="CJ114" s="229">
        <f t="shared" si="169"/>
        <v>5</v>
      </c>
      <c r="CK114" s="230">
        <v>14.5</v>
      </c>
      <c r="CL114" s="231">
        <v>6</v>
      </c>
      <c r="CM114" s="285"/>
      <c r="CN114" s="228">
        <f t="shared" si="170"/>
        <v>10.25</v>
      </c>
      <c r="CO114" s="229">
        <f t="shared" si="171"/>
        <v>5</v>
      </c>
      <c r="CP114" s="232">
        <f t="shared" si="172"/>
        <v>11.125</v>
      </c>
      <c r="CQ114" s="233">
        <f t="shared" si="173"/>
        <v>10</v>
      </c>
      <c r="CR114" s="230">
        <v>10.5</v>
      </c>
      <c r="CS114" s="231">
        <v>3.75</v>
      </c>
      <c r="CT114" s="285"/>
      <c r="CU114" s="228">
        <f t="shared" si="174"/>
        <v>7.125</v>
      </c>
      <c r="CV114" s="229">
        <f t="shared" si="175"/>
        <v>0</v>
      </c>
      <c r="CW114" s="232">
        <f t="shared" si="176"/>
        <v>7.125</v>
      </c>
      <c r="CX114" s="233">
        <f t="shared" si="177"/>
        <v>0</v>
      </c>
      <c r="CY114" s="231">
        <v>7</v>
      </c>
      <c r="CZ114" s="285"/>
      <c r="DA114" s="234">
        <f t="shared" si="178"/>
        <v>7</v>
      </c>
      <c r="DB114" s="235">
        <f t="shared" si="179"/>
        <v>0</v>
      </c>
      <c r="DC114" s="232">
        <f t="shared" si="180"/>
        <v>7</v>
      </c>
      <c r="DD114" s="233">
        <f t="shared" si="181"/>
        <v>0</v>
      </c>
      <c r="DE114" s="65">
        <f t="shared" si="182"/>
        <v>10.135416666666666</v>
      </c>
      <c r="DF114" s="66">
        <f t="shared" si="183"/>
        <v>30</v>
      </c>
      <c r="DG114" s="31">
        <f t="shared" si="123"/>
        <v>10.008928571428571</v>
      </c>
      <c r="DH114" s="32">
        <f t="shared" si="124"/>
        <v>30</v>
      </c>
      <c r="DI114" s="33">
        <f t="shared" si="125"/>
        <v>10.135416666666666</v>
      </c>
      <c r="DJ114" s="34">
        <f t="shared" si="126"/>
        <v>30</v>
      </c>
      <c r="DK114" s="67">
        <f t="shared" si="127"/>
        <v>10.072172619047619</v>
      </c>
      <c r="DL114" s="35">
        <f t="shared" si="128"/>
        <v>60</v>
      </c>
      <c r="DM114" s="59">
        <f t="shared" si="129"/>
        <v>96</v>
      </c>
      <c r="DN114" s="43" t="str">
        <f t="shared" si="185"/>
        <v>ناجح(ة)بتأخير</v>
      </c>
      <c r="DO114" s="44"/>
      <c r="DP114" s="50"/>
      <c r="DQ114" s="46"/>
    </row>
    <row r="115" spans="1:121" s="37" customFormat="1" ht="32.25" customHeight="1" thickBot="1">
      <c r="A115" s="49"/>
      <c r="B115" s="1">
        <f t="shared" si="184"/>
        <v>14</v>
      </c>
      <c r="C115" s="249" t="s">
        <v>260</v>
      </c>
      <c r="D115" s="249" t="s">
        <v>261</v>
      </c>
      <c r="E115" s="47" t="s">
        <v>444</v>
      </c>
      <c r="F115" s="135">
        <v>34646</v>
      </c>
      <c r="G115" s="136" t="s">
        <v>110</v>
      </c>
      <c r="H115" s="131">
        <v>8.77</v>
      </c>
      <c r="I115" s="132">
        <v>20</v>
      </c>
      <c r="J115" s="133">
        <v>7.83</v>
      </c>
      <c r="K115" s="134">
        <v>16</v>
      </c>
      <c r="L115" s="53">
        <f t="shared" si="130"/>
        <v>8.3000000000000007</v>
      </c>
      <c r="M115" s="58">
        <f t="shared" si="131"/>
        <v>36</v>
      </c>
      <c r="N115" s="222">
        <v>10.5</v>
      </c>
      <c r="O115" s="223">
        <v>10.5</v>
      </c>
      <c r="P115" s="140"/>
      <c r="Q115" s="228">
        <f t="shared" si="132"/>
        <v>10.5</v>
      </c>
      <c r="R115" s="229">
        <f t="shared" si="133"/>
        <v>5</v>
      </c>
      <c r="S115" s="241">
        <v>8.75</v>
      </c>
      <c r="T115" s="242">
        <v>8.75</v>
      </c>
      <c r="U115" s="285"/>
      <c r="V115" s="228">
        <f t="shared" si="134"/>
        <v>8.75</v>
      </c>
      <c r="W115" s="229">
        <f t="shared" si="135"/>
        <v>0</v>
      </c>
      <c r="X115" s="245">
        <v>12</v>
      </c>
      <c r="Y115" s="246">
        <v>12</v>
      </c>
      <c r="Z115" s="285"/>
      <c r="AA115" s="228">
        <f t="shared" si="136"/>
        <v>12</v>
      </c>
      <c r="AB115" s="229">
        <f t="shared" si="137"/>
        <v>6</v>
      </c>
      <c r="AC115" s="232">
        <f t="shared" si="138"/>
        <v>10.416666666666666</v>
      </c>
      <c r="AD115" s="233">
        <f t="shared" si="139"/>
        <v>17</v>
      </c>
      <c r="AE115" s="242">
        <v>11</v>
      </c>
      <c r="AF115" s="285"/>
      <c r="AG115" s="234">
        <f t="shared" si="140"/>
        <v>11</v>
      </c>
      <c r="AH115" s="235">
        <f t="shared" si="141"/>
        <v>1</v>
      </c>
      <c r="AI115" s="241">
        <v>10</v>
      </c>
      <c r="AJ115" s="242">
        <v>7</v>
      </c>
      <c r="AK115" s="285"/>
      <c r="AL115" s="228">
        <f t="shared" si="142"/>
        <v>8.5</v>
      </c>
      <c r="AM115" s="229">
        <f t="shared" si="143"/>
        <v>0</v>
      </c>
      <c r="AN115" s="241">
        <v>8</v>
      </c>
      <c r="AO115" s="242">
        <v>0</v>
      </c>
      <c r="AP115" s="285"/>
      <c r="AQ115" s="228">
        <f t="shared" si="144"/>
        <v>4</v>
      </c>
      <c r="AR115" s="229">
        <f t="shared" si="145"/>
        <v>0</v>
      </c>
      <c r="AS115" s="236">
        <f t="shared" si="146"/>
        <v>7.2</v>
      </c>
      <c r="AT115" s="237">
        <f t="shared" si="147"/>
        <v>1</v>
      </c>
      <c r="AU115" s="241">
        <v>2</v>
      </c>
      <c r="AV115" s="242">
        <v>2</v>
      </c>
      <c r="AW115" s="285">
        <v>9.75</v>
      </c>
      <c r="AX115" s="228">
        <f t="shared" si="148"/>
        <v>5.875</v>
      </c>
      <c r="AY115" s="229">
        <f t="shared" si="149"/>
        <v>0</v>
      </c>
      <c r="AZ115" s="242">
        <v>5.5</v>
      </c>
      <c r="BA115" s="285">
        <v>11.5</v>
      </c>
      <c r="BB115" s="234">
        <f t="shared" si="150"/>
        <v>11.5</v>
      </c>
      <c r="BC115" s="235">
        <f t="shared" si="151"/>
        <v>1</v>
      </c>
      <c r="BD115" s="236">
        <f t="shared" si="152"/>
        <v>8.6875</v>
      </c>
      <c r="BE115" s="237">
        <f t="shared" si="153"/>
        <v>1</v>
      </c>
      <c r="BF115" s="245">
        <v>16.5</v>
      </c>
      <c r="BG115" s="246">
        <v>16.5</v>
      </c>
      <c r="BH115" s="285"/>
      <c r="BI115" s="228">
        <f t="shared" si="154"/>
        <v>16.5</v>
      </c>
      <c r="BJ115" s="229">
        <f t="shared" si="155"/>
        <v>1</v>
      </c>
      <c r="BK115" s="236">
        <f t="shared" si="156"/>
        <v>16.5</v>
      </c>
      <c r="BL115" s="237">
        <f t="shared" si="157"/>
        <v>1</v>
      </c>
      <c r="BM115" s="239">
        <f t="shared" si="158"/>
        <v>9.4553571428571423</v>
      </c>
      <c r="BN115" s="240">
        <f t="shared" si="159"/>
        <v>20</v>
      </c>
      <c r="BO115" s="271">
        <v>12.25</v>
      </c>
      <c r="BP115" s="272">
        <v>6</v>
      </c>
      <c r="BQ115" s="140">
        <v>11.75</v>
      </c>
      <c r="BR115" s="228">
        <f t="shared" si="160"/>
        <v>12</v>
      </c>
      <c r="BS115" s="229">
        <f t="shared" si="161"/>
        <v>6</v>
      </c>
      <c r="BT115" s="241">
        <v>11</v>
      </c>
      <c r="BU115" s="242">
        <v>11</v>
      </c>
      <c r="BV115" s="285"/>
      <c r="BW115" s="228">
        <f t="shared" si="162"/>
        <v>11</v>
      </c>
      <c r="BX115" s="229">
        <f t="shared" si="163"/>
        <v>6</v>
      </c>
      <c r="BY115" s="241">
        <v>11</v>
      </c>
      <c r="BZ115" s="242">
        <v>1.25</v>
      </c>
      <c r="CA115" s="285">
        <v>8</v>
      </c>
      <c r="CB115" s="228">
        <f t="shared" si="164"/>
        <v>9.5</v>
      </c>
      <c r="CC115" s="229">
        <f t="shared" si="165"/>
        <v>0</v>
      </c>
      <c r="CD115" s="297">
        <f t="shared" si="166"/>
        <v>11.1</v>
      </c>
      <c r="CE115" s="233">
        <f t="shared" si="167"/>
        <v>16</v>
      </c>
      <c r="CF115" s="241">
        <v>10</v>
      </c>
      <c r="CG115" s="242">
        <v>10.75</v>
      </c>
      <c r="CH115" s="285"/>
      <c r="CI115" s="228">
        <f t="shared" si="168"/>
        <v>10.375</v>
      </c>
      <c r="CJ115" s="229">
        <f t="shared" si="169"/>
        <v>5</v>
      </c>
      <c r="CK115" s="230">
        <v>13</v>
      </c>
      <c r="CL115" s="231">
        <v>4</v>
      </c>
      <c r="CM115" s="285"/>
      <c r="CN115" s="228">
        <f t="shared" si="170"/>
        <v>8.5</v>
      </c>
      <c r="CO115" s="229">
        <f t="shared" si="171"/>
        <v>0</v>
      </c>
      <c r="CP115" s="232">
        <f t="shared" si="172"/>
        <v>9.4375</v>
      </c>
      <c r="CQ115" s="233">
        <f t="shared" si="173"/>
        <v>5</v>
      </c>
      <c r="CR115" s="230">
        <v>15.5</v>
      </c>
      <c r="CS115" s="231">
        <v>0.25</v>
      </c>
      <c r="CT115" s="285">
        <v>5</v>
      </c>
      <c r="CU115" s="228">
        <f t="shared" si="174"/>
        <v>10.25</v>
      </c>
      <c r="CV115" s="229">
        <f t="shared" si="175"/>
        <v>3</v>
      </c>
      <c r="CW115" s="232">
        <f t="shared" si="176"/>
        <v>10.25</v>
      </c>
      <c r="CX115" s="233">
        <f t="shared" si="177"/>
        <v>3</v>
      </c>
      <c r="CY115" s="231">
        <v>4</v>
      </c>
      <c r="CZ115" s="285">
        <v>13</v>
      </c>
      <c r="DA115" s="234">
        <f t="shared" si="178"/>
        <v>13</v>
      </c>
      <c r="DB115" s="235">
        <f t="shared" si="179"/>
        <v>1</v>
      </c>
      <c r="DC115" s="232">
        <f t="shared" si="180"/>
        <v>13</v>
      </c>
      <c r="DD115" s="233">
        <f t="shared" si="181"/>
        <v>1</v>
      </c>
      <c r="DE115" s="65">
        <f t="shared" si="182"/>
        <v>10.5625</v>
      </c>
      <c r="DF115" s="66">
        <f t="shared" si="183"/>
        <v>30</v>
      </c>
      <c r="DG115" s="31">
        <f t="shared" si="123"/>
        <v>9.4553571428571423</v>
      </c>
      <c r="DH115" s="32">
        <f t="shared" si="124"/>
        <v>30</v>
      </c>
      <c r="DI115" s="33">
        <f t="shared" si="125"/>
        <v>10.5625</v>
      </c>
      <c r="DJ115" s="34">
        <f t="shared" si="126"/>
        <v>30</v>
      </c>
      <c r="DK115" s="67">
        <f t="shared" si="127"/>
        <v>10.008928571428571</v>
      </c>
      <c r="DL115" s="35">
        <f t="shared" si="128"/>
        <v>60</v>
      </c>
      <c r="DM115" s="59">
        <f t="shared" si="129"/>
        <v>96</v>
      </c>
      <c r="DN115" s="43" t="str">
        <f t="shared" si="185"/>
        <v>ناجح(ة)بتأخير</v>
      </c>
      <c r="DO115" s="44"/>
      <c r="DP115" s="50"/>
      <c r="DQ115" s="46"/>
    </row>
    <row r="116" spans="1:121" s="37" customFormat="1" ht="32.25" customHeight="1" thickBot="1">
      <c r="A116" s="49"/>
      <c r="B116" s="1">
        <f t="shared" si="184"/>
        <v>15</v>
      </c>
      <c r="C116" s="249" t="s">
        <v>262</v>
      </c>
      <c r="D116" s="249" t="s">
        <v>263</v>
      </c>
      <c r="E116" s="47" t="s">
        <v>445</v>
      </c>
      <c r="F116" s="135">
        <v>33693</v>
      </c>
      <c r="G116" s="136" t="s">
        <v>446</v>
      </c>
      <c r="H116" s="131">
        <v>7.19</v>
      </c>
      <c r="I116" s="132">
        <v>21</v>
      </c>
      <c r="J116" s="133">
        <v>4.83</v>
      </c>
      <c r="K116" s="134">
        <v>11</v>
      </c>
      <c r="L116" s="53">
        <f t="shared" si="130"/>
        <v>6.01</v>
      </c>
      <c r="M116" s="58">
        <f t="shared" si="131"/>
        <v>32</v>
      </c>
      <c r="N116" s="222">
        <v>12.5</v>
      </c>
      <c r="O116" s="223">
        <v>12.5</v>
      </c>
      <c r="P116" s="140"/>
      <c r="Q116" s="228">
        <f t="shared" si="132"/>
        <v>12.5</v>
      </c>
      <c r="R116" s="229">
        <f t="shared" si="133"/>
        <v>5</v>
      </c>
      <c r="S116" s="241">
        <v>11</v>
      </c>
      <c r="T116" s="242">
        <v>11</v>
      </c>
      <c r="U116" s="285"/>
      <c r="V116" s="228">
        <f t="shared" si="134"/>
        <v>11</v>
      </c>
      <c r="W116" s="229">
        <f t="shared" si="135"/>
        <v>6</v>
      </c>
      <c r="X116" s="245">
        <v>10</v>
      </c>
      <c r="Y116" s="246">
        <v>10</v>
      </c>
      <c r="Z116" s="285"/>
      <c r="AA116" s="228">
        <f t="shared" si="136"/>
        <v>10</v>
      </c>
      <c r="AB116" s="229">
        <f t="shared" si="137"/>
        <v>6</v>
      </c>
      <c r="AC116" s="232">
        <f t="shared" si="138"/>
        <v>11.166666666666666</v>
      </c>
      <c r="AD116" s="233">
        <f t="shared" si="139"/>
        <v>17</v>
      </c>
      <c r="AE116" s="242">
        <v>14</v>
      </c>
      <c r="AF116" s="285"/>
      <c r="AG116" s="234">
        <f t="shared" si="140"/>
        <v>14</v>
      </c>
      <c r="AH116" s="235">
        <f t="shared" si="141"/>
        <v>1</v>
      </c>
      <c r="AI116" s="247"/>
      <c r="AJ116" s="248"/>
      <c r="AK116" s="285"/>
      <c r="AL116" s="228">
        <f t="shared" si="142"/>
        <v>0</v>
      </c>
      <c r="AM116" s="229">
        <f t="shared" si="143"/>
        <v>0</v>
      </c>
      <c r="AN116" s="247"/>
      <c r="AO116" s="248"/>
      <c r="AP116" s="285"/>
      <c r="AQ116" s="228">
        <f t="shared" si="144"/>
        <v>0</v>
      </c>
      <c r="AR116" s="229">
        <f t="shared" si="145"/>
        <v>0</v>
      </c>
      <c r="AS116" s="236">
        <f t="shared" si="146"/>
        <v>2.8</v>
      </c>
      <c r="AT116" s="237">
        <f t="shared" si="147"/>
        <v>1</v>
      </c>
      <c r="AU116" s="245">
        <v>13.5</v>
      </c>
      <c r="AV116" s="242">
        <v>13.5</v>
      </c>
      <c r="AW116" s="285"/>
      <c r="AX116" s="228">
        <f t="shared" si="148"/>
        <v>13.5</v>
      </c>
      <c r="AY116" s="229">
        <f t="shared" si="149"/>
        <v>4</v>
      </c>
      <c r="AZ116" s="242">
        <v>0</v>
      </c>
      <c r="BA116" s="285"/>
      <c r="BB116" s="234">
        <f t="shared" si="150"/>
        <v>0</v>
      </c>
      <c r="BC116" s="235">
        <f t="shared" si="151"/>
        <v>0</v>
      </c>
      <c r="BD116" s="236">
        <f t="shared" si="152"/>
        <v>6.75</v>
      </c>
      <c r="BE116" s="237">
        <f t="shared" si="153"/>
        <v>4</v>
      </c>
      <c r="BF116" s="245">
        <v>10.25</v>
      </c>
      <c r="BG116" s="246">
        <v>10.25</v>
      </c>
      <c r="BH116" s="285"/>
      <c r="BI116" s="228">
        <f t="shared" si="154"/>
        <v>10.25</v>
      </c>
      <c r="BJ116" s="229">
        <f t="shared" si="155"/>
        <v>1</v>
      </c>
      <c r="BK116" s="236">
        <f t="shared" si="156"/>
        <v>10.25</v>
      </c>
      <c r="BL116" s="237">
        <f t="shared" si="157"/>
        <v>1</v>
      </c>
      <c r="BM116" s="239">
        <f t="shared" si="158"/>
        <v>7.4821428571428568</v>
      </c>
      <c r="BN116" s="240">
        <f t="shared" si="159"/>
        <v>23</v>
      </c>
      <c r="BO116" s="273"/>
      <c r="BP116" s="274"/>
      <c r="BQ116" s="140"/>
      <c r="BR116" s="228">
        <f t="shared" si="160"/>
        <v>0</v>
      </c>
      <c r="BS116" s="229">
        <f t="shared" si="161"/>
        <v>0</v>
      </c>
      <c r="BT116" s="241">
        <v>12.13</v>
      </c>
      <c r="BU116" s="242">
        <v>12.13</v>
      </c>
      <c r="BV116" s="285"/>
      <c r="BW116" s="228">
        <f t="shared" si="162"/>
        <v>12.13</v>
      </c>
      <c r="BX116" s="229">
        <f t="shared" si="163"/>
        <v>6</v>
      </c>
      <c r="BY116" s="282"/>
      <c r="BZ116" s="283"/>
      <c r="CA116" s="285"/>
      <c r="CB116" s="228">
        <f t="shared" si="164"/>
        <v>0</v>
      </c>
      <c r="CC116" s="229">
        <f t="shared" si="165"/>
        <v>0</v>
      </c>
      <c r="CD116" s="297">
        <f t="shared" si="166"/>
        <v>4.8520000000000003</v>
      </c>
      <c r="CE116" s="233">
        <f t="shared" si="167"/>
        <v>6</v>
      </c>
      <c r="CF116" s="282">
        <v>0</v>
      </c>
      <c r="CG116" s="283"/>
      <c r="CH116" s="285"/>
      <c r="CI116" s="228">
        <f t="shared" si="168"/>
        <v>0</v>
      </c>
      <c r="CJ116" s="229">
        <f t="shared" si="169"/>
        <v>0</v>
      </c>
      <c r="CK116" s="298"/>
      <c r="CL116" s="299"/>
      <c r="CM116" s="285"/>
      <c r="CN116" s="228">
        <f t="shared" si="170"/>
        <v>0</v>
      </c>
      <c r="CO116" s="229">
        <f t="shared" si="171"/>
        <v>0</v>
      </c>
      <c r="CP116" s="232">
        <f t="shared" si="172"/>
        <v>0</v>
      </c>
      <c r="CQ116" s="233">
        <f t="shared" si="173"/>
        <v>0</v>
      </c>
      <c r="CR116" s="298"/>
      <c r="CS116" s="299"/>
      <c r="CT116" s="285"/>
      <c r="CU116" s="228">
        <f t="shared" si="174"/>
        <v>0</v>
      </c>
      <c r="CV116" s="229">
        <f t="shared" si="175"/>
        <v>0</v>
      </c>
      <c r="CW116" s="232">
        <f t="shared" si="176"/>
        <v>0</v>
      </c>
      <c r="CX116" s="233">
        <f t="shared" si="177"/>
        <v>0</v>
      </c>
      <c r="CY116" s="299"/>
      <c r="CZ116" s="285"/>
      <c r="DA116" s="234">
        <f t="shared" si="178"/>
        <v>0</v>
      </c>
      <c r="DB116" s="235">
        <f t="shared" si="179"/>
        <v>0</v>
      </c>
      <c r="DC116" s="232">
        <f t="shared" si="180"/>
        <v>0</v>
      </c>
      <c r="DD116" s="233">
        <f t="shared" si="181"/>
        <v>0</v>
      </c>
      <c r="DE116" s="65">
        <f t="shared" si="182"/>
        <v>2.0216666666666669</v>
      </c>
      <c r="DF116" s="66">
        <f t="shared" si="183"/>
        <v>6</v>
      </c>
      <c r="DG116" s="31">
        <f t="shared" si="123"/>
        <v>7.4821428571428568</v>
      </c>
      <c r="DH116" s="32">
        <f t="shared" si="124"/>
        <v>23</v>
      </c>
      <c r="DI116" s="33">
        <f t="shared" si="125"/>
        <v>2.0216666666666669</v>
      </c>
      <c r="DJ116" s="34">
        <f t="shared" si="126"/>
        <v>6</v>
      </c>
      <c r="DK116" s="67">
        <f t="shared" si="127"/>
        <v>4.7519047619047621</v>
      </c>
      <c r="DL116" s="35">
        <f t="shared" si="128"/>
        <v>29</v>
      </c>
      <c r="DM116" s="59">
        <f t="shared" si="129"/>
        <v>61</v>
      </c>
      <c r="DN116" s="43" t="s">
        <v>509</v>
      </c>
      <c r="DO116" s="44"/>
      <c r="DP116" s="50"/>
      <c r="DQ116" s="46"/>
    </row>
    <row r="117" spans="1:121" s="37" customFormat="1" ht="32.25" customHeight="1" thickBot="1">
      <c r="A117" s="49"/>
      <c r="B117" s="1">
        <f t="shared" si="184"/>
        <v>16</v>
      </c>
      <c r="C117" s="249" t="s">
        <v>264</v>
      </c>
      <c r="D117" s="249" t="s">
        <v>265</v>
      </c>
      <c r="E117" s="47" t="s">
        <v>447</v>
      </c>
      <c r="F117" s="135">
        <v>36034</v>
      </c>
      <c r="G117" s="136" t="s">
        <v>427</v>
      </c>
      <c r="H117" s="131">
        <v>10</v>
      </c>
      <c r="I117" s="132">
        <v>30</v>
      </c>
      <c r="J117" s="133">
        <v>10.01</v>
      </c>
      <c r="K117" s="134">
        <v>19</v>
      </c>
      <c r="L117" s="53">
        <f t="shared" si="130"/>
        <v>10.004999999999999</v>
      </c>
      <c r="M117" s="58">
        <f t="shared" si="131"/>
        <v>60</v>
      </c>
      <c r="N117" s="222">
        <v>13</v>
      </c>
      <c r="O117" s="223">
        <v>8</v>
      </c>
      <c r="P117" s="140"/>
      <c r="Q117" s="228">
        <f t="shared" si="132"/>
        <v>10.5</v>
      </c>
      <c r="R117" s="229">
        <f t="shared" si="133"/>
        <v>5</v>
      </c>
      <c r="S117" s="241">
        <v>13.5</v>
      </c>
      <c r="T117" s="242">
        <v>8</v>
      </c>
      <c r="U117" s="285"/>
      <c r="V117" s="228">
        <f t="shared" si="134"/>
        <v>10.75</v>
      </c>
      <c r="W117" s="229">
        <f t="shared" si="135"/>
        <v>6</v>
      </c>
      <c r="X117" s="241">
        <v>14</v>
      </c>
      <c r="Y117" s="242">
        <v>8</v>
      </c>
      <c r="Z117" s="285"/>
      <c r="AA117" s="228">
        <f t="shared" si="136"/>
        <v>11</v>
      </c>
      <c r="AB117" s="229">
        <f t="shared" si="137"/>
        <v>6</v>
      </c>
      <c r="AC117" s="232">
        <f t="shared" si="138"/>
        <v>10.75</v>
      </c>
      <c r="AD117" s="233">
        <f t="shared" si="139"/>
        <v>17</v>
      </c>
      <c r="AE117" s="242">
        <v>13.5</v>
      </c>
      <c r="AF117" s="285"/>
      <c r="AG117" s="234">
        <f t="shared" si="140"/>
        <v>13.5</v>
      </c>
      <c r="AH117" s="235">
        <f t="shared" si="141"/>
        <v>1</v>
      </c>
      <c r="AI117" s="241">
        <v>8.5</v>
      </c>
      <c r="AJ117" s="242">
        <v>1.75</v>
      </c>
      <c r="AK117" s="285">
        <v>10</v>
      </c>
      <c r="AL117" s="228">
        <f t="shared" si="142"/>
        <v>9.25</v>
      </c>
      <c r="AM117" s="229">
        <f t="shared" si="143"/>
        <v>0</v>
      </c>
      <c r="AN117" s="241">
        <v>7</v>
      </c>
      <c r="AO117" s="242">
        <v>1.5</v>
      </c>
      <c r="AP117" s="285"/>
      <c r="AQ117" s="228">
        <f t="shared" si="144"/>
        <v>4.25</v>
      </c>
      <c r="AR117" s="229">
        <f t="shared" si="145"/>
        <v>0</v>
      </c>
      <c r="AS117" s="236">
        <f t="shared" si="146"/>
        <v>8.1</v>
      </c>
      <c r="AT117" s="237">
        <f t="shared" si="147"/>
        <v>1</v>
      </c>
      <c r="AU117" s="241">
        <v>12</v>
      </c>
      <c r="AV117" s="242">
        <v>1</v>
      </c>
      <c r="AW117" s="285">
        <v>13.5</v>
      </c>
      <c r="AX117" s="228">
        <f t="shared" si="148"/>
        <v>12.75</v>
      </c>
      <c r="AY117" s="229">
        <f t="shared" si="149"/>
        <v>4</v>
      </c>
      <c r="AZ117" s="242">
        <v>1</v>
      </c>
      <c r="BA117" s="285">
        <v>9.75</v>
      </c>
      <c r="BB117" s="234">
        <f t="shared" si="150"/>
        <v>9.75</v>
      </c>
      <c r="BC117" s="235">
        <f t="shared" si="151"/>
        <v>0</v>
      </c>
      <c r="BD117" s="236">
        <f t="shared" si="152"/>
        <v>11.25</v>
      </c>
      <c r="BE117" s="237">
        <f t="shared" si="153"/>
        <v>5</v>
      </c>
      <c r="BF117" s="241">
        <v>9.75</v>
      </c>
      <c r="BG117" s="242">
        <v>1</v>
      </c>
      <c r="BH117" s="285">
        <v>13.5</v>
      </c>
      <c r="BI117" s="228">
        <f t="shared" si="154"/>
        <v>11.625</v>
      </c>
      <c r="BJ117" s="229">
        <f t="shared" si="155"/>
        <v>1</v>
      </c>
      <c r="BK117" s="236">
        <f t="shared" si="156"/>
        <v>11.625</v>
      </c>
      <c r="BL117" s="237">
        <f t="shared" si="157"/>
        <v>1</v>
      </c>
      <c r="BM117" s="239">
        <f t="shared" si="158"/>
        <v>9.9375</v>
      </c>
      <c r="BN117" s="240">
        <f t="shared" si="159"/>
        <v>24</v>
      </c>
      <c r="BO117" s="271">
        <v>12.5</v>
      </c>
      <c r="BP117" s="272">
        <v>4</v>
      </c>
      <c r="BQ117" s="140">
        <v>13.5</v>
      </c>
      <c r="BR117" s="228">
        <f t="shared" si="160"/>
        <v>13</v>
      </c>
      <c r="BS117" s="229">
        <f t="shared" si="161"/>
        <v>6</v>
      </c>
      <c r="BT117" s="241">
        <v>14.5</v>
      </c>
      <c r="BU117" s="242">
        <v>5.5</v>
      </c>
      <c r="BV117" s="285"/>
      <c r="BW117" s="228">
        <f t="shared" si="162"/>
        <v>10</v>
      </c>
      <c r="BX117" s="229">
        <f t="shared" si="163"/>
        <v>6</v>
      </c>
      <c r="BY117" s="241">
        <v>8.5</v>
      </c>
      <c r="BZ117" s="242">
        <v>1</v>
      </c>
      <c r="CA117" s="285"/>
      <c r="CB117" s="228">
        <f t="shared" si="164"/>
        <v>4.75</v>
      </c>
      <c r="CC117" s="229">
        <f t="shared" si="165"/>
        <v>0</v>
      </c>
      <c r="CD117" s="297">
        <f t="shared" si="166"/>
        <v>10.15</v>
      </c>
      <c r="CE117" s="233">
        <f t="shared" si="167"/>
        <v>16</v>
      </c>
      <c r="CF117" s="241">
        <v>13</v>
      </c>
      <c r="CG117" s="242">
        <v>8.5</v>
      </c>
      <c r="CH117" s="285"/>
      <c r="CI117" s="228">
        <f t="shared" si="168"/>
        <v>10.75</v>
      </c>
      <c r="CJ117" s="229">
        <f t="shared" si="169"/>
        <v>5</v>
      </c>
      <c r="CK117" s="230">
        <v>13.5</v>
      </c>
      <c r="CL117" s="231">
        <v>6.5</v>
      </c>
      <c r="CM117" s="285"/>
      <c r="CN117" s="228">
        <f t="shared" si="170"/>
        <v>10</v>
      </c>
      <c r="CO117" s="229">
        <f t="shared" si="171"/>
        <v>5</v>
      </c>
      <c r="CP117" s="232">
        <f t="shared" si="172"/>
        <v>10.375</v>
      </c>
      <c r="CQ117" s="233">
        <f t="shared" si="173"/>
        <v>10</v>
      </c>
      <c r="CR117" s="230">
        <v>10.5</v>
      </c>
      <c r="CS117" s="231">
        <v>4.75</v>
      </c>
      <c r="CT117" s="285">
        <v>8.25</v>
      </c>
      <c r="CU117" s="228">
        <f t="shared" si="174"/>
        <v>9.375</v>
      </c>
      <c r="CV117" s="229">
        <f t="shared" si="175"/>
        <v>0</v>
      </c>
      <c r="CW117" s="232">
        <f t="shared" si="176"/>
        <v>9.375</v>
      </c>
      <c r="CX117" s="233">
        <f t="shared" si="177"/>
        <v>0</v>
      </c>
      <c r="CY117" s="231">
        <v>10</v>
      </c>
      <c r="CZ117" s="285"/>
      <c r="DA117" s="234">
        <f t="shared" si="178"/>
        <v>10</v>
      </c>
      <c r="DB117" s="235">
        <f t="shared" si="179"/>
        <v>1</v>
      </c>
      <c r="DC117" s="232">
        <f t="shared" si="180"/>
        <v>10</v>
      </c>
      <c r="DD117" s="233">
        <f t="shared" si="181"/>
        <v>1</v>
      </c>
      <c r="DE117" s="65">
        <f t="shared" si="182"/>
        <v>10.083333333333334</v>
      </c>
      <c r="DF117" s="66">
        <f t="shared" si="183"/>
        <v>30</v>
      </c>
      <c r="DG117" s="31">
        <f t="shared" si="123"/>
        <v>9.9375</v>
      </c>
      <c r="DH117" s="32">
        <f t="shared" si="124"/>
        <v>30</v>
      </c>
      <c r="DI117" s="33">
        <f t="shared" si="125"/>
        <v>10.083333333333334</v>
      </c>
      <c r="DJ117" s="34">
        <f t="shared" si="126"/>
        <v>30</v>
      </c>
      <c r="DK117" s="67">
        <f t="shared" si="127"/>
        <v>10.010416666666668</v>
      </c>
      <c r="DL117" s="35">
        <f t="shared" si="128"/>
        <v>60</v>
      </c>
      <c r="DM117" s="59">
        <f t="shared" si="129"/>
        <v>120</v>
      </c>
      <c r="DN117" s="43" t="s">
        <v>506</v>
      </c>
      <c r="DO117" s="44"/>
      <c r="DP117" s="50"/>
      <c r="DQ117" s="46"/>
    </row>
    <row r="118" spans="1:121" s="37" customFormat="1" ht="32.25" customHeight="1" thickBot="1">
      <c r="A118" s="49"/>
      <c r="B118" s="1">
        <f t="shared" si="184"/>
        <v>17</v>
      </c>
      <c r="C118" s="249" t="s">
        <v>266</v>
      </c>
      <c r="D118" s="249" t="s">
        <v>267</v>
      </c>
      <c r="E118" s="47" t="s">
        <v>448</v>
      </c>
      <c r="F118" s="135">
        <v>35021</v>
      </c>
      <c r="G118" s="136" t="s">
        <v>449</v>
      </c>
      <c r="H118" s="131">
        <v>7.16</v>
      </c>
      <c r="I118" s="132">
        <v>17</v>
      </c>
      <c r="J118" s="133">
        <v>6.03</v>
      </c>
      <c r="K118" s="134">
        <v>15</v>
      </c>
      <c r="L118" s="53">
        <f t="shared" si="130"/>
        <v>6.5950000000000006</v>
      </c>
      <c r="M118" s="58">
        <f t="shared" si="131"/>
        <v>32</v>
      </c>
      <c r="N118" s="222">
        <v>13</v>
      </c>
      <c r="O118" s="223">
        <v>8</v>
      </c>
      <c r="P118" s="140"/>
      <c r="Q118" s="228">
        <f t="shared" si="132"/>
        <v>10.5</v>
      </c>
      <c r="R118" s="229">
        <f t="shared" si="133"/>
        <v>5</v>
      </c>
      <c r="S118" s="241">
        <v>14.5</v>
      </c>
      <c r="T118" s="242">
        <v>11.5</v>
      </c>
      <c r="U118" s="285"/>
      <c r="V118" s="228">
        <f t="shared" si="134"/>
        <v>13</v>
      </c>
      <c r="W118" s="229">
        <f t="shared" si="135"/>
        <v>6</v>
      </c>
      <c r="X118" s="241">
        <v>14</v>
      </c>
      <c r="Y118" s="242">
        <v>8.75</v>
      </c>
      <c r="Z118" s="285"/>
      <c r="AA118" s="228">
        <f t="shared" si="136"/>
        <v>11.375</v>
      </c>
      <c r="AB118" s="229">
        <f t="shared" si="137"/>
        <v>6</v>
      </c>
      <c r="AC118" s="232">
        <f t="shared" si="138"/>
        <v>11.625</v>
      </c>
      <c r="AD118" s="233">
        <f t="shared" si="139"/>
        <v>17</v>
      </c>
      <c r="AE118" s="242">
        <v>9</v>
      </c>
      <c r="AF118" s="285">
        <v>18.25</v>
      </c>
      <c r="AG118" s="234">
        <f t="shared" si="140"/>
        <v>18.25</v>
      </c>
      <c r="AH118" s="235">
        <f t="shared" si="141"/>
        <v>1</v>
      </c>
      <c r="AI118" s="241">
        <v>18</v>
      </c>
      <c r="AJ118" s="242">
        <v>4</v>
      </c>
      <c r="AK118" s="285"/>
      <c r="AL118" s="228">
        <f t="shared" si="142"/>
        <v>11</v>
      </c>
      <c r="AM118" s="229">
        <f t="shared" si="143"/>
        <v>3</v>
      </c>
      <c r="AN118" s="241">
        <v>9</v>
      </c>
      <c r="AO118" s="242">
        <v>0</v>
      </c>
      <c r="AP118" s="285"/>
      <c r="AQ118" s="228">
        <f t="shared" si="144"/>
        <v>4.5</v>
      </c>
      <c r="AR118" s="229">
        <f t="shared" si="145"/>
        <v>0</v>
      </c>
      <c r="AS118" s="236">
        <f t="shared" si="146"/>
        <v>9.85</v>
      </c>
      <c r="AT118" s="237">
        <f t="shared" si="147"/>
        <v>4</v>
      </c>
      <c r="AU118" s="241">
        <v>17</v>
      </c>
      <c r="AV118" s="242">
        <v>15</v>
      </c>
      <c r="AW118" s="285"/>
      <c r="AX118" s="228">
        <f t="shared" si="148"/>
        <v>16</v>
      </c>
      <c r="AY118" s="229">
        <f t="shared" si="149"/>
        <v>4</v>
      </c>
      <c r="AZ118" s="242">
        <v>4</v>
      </c>
      <c r="BA118" s="285"/>
      <c r="BB118" s="234">
        <f t="shared" si="150"/>
        <v>4</v>
      </c>
      <c r="BC118" s="235">
        <f t="shared" si="151"/>
        <v>0</v>
      </c>
      <c r="BD118" s="236">
        <f t="shared" si="152"/>
        <v>10</v>
      </c>
      <c r="BE118" s="237">
        <f t="shared" si="153"/>
        <v>5</v>
      </c>
      <c r="BF118" s="241">
        <v>10.5</v>
      </c>
      <c r="BG118" s="242">
        <v>6.25</v>
      </c>
      <c r="BH118" s="285">
        <v>14.25</v>
      </c>
      <c r="BI118" s="228">
        <f t="shared" si="154"/>
        <v>12.375</v>
      </c>
      <c r="BJ118" s="229">
        <f t="shared" si="155"/>
        <v>1</v>
      </c>
      <c r="BK118" s="236">
        <f t="shared" si="156"/>
        <v>12.375</v>
      </c>
      <c r="BL118" s="237">
        <f t="shared" si="157"/>
        <v>1</v>
      </c>
      <c r="BM118" s="239">
        <f t="shared" si="158"/>
        <v>10.8125</v>
      </c>
      <c r="BN118" s="240">
        <f t="shared" si="159"/>
        <v>30</v>
      </c>
      <c r="BO118" s="271">
        <v>13.25</v>
      </c>
      <c r="BP118" s="272">
        <v>5.75</v>
      </c>
      <c r="BQ118" s="140"/>
      <c r="BR118" s="228">
        <f t="shared" si="160"/>
        <v>9.5</v>
      </c>
      <c r="BS118" s="229">
        <f t="shared" si="161"/>
        <v>0</v>
      </c>
      <c r="BT118" s="241">
        <v>15.5</v>
      </c>
      <c r="BU118" s="242">
        <v>13</v>
      </c>
      <c r="BV118" s="285"/>
      <c r="BW118" s="228">
        <f t="shared" si="162"/>
        <v>14.25</v>
      </c>
      <c r="BX118" s="229">
        <f t="shared" si="163"/>
        <v>6</v>
      </c>
      <c r="BY118" s="241">
        <v>11.25</v>
      </c>
      <c r="BZ118" s="242">
        <v>3</v>
      </c>
      <c r="CA118" s="285"/>
      <c r="CB118" s="228">
        <f t="shared" si="164"/>
        <v>7.125</v>
      </c>
      <c r="CC118" s="229">
        <f t="shared" si="165"/>
        <v>0</v>
      </c>
      <c r="CD118" s="297">
        <f t="shared" si="166"/>
        <v>10.925000000000001</v>
      </c>
      <c r="CE118" s="233">
        <f t="shared" si="167"/>
        <v>16</v>
      </c>
      <c r="CF118" s="241">
        <v>9.75</v>
      </c>
      <c r="CG118" s="242">
        <v>9.75</v>
      </c>
      <c r="CH118" s="285"/>
      <c r="CI118" s="228">
        <f t="shared" si="168"/>
        <v>9.75</v>
      </c>
      <c r="CJ118" s="229">
        <f t="shared" si="169"/>
        <v>0</v>
      </c>
      <c r="CK118" s="230">
        <v>13</v>
      </c>
      <c r="CL118" s="231">
        <v>5.5</v>
      </c>
      <c r="CM118" s="285"/>
      <c r="CN118" s="228">
        <f t="shared" si="170"/>
        <v>9.25</v>
      </c>
      <c r="CO118" s="229">
        <f t="shared" si="171"/>
        <v>0</v>
      </c>
      <c r="CP118" s="232">
        <f t="shared" si="172"/>
        <v>9.5</v>
      </c>
      <c r="CQ118" s="233">
        <f t="shared" si="173"/>
        <v>0</v>
      </c>
      <c r="CR118" s="230">
        <v>5.5</v>
      </c>
      <c r="CS118" s="231">
        <v>0.25</v>
      </c>
      <c r="CT118" s="285"/>
      <c r="CU118" s="228">
        <f t="shared" si="174"/>
        <v>2.875</v>
      </c>
      <c r="CV118" s="229">
        <f t="shared" si="175"/>
        <v>0</v>
      </c>
      <c r="CW118" s="232">
        <f t="shared" si="176"/>
        <v>2.875</v>
      </c>
      <c r="CX118" s="233">
        <f t="shared" si="177"/>
        <v>0</v>
      </c>
      <c r="CY118" s="231">
        <v>12</v>
      </c>
      <c r="CZ118" s="285"/>
      <c r="DA118" s="234">
        <f t="shared" si="178"/>
        <v>12</v>
      </c>
      <c r="DB118" s="235">
        <f t="shared" si="179"/>
        <v>1</v>
      </c>
      <c r="DC118" s="232">
        <f t="shared" si="180"/>
        <v>12</v>
      </c>
      <c r="DD118" s="233">
        <f t="shared" si="181"/>
        <v>1</v>
      </c>
      <c r="DE118" s="65">
        <f t="shared" si="182"/>
        <v>9.1979166666666661</v>
      </c>
      <c r="DF118" s="66">
        <f t="shared" si="183"/>
        <v>17</v>
      </c>
      <c r="DG118" s="31">
        <f t="shared" si="123"/>
        <v>10.8125</v>
      </c>
      <c r="DH118" s="32">
        <f t="shared" si="124"/>
        <v>30</v>
      </c>
      <c r="DI118" s="33">
        <f t="shared" si="125"/>
        <v>9.1979166666666661</v>
      </c>
      <c r="DJ118" s="34">
        <f t="shared" si="126"/>
        <v>30</v>
      </c>
      <c r="DK118" s="67">
        <f t="shared" si="127"/>
        <v>10.005208333333332</v>
      </c>
      <c r="DL118" s="35">
        <f t="shared" si="128"/>
        <v>60</v>
      </c>
      <c r="DM118" s="59">
        <f t="shared" si="129"/>
        <v>92</v>
      </c>
      <c r="DN118" s="43" t="str">
        <f t="shared" si="185"/>
        <v>ناجح(ة)بتأخير</v>
      </c>
      <c r="DP118" s="51"/>
      <c r="DQ118" s="46"/>
    </row>
    <row r="119" spans="1:121" s="37" customFormat="1" ht="32.25" customHeight="1" thickBot="1">
      <c r="A119" s="49"/>
      <c r="B119" s="1">
        <f t="shared" si="184"/>
        <v>18</v>
      </c>
      <c r="C119" s="249" t="s">
        <v>268</v>
      </c>
      <c r="D119" s="249" t="s">
        <v>269</v>
      </c>
      <c r="E119" s="47" t="s">
        <v>450</v>
      </c>
      <c r="F119" s="135">
        <v>32727</v>
      </c>
      <c r="G119" s="136" t="s">
        <v>110</v>
      </c>
      <c r="H119" s="131">
        <v>8.39</v>
      </c>
      <c r="I119" s="132">
        <v>22</v>
      </c>
      <c r="J119" s="133">
        <v>5.23</v>
      </c>
      <c r="K119" s="134">
        <v>12</v>
      </c>
      <c r="L119" s="53">
        <f t="shared" si="130"/>
        <v>6.8100000000000005</v>
      </c>
      <c r="M119" s="58">
        <f t="shared" si="131"/>
        <v>34</v>
      </c>
      <c r="N119" s="222"/>
      <c r="O119" s="223"/>
      <c r="P119" s="140"/>
      <c r="Q119" s="228">
        <f t="shared" si="132"/>
        <v>0</v>
      </c>
      <c r="R119" s="229">
        <f t="shared" si="133"/>
        <v>0</v>
      </c>
      <c r="S119" s="241">
        <v>10</v>
      </c>
      <c r="T119" s="242">
        <v>10</v>
      </c>
      <c r="U119" s="285"/>
      <c r="V119" s="228">
        <f t="shared" si="134"/>
        <v>10</v>
      </c>
      <c r="W119" s="229">
        <f t="shared" si="135"/>
        <v>6</v>
      </c>
      <c r="X119" s="245">
        <v>10</v>
      </c>
      <c r="Y119" s="246">
        <v>10</v>
      </c>
      <c r="Z119" s="285"/>
      <c r="AA119" s="228">
        <f t="shared" si="136"/>
        <v>10</v>
      </c>
      <c r="AB119" s="229">
        <f t="shared" si="137"/>
        <v>6</v>
      </c>
      <c r="AC119" s="232">
        <f t="shared" si="138"/>
        <v>6.666666666666667</v>
      </c>
      <c r="AD119" s="233">
        <f t="shared" si="139"/>
        <v>12</v>
      </c>
      <c r="AE119" s="248"/>
      <c r="AF119" s="285"/>
      <c r="AG119" s="234">
        <f t="shared" si="140"/>
        <v>0</v>
      </c>
      <c r="AH119" s="235">
        <f t="shared" si="141"/>
        <v>0</v>
      </c>
      <c r="AI119" s="247"/>
      <c r="AJ119" s="248"/>
      <c r="AK119" s="285"/>
      <c r="AL119" s="228">
        <f t="shared" si="142"/>
        <v>0</v>
      </c>
      <c r="AM119" s="229">
        <f t="shared" si="143"/>
        <v>0</v>
      </c>
      <c r="AN119" s="247"/>
      <c r="AO119" s="248"/>
      <c r="AP119" s="285"/>
      <c r="AQ119" s="228">
        <f t="shared" si="144"/>
        <v>0</v>
      </c>
      <c r="AR119" s="229">
        <f t="shared" si="145"/>
        <v>0</v>
      </c>
      <c r="AS119" s="236">
        <f t="shared" si="146"/>
        <v>0</v>
      </c>
      <c r="AT119" s="237">
        <f t="shared" si="147"/>
        <v>0</v>
      </c>
      <c r="AU119" s="245">
        <v>7</v>
      </c>
      <c r="AV119" s="242">
        <v>7</v>
      </c>
      <c r="AW119" s="285"/>
      <c r="AX119" s="228">
        <f t="shared" si="148"/>
        <v>7</v>
      </c>
      <c r="AY119" s="229">
        <f t="shared" si="149"/>
        <v>0</v>
      </c>
      <c r="AZ119" s="242"/>
      <c r="BA119" s="285"/>
      <c r="BB119" s="234">
        <f t="shared" si="150"/>
        <v>0</v>
      </c>
      <c r="BC119" s="235">
        <f t="shared" si="151"/>
        <v>0</v>
      </c>
      <c r="BD119" s="236">
        <f t="shared" si="152"/>
        <v>3.5</v>
      </c>
      <c r="BE119" s="237">
        <f t="shared" si="153"/>
        <v>0</v>
      </c>
      <c r="BF119" s="245">
        <v>11.5</v>
      </c>
      <c r="BG119" s="246">
        <v>11.5</v>
      </c>
      <c r="BH119" s="285"/>
      <c r="BI119" s="228">
        <f t="shared" si="154"/>
        <v>11.5</v>
      </c>
      <c r="BJ119" s="229">
        <f t="shared" si="155"/>
        <v>1</v>
      </c>
      <c r="BK119" s="236">
        <f t="shared" si="156"/>
        <v>11.5</v>
      </c>
      <c r="BL119" s="237">
        <f t="shared" si="157"/>
        <v>1</v>
      </c>
      <c r="BM119" s="239">
        <f t="shared" si="158"/>
        <v>4.1785714285714288</v>
      </c>
      <c r="BN119" s="240">
        <f t="shared" si="159"/>
        <v>13</v>
      </c>
      <c r="BO119" s="273"/>
      <c r="BP119" s="274"/>
      <c r="BQ119" s="140"/>
      <c r="BR119" s="228">
        <f t="shared" si="160"/>
        <v>0</v>
      </c>
      <c r="BS119" s="229">
        <f t="shared" si="161"/>
        <v>0</v>
      </c>
      <c r="BT119" s="252">
        <v>14</v>
      </c>
      <c r="BU119" s="253">
        <v>14</v>
      </c>
      <c r="BV119" s="285"/>
      <c r="BW119" s="228">
        <f t="shared" si="162"/>
        <v>14</v>
      </c>
      <c r="BX119" s="229">
        <f t="shared" si="163"/>
        <v>6</v>
      </c>
      <c r="BY119" s="282"/>
      <c r="BZ119" s="283"/>
      <c r="CA119" s="285"/>
      <c r="CB119" s="228">
        <f t="shared" si="164"/>
        <v>0</v>
      </c>
      <c r="CC119" s="229">
        <f t="shared" si="165"/>
        <v>0</v>
      </c>
      <c r="CD119" s="297">
        <f t="shared" si="166"/>
        <v>5.6</v>
      </c>
      <c r="CE119" s="233">
        <f t="shared" si="167"/>
        <v>6</v>
      </c>
      <c r="CF119" s="252">
        <v>9.5</v>
      </c>
      <c r="CG119" s="253">
        <v>9.5</v>
      </c>
      <c r="CH119" s="285"/>
      <c r="CI119" s="228">
        <f t="shared" si="168"/>
        <v>9.5</v>
      </c>
      <c r="CJ119" s="229">
        <f t="shared" si="169"/>
        <v>0</v>
      </c>
      <c r="CK119" s="303">
        <v>11.25</v>
      </c>
      <c r="CL119" s="304">
        <v>11.25</v>
      </c>
      <c r="CM119" s="285"/>
      <c r="CN119" s="228">
        <f t="shared" si="170"/>
        <v>11.25</v>
      </c>
      <c r="CO119" s="229">
        <f t="shared" si="171"/>
        <v>5</v>
      </c>
      <c r="CP119" s="232">
        <f t="shared" si="172"/>
        <v>10.375</v>
      </c>
      <c r="CQ119" s="233">
        <f t="shared" si="173"/>
        <v>10</v>
      </c>
      <c r="CR119" s="303">
        <v>12</v>
      </c>
      <c r="CS119" s="304">
        <v>12</v>
      </c>
      <c r="CT119" s="285"/>
      <c r="CU119" s="228">
        <f t="shared" si="174"/>
        <v>12</v>
      </c>
      <c r="CV119" s="229">
        <f t="shared" si="175"/>
        <v>3</v>
      </c>
      <c r="CW119" s="232">
        <f t="shared" si="176"/>
        <v>12</v>
      </c>
      <c r="CX119" s="233">
        <f t="shared" si="177"/>
        <v>3</v>
      </c>
      <c r="CY119" s="299"/>
      <c r="CZ119" s="285"/>
      <c r="DA119" s="234">
        <f t="shared" si="178"/>
        <v>0</v>
      </c>
      <c r="DB119" s="235">
        <f t="shared" si="179"/>
        <v>0</v>
      </c>
      <c r="DC119" s="232">
        <f t="shared" si="180"/>
        <v>0</v>
      </c>
      <c r="DD119" s="233">
        <f t="shared" si="181"/>
        <v>0</v>
      </c>
      <c r="DE119" s="65">
        <f t="shared" si="182"/>
        <v>7.791666666666667</v>
      </c>
      <c r="DF119" s="66">
        <f t="shared" si="183"/>
        <v>19</v>
      </c>
      <c r="DG119" s="31">
        <f t="shared" si="123"/>
        <v>4.1785714285714288</v>
      </c>
      <c r="DH119" s="32">
        <f t="shared" si="124"/>
        <v>13</v>
      </c>
      <c r="DI119" s="33">
        <f t="shared" si="125"/>
        <v>7.791666666666667</v>
      </c>
      <c r="DJ119" s="34">
        <f t="shared" si="126"/>
        <v>19</v>
      </c>
      <c r="DK119" s="67">
        <f t="shared" si="127"/>
        <v>5.9851190476190474</v>
      </c>
      <c r="DL119" s="35">
        <f t="shared" si="128"/>
        <v>32</v>
      </c>
      <c r="DM119" s="59">
        <f t="shared" si="129"/>
        <v>66</v>
      </c>
      <c r="DN119" s="43" t="s">
        <v>509</v>
      </c>
      <c r="DP119" s="51"/>
      <c r="DQ119" s="46"/>
    </row>
    <row r="120" spans="1:121" s="37" customFormat="1" ht="32.25" customHeight="1" thickBot="1">
      <c r="A120" s="49"/>
      <c r="B120" s="1">
        <f t="shared" si="184"/>
        <v>19</v>
      </c>
      <c r="C120" s="249" t="s">
        <v>270</v>
      </c>
      <c r="D120" s="249" t="s">
        <v>271</v>
      </c>
      <c r="E120" s="137" t="s">
        <v>451</v>
      </c>
      <c r="F120" s="135">
        <v>35122</v>
      </c>
      <c r="G120" s="136" t="s">
        <v>110</v>
      </c>
      <c r="H120" s="131">
        <v>8.32</v>
      </c>
      <c r="I120" s="132">
        <v>19</v>
      </c>
      <c r="J120" s="133">
        <v>7.52</v>
      </c>
      <c r="K120" s="134">
        <v>13</v>
      </c>
      <c r="L120" s="53">
        <f t="shared" si="130"/>
        <v>7.92</v>
      </c>
      <c r="M120" s="58">
        <f t="shared" si="131"/>
        <v>32</v>
      </c>
      <c r="N120" s="222">
        <v>13</v>
      </c>
      <c r="O120" s="223">
        <v>9</v>
      </c>
      <c r="P120" s="140"/>
      <c r="Q120" s="228">
        <f t="shared" si="132"/>
        <v>11</v>
      </c>
      <c r="R120" s="229">
        <f t="shared" si="133"/>
        <v>5</v>
      </c>
      <c r="S120" s="241">
        <v>10.5</v>
      </c>
      <c r="T120" s="242">
        <v>4</v>
      </c>
      <c r="U120" s="285"/>
      <c r="V120" s="228">
        <f t="shared" si="134"/>
        <v>7.25</v>
      </c>
      <c r="W120" s="229">
        <f t="shared" si="135"/>
        <v>0</v>
      </c>
      <c r="X120" s="241">
        <v>11</v>
      </c>
      <c r="Y120" s="242">
        <v>3</v>
      </c>
      <c r="Z120" s="285"/>
      <c r="AA120" s="228">
        <f t="shared" si="136"/>
        <v>7</v>
      </c>
      <c r="AB120" s="229">
        <f t="shared" si="137"/>
        <v>0</v>
      </c>
      <c r="AC120" s="232">
        <f t="shared" si="138"/>
        <v>8.4166666666666661</v>
      </c>
      <c r="AD120" s="233">
        <f t="shared" si="139"/>
        <v>5</v>
      </c>
      <c r="AE120" s="242">
        <v>4</v>
      </c>
      <c r="AF120" s="285"/>
      <c r="AG120" s="234">
        <f t="shared" si="140"/>
        <v>4</v>
      </c>
      <c r="AH120" s="235">
        <f t="shared" si="141"/>
        <v>0</v>
      </c>
      <c r="AI120" s="241">
        <v>0</v>
      </c>
      <c r="AJ120" s="242">
        <v>0</v>
      </c>
      <c r="AK120" s="285"/>
      <c r="AL120" s="228">
        <f t="shared" si="142"/>
        <v>0</v>
      </c>
      <c r="AM120" s="229">
        <f t="shared" si="143"/>
        <v>0</v>
      </c>
      <c r="AN120" s="241">
        <v>6</v>
      </c>
      <c r="AO120" s="242">
        <v>0</v>
      </c>
      <c r="AP120" s="285"/>
      <c r="AQ120" s="228">
        <f t="shared" si="144"/>
        <v>3</v>
      </c>
      <c r="AR120" s="229">
        <f t="shared" si="145"/>
        <v>0</v>
      </c>
      <c r="AS120" s="236">
        <f t="shared" si="146"/>
        <v>2</v>
      </c>
      <c r="AT120" s="237">
        <f t="shared" si="147"/>
        <v>0</v>
      </c>
      <c r="AU120" s="241">
        <v>1</v>
      </c>
      <c r="AV120" s="242">
        <v>3</v>
      </c>
      <c r="AW120" s="285"/>
      <c r="AX120" s="228">
        <f t="shared" si="148"/>
        <v>2</v>
      </c>
      <c r="AY120" s="229">
        <f t="shared" si="149"/>
        <v>0</v>
      </c>
      <c r="AZ120" s="242">
        <v>5</v>
      </c>
      <c r="BA120" s="285"/>
      <c r="BB120" s="234">
        <f t="shared" si="150"/>
        <v>5</v>
      </c>
      <c r="BC120" s="235">
        <f t="shared" si="151"/>
        <v>0</v>
      </c>
      <c r="BD120" s="236">
        <f t="shared" si="152"/>
        <v>3.5</v>
      </c>
      <c r="BE120" s="237">
        <f t="shared" si="153"/>
        <v>0</v>
      </c>
      <c r="BF120" s="241">
        <v>11.75</v>
      </c>
      <c r="BG120" s="242">
        <v>5.25</v>
      </c>
      <c r="BH120" s="285"/>
      <c r="BI120" s="228">
        <f t="shared" si="154"/>
        <v>8.5</v>
      </c>
      <c r="BJ120" s="229">
        <f t="shared" si="155"/>
        <v>0</v>
      </c>
      <c r="BK120" s="236">
        <f t="shared" si="156"/>
        <v>8.5</v>
      </c>
      <c r="BL120" s="237">
        <f t="shared" si="157"/>
        <v>0</v>
      </c>
      <c r="BM120" s="239">
        <f t="shared" si="158"/>
        <v>5.4285714285714288</v>
      </c>
      <c r="BN120" s="240">
        <f t="shared" si="159"/>
        <v>5</v>
      </c>
      <c r="BO120" s="273"/>
      <c r="BP120" s="274"/>
      <c r="BQ120" s="140"/>
      <c r="BR120" s="228">
        <f t="shared" si="160"/>
        <v>0</v>
      </c>
      <c r="BS120" s="229">
        <f t="shared" si="161"/>
        <v>0</v>
      </c>
      <c r="BT120" s="282">
        <v>5</v>
      </c>
      <c r="BU120" s="283">
        <v>0</v>
      </c>
      <c r="BV120" s="285"/>
      <c r="BW120" s="228">
        <f t="shared" si="162"/>
        <v>2.5</v>
      </c>
      <c r="BX120" s="229">
        <f t="shared" si="163"/>
        <v>0</v>
      </c>
      <c r="BY120" s="282"/>
      <c r="BZ120" s="283"/>
      <c r="CA120" s="285"/>
      <c r="CB120" s="228">
        <f t="shared" si="164"/>
        <v>0</v>
      </c>
      <c r="CC120" s="229">
        <f t="shared" si="165"/>
        <v>0</v>
      </c>
      <c r="CD120" s="297">
        <f t="shared" si="166"/>
        <v>1</v>
      </c>
      <c r="CE120" s="233">
        <f t="shared" si="167"/>
        <v>0</v>
      </c>
      <c r="CF120" s="282">
        <v>0</v>
      </c>
      <c r="CG120" s="283"/>
      <c r="CH120" s="285"/>
      <c r="CI120" s="228">
        <f t="shared" si="168"/>
        <v>0</v>
      </c>
      <c r="CJ120" s="229">
        <f t="shared" si="169"/>
        <v>0</v>
      </c>
      <c r="CK120" s="298"/>
      <c r="CL120" s="299"/>
      <c r="CM120" s="285"/>
      <c r="CN120" s="228">
        <f t="shared" si="170"/>
        <v>0</v>
      </c>
      <c r="CO120" s="229">
        <f t="shared" si="171"/>
        <v>0</v>
      </c>
      <c r="CP120" s="232">
        <f t="shared" si="172"/>
        <v>0</v>
      </c>
      <c r="CQ120" s="233">
        <f t="shared" si="173"/>
        <v>0</v>
      </c>
      <c r="CR120" s="298"/>
      <c r="CS120" s="299"/>
      <c r="CT120" s="285"/>
      <c r="CU120" s="228">
        <f t="shared" si="174"/>
        <v>0</v>
      </c>
      <c r="CV120" s="229">
        <f t="shared" si="175"/>
        <v>0</v>
      </c>
      <c r="CW120" s="232">
        <f t="shared" si="176"/>
        <v>0</v>
      </c>
      <c r="CX120" s="233">
        <f t="shared" si="177"/>
        <v>0</v>
      </c>
      <c r="CY120" s="299"/>
      <c r="CZ120" s="285"/>
      <c r="DA120" s="234">
        <f t="shared" si="178"/>
        <v>0</v>
      </c>
      <c r="DB120" s="235">
        <f t="shared" si="179"/>
        <v>0</v>
      </c>
      <c r="DC120" s="232">
        <f t="shared" si="180"/>
        <v>0</v>
      </c>
      <c r="DD120" s="233">
        <f t="shared" si="181"/>
        <v>0</v>
      </c>
      <c r="DE120" s="65">
        <f t="shared" si="182"/>
        <v>0.41666666666666669</v>
      </c>
      <c r="DF120" s="66">
        <f t="shared" si="183"/>
        <v>0</v>
      </c>
      <c r="DG120" s="31">
        <f t="shared" si="123"/>
        <v>5.4285714285714288</v>
      </c>
      <c r="DH120" s="32">
        <f t="shared" si="124"/>
        <v>5</v>
      </c>
      <c r="DI120" s="33">
        <f t="shared" si="125"/>
        <v>0.41666666666666669</v>
      </c>
      <c r="DJ120" s="34">
        <f t="shared" si="126"/>
        <v>0</v>
      </c>
      <c r="DK120" s="67">
        <f t="shared" si="127"/>
        <v>2.9226190476190479</v>
      </c>
      <c r="DL120" s="35">
        <f t="shared" si="128"/>
        <v>5</v>
      </c>
      <c r="DM120" s="59">
        <f t="shared" si="129"/>
        <v>37</v>
      </c>
      <c r="DN120" s="43" t="s">
        <v>509</v>
      </c>
      <c r="DO120" s="44"/>
      <c r="DP120" s="50"/>
      <c r="DQ120" s="46"/>
    </row>
    <row r="121" spans="1:121" s="37" customFormat="1" ht="32.25" customHeight="1" thickBot="1">
      <c r="A121" s="49"/>
      <c r="B121" s="1">
        <f t="shared" si="184"/>
        <v>20</v>
      </c>
      <c r="C121" s="249" t="s">
        <v>272</v>
      </c>
      <c r="D121" s="249" t="s">
        <v>273</v>
      </c>
      <c r="E121" s="47" t="s">
        <v>452</v>
      </c>
      <c r="F121" s="135">
        <v>34599</v>
      </c>
      <c r="G121" s="136" t="s">
        <v>110</v>
      </c>
      <c r="H121" s="131">
        <v>10.72</v>
      </c>
      <c r="I121" s="132">
        <v>30</v>
      </c>
      <c r="J121" s="133">
        <v>9.6</v>
      </c>
      <c r="K121" s="134">
        <v>30</v>
      </c>
      <c r="L121" s="53">
        <f t="shared" si="130"/>
        <v>10.16</v>
      </c>
      <c r="M121" s="58">
        <f t="shared" si="131"/>
        <v>60</v>
      </c>
      <c r="N121" s="222">
        <v>13</v>
      </c>
      <c r="O121" s="223">
        <v>0</v>
      </c>
      <c r="P121" s="140"/>
      <c r="Q121" s="228">
        <f t="shared" si="132"/>
        <v>6.5</v>
      </c>
      <c r="R121" s="229">
        <f t="shared" si="133"/>
        <v>0</v>
      </c>
      <c r="S121" s="241">
        <v>10</v>
      </c>
      <c r="T121" s="242">
        <v>10</v>
      </c>
      <c r="U121" s="285"/>
      <c r="V121" s="228">
        <f t="shared" si="134"/>
        <v>10</v>
      </c>
      <c r="W121" s="229">
        <f t="shared" si="135"/>
        <v>6</v>
      </c>
      <c r="X121" s="241">
        <v>10</v>
      </c>
      <c r="Y121" s="242">
        <v>10</v>
      </c>
      <c r="Z121" s="285"/>
      <c r="AA121" s="228">
        <f t="shared" si="136"/>
        <v>10</v>
      </c>
      <c r="AB121" s="229">
        <f t="shared" si="137"/>
        <v>6</v>
      </c>
      <c r="AC121" s="232">
        <f t="shared" si="138"/>
        <v>8.8333333333333339</v>
      </c>
      <c r="AD121" s="233">
        <f t="shared" si="139"/>
        <v>12</v>
      </c>
      <c r="AE121" s="242">
        <v>6.5</v>
      </c>
      <c r="AF121" s="285">
        <v>5</v>
      </c>
      <c r="AG121" s="234">
        <f t="shared" si="140"/>
        <v>6.5</v>
      </c>
      <c r="AH121" s="235">
        <f t="shared" si="141"/>
        <v>0</v>
      </c>
      <c r="AI121" s="241">
        <v>2.5</v>
      </c>
      <c r="AJ121" s="242">
        <v>0</v>
      </c>
      <c r="AK121" s="285"/>
      <c r="AL121" s="228">
        <f t="shared" si="142"/>
        <v>1.25</v>
      </c>
      <c r="AM121" s="229">
        <f t="shared" si="143"/>
        <v>0</v>
      </c>
      <c r="AN121" s="241">
        <v>10</v>
      </c>
      <c r="AO121" s="242">
        <v>6.25</v>
      </c>
      <c r="AP121" s="285"/>
      <c r="AQ121" s="228">
        <f t="shared" si="144"/>
        <v>8.125</v>
      </c>
      <c r="AR121" s="229">
        <f t="shared" si="145"/>
        <v>0</v>
      </c>
      <c r="AS121" s="236">
        <f t="shared" si="146"/>
        <v>5.05</v>
      </c>
      <c r="AT121" s="237">
        <f t="shared" si="147"/>
        <v>0</v>
      </c>
      <c r="AU121" s="241">
        <v>12</v>
      </c>
      <c r="AV121" s="242">
        <v>2</v>
      </c>
      <c r="AW121" s="285">
        <v>16</v>
      </c>
      <c r="AX121" s="228">
        <f t="shared" si="148"/>
        <v>14</v>
      </c>
      <c r="AY121" s="229">
        <f t="shared" si="149"/>
        <v>4</v>
      </c>
      <c r="AZ121" s="242">
        <v>10</v>
      </c>
      <c r="BA121" s="285"/>
      <c r="BB121" s="234">
        <f t="shared" si="150"/>
        <v>10</v>
      </c>
      <c r="BC121" s="235">
        <f t="shared" si="151"/>
        <v>1</v>
      </c>
      <c r="BD121" s="236">
        <f t="shared" si="152"/>
        <v>12</v>
      </c>
      <c r="BE121" s="237">
        <f t="shared" si="153"/>
        <v>5</v>
      </c>
      <c r="BF121" s="245">
        <v>16</v>
      </c>
      <c r="BG121" s="246">
        <v>16</v>
      </c>
      <c r="BH121" s="285"/>
      <c r="BI121" s="228">
        <f t="shared" si="154"/>
        <v>16</v>
      </c>
      <c r="BJ121" s="229">
        <f t="shared" si="155"/>
        <v>1</v>
      </c>
      <c r="BK121" s="236">
        <f t="shared" si="156"/>
        <v>16</v>
      </c>
      <c r="BL121" s="237">
        <f t="shared" si="157"/>
        <v>1</v>
      </c>
      <c r="BM121" s="239">
        <f t="shared" si="158"/>
        <v>8.4464285714285712</v>
      </c>
      <c r="BN121" s="240">
        <f t="shared" si="159"/>
        <v>18</v>
      </c>
      <c r="BO121" s="271">
        <v>15.5</v>
      </c>
      <c r="BP121" s="272">
        <v>7.5</v>
      </c>
      <c r="BQ121" s="140"/>
      <c r="BR121" s="228">
        <f t="shared" si="160"/>
        <v>11.5</v>
      </c>
      <c r="BS121" s="229">
        <f t="shared" si="161"/>
        <v>6</v>
      </c>
      <c r="BT121" s="241">
        <v>12.5</v>
      </c>
      <c r="BU121" s="242">
        <v>12.5</v>
      </c>
      <c r="BV121" s="285"/>
      <c r="BW121" s="228">
        <f t="shared" si="162"/>
        <v>12.5</v>
      </c>
      <c r="BX121" s="229">
        <f t="shared" si="163"/>
        <v>6</v>
      </c>
      <c r="BY121" s="241">
        <v>10</v>
      </c>
      <c r="BZ121" s="242">
        <v>2.5</v>
      </c>
      <c r="CA121" s="285"/>
      <c r="CB121" s="228">
        <f t="shared" si="164"/>
        <v>6.25</v>
      </c>
      <c r="CC121" s="229">
        <f t="shared" si="165"/>
        <v>0</v>
      </c>
      <c r="CD121" s="297">
        <f t="shared" si="166"/>
        <v>10.85</v>
      </c>
      <c r="CE121" s="233">
        <f t="shared" si="167"/>
        <v>16</v>
      </c>
      <c r="CF121" s="241">
        <v>9.5</v>
      </c>
      <c r="CG121" s="242">
        <v>8.25</v>
      </c>
      <c r="CH121" s="285"/>
      <c r="CI121" s="228">
        <f t="shared" si="168"/>
        <v>8.875</v>
      </c>
      <c r="CJ121" s="229">
        <f t="shared" si="169"/>
        <v>0</v>
      </c>
      <c r="CK121" s="230">
        <v>12.5</v>
      </c>
      <c r="CL121" s="231">
        <v>7.5</v>
      </c>
      <c r="CM121" s="285"/>
      <c r="CN121" s="228">
        <f t="shared" si="170"/>
        <v>10</v>
      </c>
      <c r="CO121" s="229">
        <f t="shared" si="171"/>
        <v>5</v>
      </c>
      <c r="CP121" s="232">
        <f t="shared" si="172"/>
        <v>9.4375</v>
      </c>
      <c r="CQ121" s="233">
        <f t="shared" si="173"/>
        <v>5</v>
      </c>
      <c r="CR121" s="230">
        <v>11.75</v>
      </c>
      <c r="CS121" s="231">
        <v>11.75</v>
      </c>
      <c r="CT121" s="285"/>
      <c r="CU121" s="228">
        <f t="shared" si="174"/>
        <v>11.75</v>
      </c>
      <c r="CV121" s="229">
        <f t="shared" si="175"/>
        <v>3</v>
      </c>
      <c r="CW121" s="232">
        <f t="shared" si="176"/>
        <v>11.75</v>
      </c>
      <c r="CX121" s="233">
        <f t="shared" si="177"/>
        <v>3</v>
      </c>
      <c r="CY121" s="231">
        <v>14</v>
      </c>
      <c r="CZ121" s="285"/>
      <c r="DA121" s="234">
        <f t="shared" si="178"/>
        <v>14</v>
      </c>
      <c r="DB121" s="235">
        <f t="shared" si="179"/>
        <v>1</v>
      </c>
      <c r="DC121" s="232">
        <f t="shared" si="180"/>
        <v>14</v>
      </c>
      <c r="DD121" s="233">
        <f t="shared" si="181"/>
        <v>1</v>
      </c>
      <c r="DE121" s="65">
        <f t="shared" si="182"/>
        <v>10.791666666666666</v>
      </c>
      <c r="DF121" s="66">
        <f t="shared" si="183"/>
        <v>30</v>
      </c>
      <c r="DG121" s="31">
        <f t="shared" si="123"/>
        <v>8.4464285714285712</v>
      </c>
      <c r="DH121" s="32">
        <f t="shared" si="124"/>
        <v>18</v>
      </c>
      <c r="DI121" s="33">
        <f t="shared" si="125"/>
        <v>10.791666666666666</v>
      </c>
      <c r="DJ121" s="34">
        <f t="shared" si="126"/>
        <v>30</v>
      </c>
      <c r="DK121" s="67">
        <f t="shared" si="127"/>
        <v>9.6190476190476186</v>
      </c>
      <c r="DL121" s="35">
        <f t="shared" si="128"/>
        <v>48</v>
      </c>
      <c r="DM121" s="59">
        <f t="shared" si="129"/>
        <v>108</v>
      </c>
      <c r="DN121" s="43" t="str">
        <f t="shared" si="185"/>
        <v>ناجح(ة)بتأخير</v>
      </c>
      <c r="DO121" s="44"/>
      <c r="DP121" s="50"/>
      <c r="DQ121" s="46"/>
    </row>
    <row r="122" spans="1:121" s="37" customFormat="1" ht="32.25" customHeight="1" thickBot="1">
      <c r="A122" s="49"/>
      <c r="B122" s="1">
        <f t="shared" si="184"/>
        <v>21</v>
      </c>
      <c r="C122" s="249" t="s">
        <v>274</v>
      </c>
      <c r="D122" s="249" t="s">
        <v>275</v>
      </c>
      <c r="E122" s="47" t="s">
        <v>453</v>
      </c>
      <c r="F122" s="135">
        <v>35140</v>
      </c>
      <c r="G122" s="52" t="s">
        <v>110</v>
      </c>
      <c r="H122" s="131">
        <v>9.19</v>
      </c>
      <c r="I122" s="132">
        <v>20</v>
      </c>
      <c r="J122" s="133">
        <v>8.98</v>
      </c>
      <c r="K122" s="134">
        <v>11</v>
      </c>
      <c r="L122" s="53">
        <f t="shared" si="130"/>
        <v>9.0850000000000009</v>
      </c>
      <c r="M122" s="58">
        <f t="shared" si="131"/>
        <v>31</v>
      </c>
      <c r="N122" s="222"/>
      <c r="O122" s="223">
        <v>0</v>
      </c>
      <c r="P122" s="140"/>
      <c r="Q122" s="228">
        <f t="shared" si="132"/>
        <v>0</v>
      </c>
      <c r="R122" s="229">
        <f t="shared" si="133"/>
        <v>0</v>
      </c>
      <c r="S122" s="241">
        <v>9</v>
      </c>
      <c r="T122" s="242">
        <v>6</v>
      </c>
      <c r="U122" s="285"/>
      <c r="V122" s="228">
        <f t="shared" si="134"/>
        <v>7.5</v>
      </c>
      <c r="W122" s="229">
        <f t="shared" si="135"/>
        <v>0</v>
      </c>
      <c r="X122" s="241">
        <v>11</v>
      </c>
      <c r="Y122" s="242">
        <v>6</v>
      </c>
      <c r="Z122" s="285"/>
      <c r="AA122" s="228">
        <f t="shared" si="136"/>
        <v>8.5</v>
      </c>
      <c r="AB122" s="229">
        <f t="shared" si="137"/>
        <v>0</v>
      </c>
      <c r="AC122" s="232">
        <f t="shared" si="138"/>
        <v>5.333333333333333</v>
      </c>
      <c r="AD122" s="233">
        <f t="shared" si="139"/>
        <v>0</v>
      </c>
      <c r="AE122" s="242">
        <v>10</v>
      </c>
      <c r="AF122" s="285"/>
      <c r="AG122" s="234">
        <f t="shared" si="140"/>
        <v>10</v>
      </c>
      <c r="AH122" s="235">
        <f t="shared" si="141"/>
        <v>1</v>
      </c>
      <c r="AI122" s="241">
        <v>5</v>
      </c>
      <c r="AJ122" s="242">
        <v>0</v>
      </c>
      <c r="AK122" s="285"/>
      <c r="AL122" s="228">
        <f t="shared" si="142"/>
        <v>2.5</v>
      </c>
      <c r="AM122" s="229">
        <f t="shared" si="143"/>
        <v>0</v>
      </c>
      <c r="AN122" s="241">
        <v>9</v>
      </c>
      <c r="AO122" s="242">
        <v>0</v>
      </c>
      <c r="AP122" s="285"/>
      <c r="AQ122" s="228">
        <f t="shared" si="144"/>
        <v>4.5</v>
      </c>
      <c r="AR122" s="229">
        <f t="shared" si="145"/>
        <v>0</v>
      </c>
      <c r="AS122" s="236">
        <f t="shared" si="146"/>
        <v>4.8</v>
      </c>
      <c r="AT122" s="237">
        <f t="shared" si="147"/>
        <v>1</v>
      </c>
      <c r="AU122" s="241"/>
      <c r="AV122" s="242">
        <v>1</v>
      </c>
      <c r="AW122" s="285"/>
      <c r="AX122" s="228">
        <f t="shared" si="148"/>
        <v>0.5</v>
      </c>
      <c r="AY122" s="229">
        <f t="shared" si="149"/>
        <v>0</v>
      </c>
      <c r="AZ122" s="242">
        <v>0</v>
      </c>
      <c r="BA122" s="285"/>
      <c r="BB122" s="234">
        <f t="shared" si="150"/>
        <v>0</v>
      </c>
      <c r="BC122" s="235">
        <f t="shared" si="151"/>
        <v>0</v>
      </c>
      <c r="BD122" s="236">
        <f t="shared" si="152"/>
        <v>0.25</v>
      </c>
      <c r="BE122" s="237">
        <f t="shared" si="153"/>
        <v>0</v>
      </c>
      <c r="BF122" s="241">
        <v>10</v>
      </c>
      <c r="BG122" s="242">
        <v>2.75</v>
      </c>
      <c r="BH122" s="285"/>
      <c r="BI122" s="228">
        <f t="shared" si="154"/>
        <v>6.375</v>
      </c>
      <c r="BJ122" s="229">
        <f t="shared" si="155"/>
        <v>0</v>
      </c>
      <c r="BK122" s="236">
        <f t="shared" si="156"/>
        <v>6.375</v>
      </c>
      <c r="BL122" s="237">
        <f t="shared" si="157"/>
        <v>0</v>
      </c>
      <c r="BM122" s="239">
        <f t="shared" si="158"/>
        <v>4.4910714285714288</v>
      </c>
      <c r="BN122" s="240">
        <f t="shared" si="159"/>
        <v>1</v>
      </c>
      <c r="BO122" s="273"/>
      <c r="BP122" s="274"/>
      <c r="BQ122" s="140"/>
      <c r="BR122" s="228">
        <f t="shared" si="160"/>
        <v>0</v>
      </c>
      <c r="BS122" s="229">
        <f t="shared" si="161"/>
        <v>0</v>
      </c>
      <c r="BT122" s="282">
        <v>0</v>
      </c>
      <c r="BU122" s="283">
        <v>1</v>
      </c>
      <c r="BV122" s="285"/>
      <c r="BW122" s="228">
        <f t="shared" si="162"/>
        <v>0.5</v>
      </c>
      <c r="BX122" s="229">
        <f t="shared" si="163"/>
        <v>0</v>
      </c>
      <c r="BY122" s="282"/>
      <c r="BZ122" s="283"/>
      <c r="CA122" s="285"/>
      <c r="CB122" s="228">
        <f t="shared" si="164"/>
        <v>0</v>
      </c>
      <c r="CC122" s="229">
        <f t="shared" si="165"/>
        <v>0</v>
      </c>
      <c r="CD122" s="297">
        <f t="shared" si="166"/>
        <v>0.2</v>
      </c>
      <c r="CE122" s="233">
        <f t="shared" si="167"/>
        <v>0</v>
      </c>
      <c r="CF122" s="282">
        <v>0</v>
      </c>
      <c r="CG122" s="283"/>
      <c r="CH122" s="285"/>
      <c r="CI122" s="228">
        <f t="shared" si="168"/>
        <v>0</v>
      </c>
      <c r="CJ122" s="229">
        <f t="shared" si="169"/>
        <v>0</v>
      </c>
      <c r="CK122" s="230">
        <v>10</v>
      </c>
      <c r="CL122" s="231"/>
      <c r="CM122" s="285"/>
      <c r="CN122" s="228">
        <f t="shared" si="170"/>
        <v>5</v>
      </c>
      <c r="CO122" s="229">
        <f t="shared" si="171"/>
        <v>0</v>
      </c>
      <c r="CP122" s="232">
        <f t="shared" si="172"/>
        <v>2.5</v>
      </c>
      <c r="CQ122" s="233">
        <f t="shared" si="173"/>
        <v>0</v>
      </c>
      <c r="CR122" s="230"/>
      <c r="CS122" s="231"/>
      <c r="CT122" s="285"/>
      <c r="CU122" s="228">
        <f t="shared" si="174"/>
        <v>0</v>
      </c>
      <c r="CV122" s="229">
        <f t="shared" si="175"/>
        <v>0</v>
      </c>
      <c r="CW122" s="232">
        <f t="shared" si="176"/>
        <v>0</v>
      </c>
      <c r="CX122" s="233">
        <f t="shared" si="177"/>
        <v>0</v>
      </c>
      <c r="CY122" s="231"/>
      <c r="CZ122" s="285"/>
      <c r="DA122" s="234">
        <f t="shared" si="178"/>
        <v>0</v>
      </c>
      <c r="DB122" s="235">
        <f t="shared" si="179"/>
        <v>0</v>
      </c>
      <c r="DC122" s="232">
        <f t="shared" si="180"/>
        <v>0</v>
      </c>
      <c r="DD122" s="233">
        <f t="shared" si="181"/>
        <v>0</v>
      </c>
      <c r="DE122" s="65">
        <f t="shared" si="182"/>
        <v>0.91666666666666663</v>
      </c>
      <c r="DF122" s="66">
        <f t="shared" si="183"/>
        <v>0</v>
      </c>
      <c r="DG122" s="31">
        <f t="shared" si="123"/>
        <v>4.4910714285714288</v>
      </c>
      <c r="DH122" s="32">
        <f t="shared" si="124"/>
        <v>1</v>
      </c>
      <c r="DI122" s="33">
        <f t="shared" si="125"/>
        <v>0.91666666666666663</v>
      </c>
      <c r="DJ122" s="34">
        <f t="shared" si="126"/>
        <v>0</v>
      </c>
      <c r="DK122" s="67">
        <f t="shared" si="127"/>
        <v>2.7038690476190479</v>
      </c>
      <c r="DL122" s="35">
        <f t="shared" si="128"/>
        <v>1</v>
      </c>
      <c r="DM122" s="59">
        <f t="shared" si="129"/>
        <v>32</v>
      </c>
      <c r="DN122" s="43" t="s">
        <v>509</v>
      </c>
      <c r="DO122" s="44"/>
      <c r="DP122" s="50"/>
      <c r="DQ122" s="46"/>
    </row>
    <row r="123" spans="1:121" s="37" customFormat="1" ht="32.25" customHeight="1" thickBot="1">
      <c r="A123" s="49"/>
      <c r="B123" s="1">
        <f t="shared" si="184"/>
        <v>22</v>
      </c>
      <c r="C123" s="249" t="s">
        <v>276</v>
      </c>
      <c r="D123" s="249" t="s">
        <v>277</v>
      </c>
      <c r="E123" s="45" t="s">
        <v>454</v>
      </c>
      <c r="F123" s="135">
        <v>34207</v>
      </c>
      <c r="G123" s="136" t="s">
        <v>110</v>
      </c>
      <c r="H123" s="131">
        <v>7.97</v>
      </c>
      <c r="I123" s="132">
        <v>17</v>
      </c>
      <c r="J123" s="133">
        <v>8.23</v>
      </c>
      <c r="K123" s="134">
        <v>13</v>
      </c>
      <c r="L123" s="53">
        <f t="shared" si="130"/>
        <v>8.1</v>
      </c>
      <c r="M123" s="58">
        <f t="shared" si="131"/>
        <v>30</v>
      </c>
      <c r="N123" s="222">
        <v>13</v>
      </c>
      <c r="O123" s="223">
        <v>8</v>
      </c>
      <c r="P123" s="140"/>
      <c r="Q123" s="228">
        <f t="shared" si="132"/>
        <v>10.5</v>
      </c>
      <c r="R123" s="229">
        <f t="shared" si="133"/>
        <v>5</v>
      </c>
      <c r="S123" s="241">
        <v>14</v>
      </c>
      <c r="T123" s="242">
        <v>6</v>
      </c>
      <c r="U123" s="285"/>
      <c r="V123" s="228">
        <f t="shared" si="134"/>
        <v>10</v>
      </c>
      <c r="W123" s="229">
        <f t="shared" si="135"/>
        <v>6</v>
      </c>
      <c r="X123" s="245">
        <v>10</v>
      </c>
      <c r="Y123" s="246">
        <v>10</v>
      </c>
      <c r="Z123" s="285"/>
      <c r="AA123" s="228">
        <f t="shared" si="136"/>
        <v>10</v>
      </c>
      <c r="AB123" s="229">
        <f t="shared" si="137"/>
        <v>6</v>
      </c>
      <c r="AC123" s="232">
        <f t="shared" si="138"/>
        <v>10.166666666666666</v>
      </c>
      <c r="AD123" s="233">
        <f t="shared" si="139"/>
        <v>17</v>
      </c>
      <c r="AE123" s="242">
        <v>12</v>
      </c>
      <c r="AF123" s="285"/>
      <c r="AG123" s="234">
        <f t="shared" si="140"/>
        <v>12</v>
      </c>
      <c r="AH123" s="235">
        <f t="shared" si="141"/>
        <v>1</v>
      </c>
      <c r="AI123" s="241">
        <v>4</v>
      </c>
      <c r="AJ123" s="242">
        <v>0</v>
      </c>
      <c r="AK123" s="285">
        <v>3.5</v>
      </c>
      <c r="AL123" s="228">
        <f t="shared" si="142"/>
        <v>3.75</v>
      </c>
      <c r="AM123" s="229">
        <f t="shared" si="143"/>
        <v>0</v>
      </c>
      <c r="AN123" s="241">
        <v>6.5</v>
      </c>
      <c r="AO123" s="242">
        <v>0</v>
      </c>
      <c r="AP123" s="285"/>
      <c r="AQ123" s="228">
        <f t="shared" si="144"/>
        <v>3.25</v>
      </c>
      <c r="AR123" s="229">
        <f t="shared" si="145"/>
        <v>0</v>
      </c>
      <c r="AS123" s="236">
        <f t="shared" si="146"/>
        <v>5.2</v>
      </c>
      <c r="AT123" s="237">
        <f t="shared" si="147"/>
        <v>1</v>
      </c>
      <c r="AU123" s="241">
        <v>6</v>
      </c>
      <c r="AV123" s="242">
        <v>2</v>
      </c>
      <c r="AW123" s="285">
        <v>16</v>
      </c>
      <c r="AX123" s="228">
        <f t="shared" si="148"/>
        <v>11</v>
      </c>
      <c r="AY123" s="229">
        <f t="shared" si="149"/>
        <v>4</v>
      </c>
      <c r="AZ123" s="242">
        <v>0</v>
      </c>
      <c r="BA123" s="285">
        <v>9</v>
      </c>
      <c r="BB123" s="234">
        <f t="shared" si="150"/>
        <v>9</v>
      </c>
      <c r="BC123" s="235">
        <f t="shared" si="151"/>
        <v>0</v>
      </c>
      <c r="BD123" s="236">
        <f t="shared" si="152"/>
        <v>10</v>
      </c>
      <c r="BE123" s="237">
        <f t="shared" si="153"/>
        <v>5</v>
      </c>
      <c r="BF123" s="241">
        <v>10</v>
      </c>
      <c r="BG123" s="242">
        <v>10</v>
      </c>
      <c r="BH123" s="285"/>
      <c r="BI123" s="228">
        <f t="shared" si="154"/>
        <v>10</v>
      </c>
      <c r="BJ123" s="229">
        <f t="shared" si="155"/>
        <v>1</v>
      </c>
      <c r="BK123" s="236">
        <f t="shared" si="156"/>
        <v>10</v>
      </c>
      <c r="BL123" s="237">
        <f t="shared" si="157"/>
        <v>1</v>
      </c>
      <c r="BM123" s="239">
        <f t="shared" si="158"/>
        <v>8.3571428571428577</v>
      </c>
      <c r="BN123" s="240">
        <f t="shared" si="159"/>
        <v>24</v>
      </c>
      <c r="BO123" s="271">
        <v>14.5</v>
      </c>
      <c r="BP123" s="272">
        <v>2.25</v>
      </c>
      <c r="BQ123" s="140">
        <v>5.5</v>
      </c>
      <c r="BR123" s="228">
        <f t="shared" si="160"/>
        <v>10</v>
      </c>
      <c r="BS123" s="229">
        <f t="shared" si="161"/>
        <v>6</v>
      </c>
      <c r="BT123" s="241">
        <v>10</v>
      </c>
      <c r="BU123" s="242">
        <v>10</v>
      </c>
      <c r="BV123" s="285"/>
      <c r="BW123" s="228">
        <f t="shared" si="162"/>
        <v>10</v>
      </c>
      <c r="BX123" s="229">
        <f t="shared" si="163"/>
        <v>6</v>
      </c>
      <c r="BY123" s="241">
        <v>8</v>
      </c>
      <c r="BZ123" s="242">
        <v>4</v>
      </c>
      <c r="CA123" s="285"/>
      <c r="CB123" s="228">
        <f t="shared" si="164"/>
        <v>6</v>
      </c>
      <c r="CC123" s="229">
        <f t="shared" si="165"/>
        <v>0</v>
      </c>
      <c r="CD123" s="297">
        <f t="shared" si="166"/>
        <v>9.1999999999999993</v>
      </c>
      <c r="CE123" s="233">
        <f t="shared" si="167"/>
        <v>12</v>
      </c>
      <c r="CF123" s="241">
        <v>6</v>
      </c>
      <c r="CG123" s="242">
        <v>9.5</v>
      </c>
      <c r="CH123" s="285"/>
      <c r="CI123" s="228">
        <f t="shared" si="168"/>
        <v>7.75</v>
      </c>
      <c r="CJ123" s="229">
        <f t="shared" si="169"/>
        <v>0</v>
      </c>
      <c r="CK123" s="230">
        <v>13</v>
      </c>
      <c r="CL123" s="231">
        <v>5.5</v>
      </c>
      <c r="CM123" s="285"/>
      <c r="CN123" s="228">
        <f t="shared" si="170"/>
        <v>9.25</v>
      </c>
      <c r="CO123" s="229">
        <f t="shared" si="171"/>
        <v>0</v>
      </c>
      <c r="CP123" s="232">
        <f t="shared" si="172"/>
        <v>8.5</v>
      </c>
      <c r="CQ123" s="233">
        <f t="shared" si="173"/>
        <v>0</v>
      </c>
      <c r="CR123" s="230">
        <v>7</v>
      </c>
      <c r="CS123" s="231">
        <v>4</v>
      </c>
      <c r="CT123" s="285"/>
      <c r="CU123" s="228">
        <f t="shared" si="174"/>
        <v>5.5</v>
      </c>
      <c r="CV123" s="229">
        <f t="shared" si="175"/>
        <v>0</v>
      </c>
      <c r="CW123" s="232">
        <f t="shared" si="176"/>
        <v>5.5</v>
      </c>
      <c r="CX123" s="233">
        <f t="shared" si="177"/>
        <v>0</v>
      </c>
      <c r="CY123" s="231">
        <v>9</v>
      </c>
      <c r="CZ123" s="285"/>
      <c r="DA123" s="234">
        <f t="shared" si="178"/>
        <v>9</v>
      </c>
      <c r="DB123" s="235">
        <f t="shared" si="179"/>
        <v>0</v>
      </c>
      <c r="DC123" s="232">
        <f t="shared" si="180"/>
        <v>9</v>
      </c>
      <c r="DD123" s="233">
        <f t="shared" si="181"/>
        <v>0</v>
      </c>
      <c r="DE123" s="65">
        <f t="shared" si="182"/>
        <v>8.3333333333333339</v>
      </c>
      <c r="DF123" s="66">
        <f t="shared" si="183"/>
        <v>12</v>
      </c>
      <c r="DG123" s="31">
        <f t="shared" si="123"/>
        <v>8.3571428571428577</v>
      </c>
      <c r="DH123" s="32">
        <f t="shared" si="124"/>
        <v>24</v>
      </c>
      <c r="DI123" s="33">
        <f t="shared" si="125"/>
        <v>8.3333333333333339</v>
      </c>
      <c r="DJ123" s="34">
        <f t="shared" si="126"/>
        <v>12</v>
      </c>
      <c r="DK123" s="67">
        <f t="shared" si="127"/>
        <v>8.3452380952380949</v>
      </c>
      <c r="DL123" s="35">
        <f t="shared" si="128"/>
        <v>36</v>
      </c>
      <c r="DM123" s="59">
        <f t="shared" si="129"/>
        <v>66</v>
      </c>
      <c r="DN123" s="43" t="str">
        <f t="shared" si="185"/>
        <v>راسب(ة)</v>
      </c>
      <c r="DO123" s="44"/>
      <c r="DP123" s="50"/>
      <c r="DQ123" s="46"/>
    </row>
    <row r="124" spans="1:121" s="37" customFormat="1" ht="32.25" customHeight="1" thickBot="1">
      <c r="A124" s="49"/>
      <c r="B124" s="1">
        <v>23</v>
      </c>
      <c r="C124" s="249" t="s">
        <v>278</v>
      </c>
      <c r="D124" s="249" t="s">
        <v>279</v>
      </c>
      <c r="E124" s="47" t="s">
        <v>455</v>
      </c>
      <c r="F124" s="135">
        <v>34592</v>
      </c>
      <c r="G124" s="136" t="s">
        <v>110</v>
      </c>
      <c r="H124" s="131">
        <v>9.8800000000000008</v>
      </c>
      <c r="I124" s="132">
        <v>30</v>
      </c>
      <c r="J124" s="133">
        <v>10.130000000000001</v>
      </c>
      <c r="K124" s="134">
        <v>30</v>
      </c>
      <c r="L124" s="53">
        <f t="shared" si="130"/>
        <v>10.005000000000001</v>
      </c>
      <c r="M124" s="58">
        <f t="shared" si="131"/>
        <v>60</v>
      </c>
      <c r="N124" s="222">
        <v>13</v>
      </c>
      <c r="O124" s="223">
        <v>8</v>
      </c>
      <c r="P124" s="140"/>
      <c r="Q124" s="228">
        <f t="shared" si="132"/>
        <v>10.5</v>
      </c>
      <c r="R124" s="229">
        <f t="shared" si="133"/>
        <v>5</v>
      </c>
      <c r="S124" s="241">
        <v>15</v>
      </c>
      <c r="T124" s="242">
        <v>6.5</v>
      </c>
      <c r="U124" s="285"/>
      <c r="V124" s="228">
        <f t="shared" si="134"/>
        <v>10.75</v>
      </c>
      <c r="W124" s="229">
        <f t="shared" si="135"/>
        <v>6</v>
      </c>
      <c r="X124" s="245">
        <v>10</v>
      </c>
      <c r="Y124" s="246">
        <v>10</v>
      </c>
      <c r="Z124" s="285"/>
      <c r="AA124" s="228">
        <f t="shared" si="136"/>
        <v>10</v>
      </c>
      <c r="AB124" s="229">
        <f t="shared" si="137"/>
        <v>6</v>
      </c>
      <c r="AC124" s="232">
        <f t="shared" si="138"/>
        <v>10.416666666666666</v>
      </c>
      <c r="AD124" s="233">
        <f t="shared" si="139"/>
        <v>17</v>
      </c>
      <c r="AE124" s="242">
        <v>11</v>
      </c>
      <c r="AF124" s="285"/>
      <c r="AG124" s="234">
        <f t="shared" si="140"/>
        <v>11</v>
      </c>
      <c r="AH124" s="235">
        <f t="shared" si="141"/>
        <v>1</v>
      </c>
      <c r="AI124" s="241">
        <v>11.5</v>
      </c>
      <c r="AJ124" s="242">
        <v>7.5</v>
      </c>
      <c r="AK124" s="285">
        <v>11.5</v>
      </c>
      <c r="AL124" s="228">
        <f t="shared" si="142"/>
        <v>11.5</v>
      </c>
      <c r="AM124" s="229">
        <f t="shared" si="143"/>
        <v>3</v>
      </c>
      <c r="AN124" s="241">
        <v>6.75</v>
      </c>
      <c r="AO124" s="242">
        <v>0</v>
      </c>
      <c r="AP124" s="285">
        <v>2</v>
      </c>
      <c r="AQ124" s="228">
        <f t="shared" si="144"/>
        <v>4.375</v>
      </c>
      <c r="AR124" s="229">
        <f t="shared" si="145"/>
        <v>0</v>
      </c>
      <c r="AS124" s="236">
        <f t="shared" si="146"/>
        <v>8.5500000000000007</v>
      </c>
      <c r="AT124" s="237">
        <f t="shared" si="147"/>
        <v>4</v>
      </c>
      <c r="AU124" s="241">
        <v>6</v>
      </c>
      <c r="AV124" s="242">
        <v>3</v>
      </c>
      <c r="AW124" s="285">
        <v>11.5</v>
      </c>
      <c r="AX124" s="228">
        <f t="shared" si="148"/>
        <v>8.75</v>
      </c>
      <c r="AY124" s="229">
        <f t="shared" si="149"/>
        <v>0</v>
      </c>
      <c r="AZ124" s="242">
        <v>8</v>
      </c>
      <c r="BA124" s="285">
        <v>9.75</v>
      </c>
      <c r="BB124" s="234">
        <f t="shared" si="150"/>
        <v>9.75</v>
      </c>
      <c r="BC124" s="235">
        <f t="shared" si="151"/>
        <v>0</v>
      </c>
      <c r="BD124" s="236">
        <f t="shared" si="152"/>
        <v>9.25</v>
      </c>
      <c r="BE124" s="237">
        <f t="shared" si="153"/>
        <v>0</v>
      </c>
      <c r="BF124" s="245">
        <v>12.25</v>
      </c>
      <c r="BG124" s="246">
        <v>12.25</v>
      </c>
      <c r="BH124" s="285"/>
      <c r="BI124" s="228">
        <f t="shared" si="154"/>
        <v>12.25</v>
      </c>
      <c r="BJ124" s="229">
        <f t="shared" si="155"/>
        <v>1</v>
      </c>
      <c r="BK124" s="236">
        <f t="shared" si="156"/>
        <v>12.25</v>
      </c>
      <c r="BL124" s="237">
        <f t="shared" si="157"/>
        <v>1</v>
      </c>
      <c r="BM124" s="239">
        <f t="shared" si="158"/>
        <v>9.7142857142857135</v>
      </c>
      <c r="BN124" s="240">
        <f t="shared" si="159"/>
        <v>22</v>
      </c>
      <c r="BO124" s="271">
        <v>12.25</v>
      </c>
      <c r="BP124" s="272">
        <v>4</v>
      </c>
      <c r="BQ124" s="140">
        <v>10</v>
      </c>
      <c r="BR124" s="228">
        <f t="shared" si="160"/>
        <v>11.125</v>
      </c>
      <c r="BS124" s="229">
        <f t="shared" si="161"/>
        <v>6</v>
      </c>
      <c r="BT124" s="241">
        <v>10</v>
      </c>
      <c r="BU124" s="242">
        <v>10</v>
      </c>
      <c r="BV124" s="285"/>
      <c r="BW124" s="228">
        <f t="shared" si="162"/>
        <v>10</v>
      </c>
      <c r="BX124" s="229">
        <f t="shared" si="163"/>
        <v>6</v>
      </c>
      <c r="BY124" s="241">
        <v>9</v>
      </c>
      <c r="BZ124" s="242">
        <v>5</v>
      </c>
      <c r="CA124" s="285">
        <v>8</v>
      </c>
      <c r="CB124" s="228">
        <f t="shared" si="164"/>
        <v>8.5</v>
      </c>
      <c r="CC124" s="229">
        <f t="shared" si="165"/>
        <v>0</v>
      </c>
      <c r="CD124" s="297">
        <f t="shared" si="166"/>
        <v>10.15</v>
      </c>
      <c r="CE124" s="233">
        <f t="shared" si="167"/>
        <v>16</v>
      </c>
      <c r="CF124" s="241">
        <v>10</v>
      </c>
      <c r="CG124" s="242">
        <v>10</v>
      </c>
      <c r="CH124" s="285"/>
      <c r="CI124" s="228">
        <f t="shared" si="168"/>
        <v>10</v>
      </c>
      <c r="CJ124" s="229">
        <f t="shared" si="169"/>
        <v>5</v>
      </c>
      <c r="CK124" s="230">
        <v>13</v>
      </c>
      <c r="CL124" s="231">
        <v>2</v>
      </c>
      <c r="CM124" s="285">
        <v>7</v>
      </c>
      <c r="CN124" s="228">
        <f t="shared" si="170"/>
        <v>10</v>
      </c>
      <c r="CO124" s="229">
        <f t="shared" si="171"/>
        <v>5</v>
      </c>
      <c r="CP124" s="232">
        <f t="shared" si="172"/>
        <v>10</v>
      </c>
      <c r="CQ124" s="233">
        <f t="shared" si="173"/>
        <v>10</v>
      </c>
      <c r="CR124" s="230">
        <v>8</v>
      </c>
      <c r="CS124" s="231">
        <v>2.75</v>
      </c>
      <c r="CT124" s="285">
        <v>11</v>
      </c>
      <c r="CU124" s="228">
        <f t="shared" si="174"/>
        <v>9.5</v>
      </c>
      <c r="CV124" s="229">
        <f t="shared" si="175"/>
        <v>0</v>
      </c>
      <c r="CW124" s="232">
        <f t="shared" si="176"/>
        <v>9.5</v>
      </c>
      <c r="CX124" s="233">
        <f t="shared" si="177"/>
        <v>0</v>
      </c>
      <c r="CY124" s="231">
        <v>8</v>
      </c>
      <c r="CZ124" s="285">
        <v>14</v>
      </c>
      <c r="DA124" s="234">
        <f t="shared" si="178"/>
        <v>14</v>
      </c>
      <c r="DB124" s="235">
        <f t="shared" si="179"/>
        <v>1</v>
      </c>
      <c r="DC124" s="232">
        <f t="shared" si="180"/>
        <v>14</v>
      </c>
      <c r="DD124" s="233">
        <f t="shared" si="181"/>
        <v>1</v>
      </c>
      <c r="DE124" s="65">
        <f t="shared" si="182"/>
        <v>10.3125</v>
      </c>
      <c r="DF124" s="66">
        <f t="shared" si="183"/>
        <v>30</v>
      </c>
      <c r="DG124" s="31">
        <f t="shared" si="123"/>
        <v>9.7142857142857135</v>
      </c>
      <c r="DH124" s="32">
        <f t="shared" si="124"/>
        <v>30</v>
      </c>
      <c r="DI124" s="33">
        <f t="shared" si="125"/>
        <v>10.3125</v>
      </c>
      <c r="DJ124" s="34">
        <f t="shared" si="126"/>
        <v>30</v>
      </c>
      <c r="DK124" s="67">
        <f t="shared" si="127"/>
        <v>10.013392857142858</v>
      </c>
      <c r="DL124" s="35">
        <f t="shared" si="128"/>
        <v>60</v>
      </c>
      <c r="DM124" s="59">
        <f t="shared" si="129"/>
        <v>120</v>
      </c>
      <c r="DN124" s="43" t="s">
        <v>506</v>
      </c>
      <c r="DO124" s="44"/>
      <c r="DP124" s="50"/>
      <c r="DQ124" s="46"/>
    </row>
    <row r="125" spans="1:121" s="37" customFormat="1" ht="32.25" hidden="1" customHeight="1" thickBot="1">
      <c r="A125" s="49"/>
      <c r="B125" s="1">
        <f t="shared" si="184"/>
        <v>24</v>
      </c>
      <c r="C125" s="249"/>
      <c r="D125" s="249"/>
      <c r="E125" s="47"/>
      <c r="F125" s="135"/>
      <c r="G125" s="136"/>
      <c r="H125" s="131"/>
      <c r="I125" s="132"/>
      <c r="J125" s="133"/>
      <c r="K125" s="134"/>
      <c r="L125" s="53">
        <f t="shared" si="130"/>
        <v>0</v>
      </c>
      <c r="M125" s="58">
        <f t="shared" si="131"/>
        <v>0</v>
      </c>
      <c r="N125" s="222"/>
      <c r="O125" s="223"/>
      <c r="P125" s="140"/>
      <c r="Q125" s="228">
        <f t="shared" si="132"/>
        <v>0</v>
      </c>
      <c r="R125" s="229">
        <f t="shared" si="133"/>
        <v>0</v>
      </c>
      <c r="S125" s="241"/>
      <c r="T125" s="242"/>
      <c r="U125" s="285"/>
      <c r="V125" s="228">
        <f t="shared" si="134"/>
        <v>0</v>
      </c>
      <c r="W125" s="229">
        <f t="shared" si="135"/>
        <v>0</v>
      </c>
      <c r="X125" s="241"/>
      <c r="Y125" s="242"/>
      <c r="Z125" s="285"/>
      <c r="AA125" s="228">
        <f t="shared" si="136"/>
        <v>0</v>
      </c>
      <c r="AB125" s="229">
        <f t="shared" si="137"/>
        <v>0</v>
      </c>
      <c r="AC125" s="232">
        <f t="shared" si="138"/>
        <v>0</v>
      </c>
      <c r="AD125" s="233">
        <f t="shared" si="139"/>
        <v>0</v>
      </c>
      <c r="AE125" s="242"/>
      <c r="AF125" s="285"/>
      <c r="AG125" s="234">
        <f t="shared" si="140"/>
        <v>0</v>
      </c>
      <c r="AH125" s="235">
        <f t="shared" si="141"/>
        <v>0</v>
      </c>
      <c r="AI125" s="241"/>
      <c r="AJ125" s="242"/>
      <c r="AK125" s="285"/>
      <c r="AL125" s="228">
        <f t="shared" si="142"/>
        <v>0</v>
      </c>
      <c r="AM125" s="229">
        <f t="shared" si="143"/>
        <v>0</v>
      </c>
      <c r="AN125" s="241"/>
      <c r="AO125" s="242"/>
      <c r="AP125" s="285"/>
      <c r="AQ125" s="228">
        <f t="shared" si="144"/>
        <v>0</v>
      </c>
      <c r="AR125" s="229">
        <f t="shared" si="145"/>
        <v>0</v>
      </c>
      <c r="AS125" s="236">
        <f t="shared" si="146"/>
        <v>0</v>
      </c>
      <c r="AT125" s="237">
        <f t="shared" si="147"/>
        <v>0</v>
      </c>
      <c r="AU125" s="241"/>
      <c r="AV125" s="242"/>
      <c r="AW125" s="285"/>
      <c r="AX125" s="228">
        <f t="shared" si="148"/>
        <v>0</v>
      </c>
      <c r="AY125" s="229">
        <f t="shared" si="149"/>
        <v>0</v>
      </c>
      <c r="AZ125" s="242"/>
      <c r="BA125" s="285"/>
      <c r="BB125" s="234">
        <f t="shared" si="150"/>
        <v>0</v>
      </c>
      <c r="BC125" s="235">
        <f t="shared" si="151"/>
        <v>0</v>
      </c>
      <c r="BD125" s="236">
        <f t="shared" si="152"/>
        <v>0</v>
      </c>
      <c r="BE125" s="237">
        <f t="shared" si="153"/>
        <v>0</v>
      </c>
      <c r="BF125" s="241"/>
      <c r="BG125" s="242"/>
      <c r="BH125" s="285"/>
      <c r="BI125" s="228">
        <f t="shared" si="154"/>
        <v>0</v>
      </c>
      <c r="BJ125" s="229">
        <f t="shared" si="155"/>
        <v>0</v>
      </c>
      <c r="BK125" s="236">
        <f t="shared" si="156"/>
        <v>0</v>
      </c>
      <c r="BL125" s="237">
        <f t="shared" si="157"/>
        <v>0</v>
      </c>
      <c r="BM125" s="239">
        <f t="shared" si="158"/>
        <v>0</v>
      </c>
      <c r="BN125" s="240">
        <f t="shared" si="159"/>
        <v>0</v>
      </c>
      <c r="BO125" s="271">
        <v>12.25</v>
      </c>
      <c r="BP125" s="272">
        <v>5.5</v>
      </c>
      <c r="BQ125" s="140"/>
      <c r="BR125" s="228">
        <f t="shared" si="160"/>
        <v>8.875</v>
      </c>
      <c r="BS125" s="229">
        <f t="shared" si="161"/>
        <v>0</v>
      </c>
      <c r="BT125" s="241">
        <v>14.5</v>
      </c>
      <c r="BU125" s="242">
        <v>10.5</v>
      </c>
      <c r="BV125" s="285"/>
      <c r="BW125" s="228">
        <f t="shared" si="162"/>
        <v>12.5</v>
      </c>
      <c r="BX125" s="229">
        <f t="shared" si="163"/>
        <v>6</v>
      </c>
      <c r="BY125" s="241">
        <v>14.5</v>
      </c>
      <c r="BZ125" s="242">
        <v>5.5</v>
      </c>
      <c r="CA125" s="285"/>
      <c r="CB125" s="228">
        <f t="shared" si="164"/>
        <v>10</v>
      </c>
      <c r="CC125" s="229">
        <f t="shared" si="165"/>
        <v>4</v>
      </c>
      <c r="CD125" s="297">
        <f t="shared" si="166"/>
        <v>10.55</v>
      </c>
      <c r="CE125" s="233">
        <f t="shared" si="167"/>
        <v>16</v>
      </c>
      <c r="CF125" s="241">
        <v>16.5</v>
      </c>
      <c r="CG125" s="242">
        <v>12.5</v>
      </c>
      <c r="CH125" s="285"/>
      <c r="CI125" s="228">
        <f t="shared" si="168"/>
        <v>14.5</v>
      </c>
      <c r="CJ125" s="229">
        <f t="shared" si="169"/>
        <v>5</v>
      </c>
      <c r="CK125" s="230"/>
      <c r="CL125" s="231"/>
      <c r="CM125" s="285"/>
      <c r="CN125" s="228">
        <f t="shared" si="170"/>
        <v>0</v>
      </c>
      <c r="CO125" s="229">
        <f t="shared" si="171"/>
        <v>0</v>
      </c>
      <c r="CP125" s="232">
        <f t="shared" si="172"/>
        <v>7.25</v>
      </c>
      <c r="CQ125" s="233">
        <f t="shared" si="173"/>
        <v>5</v>
      </c>
      <c r="CR125" s="230"/>
      <c r="CS125" s="231"/>
      <c r="CT125" s="285"/>
      <c r="CU125" s="228">
        <f t="shared" si="174"/>
        <v>0</v>
      </c>
      <c r="CV125" s="229">
        <f t="shared" si="175"/>
        <v>0</v>
      </c>
      <c r="CW125" s="232">
        <f t="shared" si="176"/>
        <v>0</v>
      </c>
      <c r="CX125" s="233">
        <f t="shared" si="177"/>
        <v>0</v>
      </c>
      <c r="CY125" s="231"/>
      <c r="CZ125" s="285"/>
      <c r="DA125" s="234">
        <f t="shared" si="178"/>
        <v>0</v>
      </c>
      <c r="DB125" s="235">
        <f t="shared" si="179"/>
        <v>0</v>
      </c>
      <c r="DC125" s="232">
        <f t="shared" si="180"/>
        <v>0</v>
      </c>
      <c r="DD125" s="233">
        <f t="shared" si="181"/>
        <v>0</v>
      </c>
      <c r="DE125" s="65">
        <f t="shared" si="182"/>
        <v>6.8125</v>
      </c>
      <c r="DF125" s="66">
        <f t="shared" si="183"/>
        <v>21</v>
      </c>
      <c r="DG125" s="31">
        <f t="shared" si="123"/>
        <v>0</v>
      </c>
      <c r="DH125" s="32">
        <f t="shared" si="124"/>
        <v>0</v>
      </c>
      <c r="DI125" s="33">
        <f t="shared" si="125"/>
        <v>6.8125</v>
      </c>
      <c r="DJ125" s="34">
        <f t="shared" si="126"/>
        <v>21</v>
      </c>
      <c r="DK125" s="67">
        <f t="shared" si="127"/>
        <v>3.40625</v>
      </c>
      <c r="DL125" s="35">
        <f t="shared" si="128"/>
        <v>21</v>
      </c>
      <c r="DM125" s="59">
        <f t="shared" si="129"/>
        <v>21</v>
      </c>
      <c r="DN125" s="43" t="str">
        <f t="shared" si="185"/>
        <v>راسب(ة)</v>
      </c>
      <c r="DO125" s="44"/>
      <c r="DP125" s="50"/>
      <c r="DQ125" s="46"/>
    </row>
    <row r="126" spans="1:121" s="37" customFormat="1" ht="32.25" customHeight="1" thickBot="1">
      <c r="A126" s="49"/>
      <c r="B126" s="1">
        <v>24</v>
      </c>
      <c r="C126" s="249" t="s">
        <v>280</v>
      </c>
      <c r="D126" s="249" t="s">
        <v>281</v>
      </c>
      <c r="E126" s="47" t="s">
        <v>456</v>
      </c>
      <c r="F126" s="135">
        <v>34507</v>
      </c>
      <c r="G126" s="136" t="s">
        <v>110</v>
      </c>
      <c r="H126" s="131">
        <v>6.47</v>
      </c>
      <c r="I126" s="132">
        <v>16</v>
      </c>
      <c r="J126" s="133">
        <v>4.97</v>
      </c>
      <c r="K126" s="134">
        <v>14</v>
      </c>
      <c r="L126" s="53">
        <f t="shared" si="130"/>
        <v>5.72</v>
      </c>
      <c r="M126" s="58">
        <f t="shared" si="131"/>
        <v>30</v>
      </c>
      <c r="N126" s="222">
        <v>8</v>
      </c>
      <c r="O126" s="223">
        <v>8</v>
      </c>
      <c r="P126" s="140"/>
      <c r="Q126" s="228">
        <f t="shared" si="132"/>
        <v>8</v>
      </c>
      <c r="R126" s="229">
        <f t="shared" si="133"/>
        <v>0</v>
      </c>
      <c r="S126" s="241">
        <v>12.25</v>
      </c>
      <c r="T126" s="242">
        <v>12.25</v>
      </c>
      <c r="U126" s="285"/>
      <c r="V126" s="228">
        <f t="shared" si="134"/>
        <v>12.25</v>
      </c>
      <c r="W126" s="229">
        <f t="shared" si="135"/>
        <v>6</v>
      </c>
      <c r="X126" s="241">
        <v>9.8800000000000008</v>
      </c>
      <c r="Y126" s="242">
        <v>9.8800000000000008</v>
      </c>
      <c r="Z126" s="285"/>
      <c r="AA126" s="228">
        <f t="shared" si="136"/>
        <v>9.8800000000000008</v>
      </c>
      <c r="AB126" s="229">
        <f t="shared" si="137"/>
        <v>0</v>
      </c>
      <c r="AC126" s="232">
        <f t="shared" si="138"/>
        <v>10.043333333333335</v>
      </c>
      <c r="AD126" s="233">
        <f t="shared" si="139"/>
        <v>17</v>
      </c>
      <c r="AE126" s="242">
        <v>3.5</v>
      </c>
      <c r="AF126" s="285">
        <v>10</v>
      </c>
      <c r="AG126" s="234">
        <f t="shared" si="140"/>
        <v>10</v>
      </c>
      <c r="AH126" s="235">
        <f t="shared" si="141"/>
        <v>1</v>
      </c>
      <c r="AI126" s="241">
        <v>4</v>
      </c>
      <c r="AJ126" s="242">
        <v>0</v>
      </c>
      <c r="AK126" s="285">
        <v>2.5</v>
      </c>
      <c r="AL126" s="228">
        <f t="shared" si="142"/>
        <v>3.25</v>
      </c>
      <c r="AM126" s="229">
        <f t="shared" si="143"/>
        <v>0</v>
      </c>
      <c r="AN126" s="241">
        <v>7</v>
      </c>
      <c r="AO126" s="242">
        <v>3</v>
      </c>
      <c r="AP126" s="285"/>
      <c r="AQ126" s="228">
        <f t="shared" si="144"/>
        <v>5</v>
      </c>
      <c r="AR126" s="229">
        <f t="shared" si="145"/>
        <v>0</v>
      </c>
      <c r="AS126" s="236">
        <f t="shared" si="146"/>
        <v>5.3</v>
      </c>
      <c r="AT126" s="237">
        <f t="shared" si="147"/>
        <v>1</v>
      </c>
      <c r="AU126" s="245">
        <v>10.25</v>
      </c>
      <c r="AV126" s="242">
        <v>10.25</v>
      </c>
      <c r="AW126" s="285"/>
      <c r="AX126" s="228">
        <f t="shared" si="148"/>
        <v>10.25</v>
      </c>
      <c r="AY126" s="229">
        <f t="shared" si="149"/>
        <v>4</v>
      </c>
      <c r="AZ126" s="242">
        <v>0</v>
      </c>
      <c r="BA126" s="285"/>
      <c r="BB126" s="234">
        <f t="shared" si="150"/>
        <v>0</v>
      </c>
      <c r="BC126" s="235">
        <f t="shared" si="151"/>
        <v>0</v>
      </c>
      <c r="BD126" s="236">
        <f t="shared" si="152"/>
        <v>5.125</v>
      </c>
      <c r="BE126" s="237">
        <f t="shared" si="153"/>
        <v>4</v>
      </c>
      <c r="BF126" s="245">
        <v>11</v>
      </c>
      <c r="BG126" s="246">
        <v>11</v>
      </c>
      <c r="BH126" s="285"/>
      <c r="BI126" s="228">
        <f t="shared" si="154"/>
        <v>11</v>
      </c>
      <c r="BJ126" s="229">
        <f t="shared" si="155"/>
        <v>1</v>
      </c>
      <c r="BK126" s="236">
        <f t="shared" si="156"/>
        <v>11</v>
      </c>
      <c r="BL126" s="237">
        <f t="shared" si="157"/>
        <v>1</v>
      </c>
      <c r="BM126" s="239">
        <f t="shared" si="158"/>
        <v>7.7150000000000007</v>
      </c>
      <c r="BN126" s="240">
        <f t="shared" si="159"/>
        <v>23</v>
      </c>
      <c r="BO126" s="271">
        <v>11.5</v>
      </c>
      <c r="BP126" s="272">
        <v>1.25</v>
      </c>
      <c r="BQ126" s="140"/>
      <c r="BR126" s="228">
        <f t="shared" si="160"/>
        <v>6.375</v>
      </c>
      <c r="BS126" s="229">
        <f t="shared" si="161"/>
        <v>0</v>
      </c>
      <c r="BT126" s="241">
        <v>11</v>
      </c>
      <c r="BU126" s="242">
        <v>11</v>
      </c>
      <c r="BV126" s="285"/>
      <c r="BW126" s="228">
        <f t="shared" si="162"/>
        <v>11</v>
      </c>
      <c r="BX126" s="229">
        <f t="shared" si="163"/>
        <v>6</v>
      </c>
      <c r="BY126" s="241">
        <v>5.5</v>
      </c>
      <c r="BZ126" s="242">
        <v>0</v>
      </c>
      <c r="CA126" s="285"/>
      <c r="CB126" s="228">
        <f t="shared" si="164"/>
        <v>2.75</v>
      </c>
      <c r="CC126" s="229">
        <f t="shared" si="165"/>
        <v>0</v>
      </c>
      <c r="CD126" s="297">
        <f t="shared" si="166"/>
        <v>7.5</v>
      </c>
      <c r="CE126" s="233">
        <f t="shared" si="167"/>
        <v>6</v>
      </c>
      <c r="CF126" s="241">
        <v>3</v>
      </c>
      <c r="CG126" s="242">
        <v>6.25</v>
      </c>
      <c r="CH126" s="285"/>
      <c r="CI126" s="228">
        <f t="shared" si="168"/>
        <v>4.625</v>
      </c>
      <c r="CJ126" s="229">
        <f t="shared" si="169"/>
        <v>0</v>
      </c>
      <c r="CK126" s="230">
        <v>12.5</v>
      </c>
      <c r="CL126" s="231">
        <v>4</v>
      </c>
      <c r="CM126" s="285"/>
      <c r="CN126" s="228">
        <f t="shared" si="170"/>
        <v>8.25</v>
      </c>
      <c r="CO126" s="229">
        <f t="shared" si="171"/>
        <v>0</v>
      </c>
      <c r="CP126" s="232">
        <f t="shared" si="172"/>
        <v>6.4375</v>
      </c>
      <c r="CQ126" s="233">
        <f t="shared" si="173"/>
        <v>0</v>
      </c>
      <c r="CR126" s="230">
        <v>16</v>
      </c>
      <c r="CS126" s="231">
        <v>1.25</v>
      </c>
      <c r="CT126" s="285"/>
      <c r="CU126" s="228">
        <f t="shared" si="174"/>
        <v>8.625</v>
      </c>
      <c r="CV126" s="229">
        <f t="shared" si="175"/>
        <v>0</v>
      </c>
      <c r="CW126" s="232">
        <f t="shared" si="176"/>
        <v>8.625</v>
      </c>
      <c r="CX126" s="233">
        <f t="shared" si="177"/>
        <v>0</v>
      </c>
      <c r="CY126" s="231">
        <v>2</v>
      </c>
      <c r="CZ126" s="285"/>
      <c r="DA126" s="234">
        <f t="shared" si="178"/>
        <v>2</v>
      </c>
      <c r="DB126" s="235">
        <f t="shared" si="179"/>
        <v>0</v>
      </c>
      <c r="DC126" s="232">
        <f t="shared" si="180"/>
        <v>2</v>
      </c>
      <c r="DD126" s="233">
        <f t="shared" si="181"/>
        <v>0</v>
      </c>
      <c r="DE126" s="65">
        <f t="shared" si="182"/>
        <v>6.875</v>
      </c>
      <c r="DF126" s="66">
        <f t="shared" si="183"/>
        <v>6</v>
      </c>
      <c r="DG126" s="31">
        <f t="shared" si="123"/>
        <v>7.7150000000000007</v>
      </c>
      <c r="DH126" s="32">
        <f t="shared" si="124"/>
        <v>23</v>
      </c>
      <c r="DI126" s="33">
        <f t="shared" si="125"/>
        <v>6.875</v>
      </c>
      <c r="DJ126" s="34">
        <f t="shared" si="126"/>
        <v>6</v>
      </c>
      <c r="DK126" s="67">
        <f t="shared" si="127"/>
        <v>7.2949999999999999</v>
      </c>
      <c r="DL126" s="35">
        <f t="shared" si="128"/>
        <v>29</v>
      </c>
      <c r="DM126" s="59">
        <f t="shared" si="129"/>
        <v>59</v>
      </c>
      <c r="DN126" s="43" t="str">
        <f t="shared" si="185"/>
        <v>راسب(ة)</v>
      </c>
      <c r="DO126" s="44"/>
      <c r="DP126" s="50"/>
      <c r="DQ126" s="46"/>
    </row>
    <row r="127" spans="1:121" s="37" customFormat="1" ht="32.25" customHeight="1" thickBot="1">
      <c r="A127" s="49"/>
      <c r="B127" s="1">
        <f t="shared" si="184"/>
        <v>25</v>
      </c>
      <c r="C127" s="249" t="s">
        <v>282</v>
      </c>
      <c r="D127" s="249" t="s">
        <v>283</v>
      </c>
      <c r="E127" s="137" t="s">
        <v>457</v>
      </c>
      <c r="F127" s="135">
        <v>33472</v>
      </c>
      <c r="G127" s="136" t="s">
        <v>110</v>
      </c>
      <c r="H127" s="131">
        <v>8.6300000000000008</v>
      </c>
      <c r="I127" s="132">
        <v>25</v>
      </c>
      <c r="J127" s="133">
        <v>7.39</v>
      </c>
      <c r="K127" s="134">
        <v>18</v>
      </c>
      <c r="L127" s="53">
        <f t="shared" si="130"/>
        <v>8.01</v>
      </c>
      <c r="M127" s="58">
        <f t="shared" si="131"/>
        <v>43</v>
      </c>
      <c r="N127" s="222"/>
      <c r="O127" s="223">
        <v>8</v>
      </c>
      <c r="P127" s="140"/>
      <c r="Q127" s="228">
        <f t="shared" si="132"/>
        <v>4</v>
      </c>
      <c r="R127" s="229">
        <f t="shared" si="133"/>
        <v>0</v>
      </c>
      <c r="S127" s="241">
        <v>7.5</v>
      </c>
      <c r="T127" s="242">
        <v>2.5</v>
      </c>
      <c r="U127" s="285"/>
      <c r="V127" s="228">
        <f t="shared" si="134"/>
        <v>5</v>
      </c>
      <c r="W127" s="229">
        <f t="shared" si="135"/>
        <v>0</v>
      </c>
      <c r="X127" s="241">
        <v>4</v>
      </c>
      <c r="Y127" s="242">
        <v>4</v>
      </c>
      <c r="Z127" s="285"/>
      <c r="AA127" s="228">
        <f t="shared" si="136"/>
        <v>4</v>
      </c>
      <c r="AB127" s="229">
        <f t="shared" si="137"/>
        <v>0</v>
      </c>
      <c r="AC127" s="232">
        <f t="shared" si="138"/>
        <v>4.333333333333333</v>
      </c>
      <c r="AD127" s="233">
        <f t="shared" si="139"/>
        <v>0</v>
      </c>
      <c r="AE127" s="242">
        <v>8</v>
      </c>
      <c r="AF127" s="285"/>
      <c r="AG127" s="234">
        <f t="shared" si="140"/>
        <v>8</v>
      </c>
      <c r="AH127" s="235">
        <f t="shared" si="141"/>
        <v>0</v>
      </c>
      <c r="AI127" s="241">
        <v>0</v>
      </c>
      <c r="AJ127" s="242">
        <v>0</v>
      </c>
      <c r="AK127" s="285"/>
      <c r="AL127" s="228">
        <f t="shared" si="142"/>
        <v>0</v>
      </c>
      <c r="AM127" s="229">
        <f t="shared" si="143"/>
        <v>0</v>
      </c>
      <c r="AN127" s="241">
        <v>6</v>
      </c>
      <c r="AO127" s="242">
        <v>0</v>
      </c>
      <c r="AP127" s="285"/>
      <c r="AQ127" s="228">
        <f t="shared" si="144"/>
        <v>3</v>
      </c>
      <c r="AR127" s="229">
        <f t="shared" si="145"/>
        <v>0</v>
      </c>
      <c r="AS127" s="236">
        <f t="shared" si="146"/>
        <v>2.8</v>
      </c>
      <c r="AT127" s="237">
        <f t="shared" si="147"/>
        <v>0</v>
      </c>
      <c r="AU127" s="241"/>
      <c r="AV127" s="242">
        <v>3</v>
      </c>
      <c r="AW127" s="285"/>
      <c r="AX127" s="228">
        <f t="shared" si="148"/>
        <v>1.5</v>
      </c>
      <c r="AY127" s="229">
        <f t="shared" si="149"/>
        <v>0</v>
      </c>
      <c r="AZ127" s="242">
        <v>0</v>
      </c>
      <c r="BA127" s="285"/>
      <c r="BB127" s="234">
        <f t="shared" si="150"/>
        <v>0</v>
      </c>
      <c r="BC127" s="235">
        <f t="shared" si="151"/>
        <v>0</v>
      </c>
      <c r="BD127" s="236">
        <f t="shared" si="152"/>
        <v>0.75</v>
      </c>
      <c r="BE127" s="237">
        <f t="shared" si="153"/>
        <v>0</v>
      </c>
      <c r="BF127" s="241"/>
      <c r="BG127" s="242">
        <v>1</v>
      </c>
      <c r="BH127" s="285"/>
      <c r="BI127" s="228">
        <f t="shared" si="154"/>
        <v>0.5</v>
      </c>
      <c r="BJ127" s="229">
        <f t="shared" si="155"/>
        <v>0</v>
      </c>
      <c r="BK127" s="236">
        <f t="shared" si="156"/>
        <v>0.5</v>
      </c>
      <c r="BL127" s="237">
        <f t="shared" si="157"/>
        <v>0</v>
      </c>
      <c r="BM127" s="239">
        <f t="shared" si="158"/>
        <v>3</v>
      </c>
      <c r="BN127" s="240">
        <f t="shared" si="159"/>
        <v>0</v>
      </c>
      <c r="BO127" s="273"/>
      <c r="BP127" s="274"/>
      <c r="BQ127" s="140"/>
      <c r="BR127" s="228">
        <f t="shared" si="160"/>
        <v>0</v>
      </c>
      <c r="BS127" s="229">
        <f t="shared" si="161"/>
        <v>0</v>
      </c>
      <c r="BT127" s="282"/>
      <c r="BU127" s="283"/>
      <c r="BV127" s="285"/>
      <c r="BW127" s="228">
        <f t="shared" si="162"/>
        <v>0</v>
      </c>
      <c r="BX127" s="229">
        <f t="shared" si="163"/>
        <v>0</v>
      </c>
      <c r="BY127" s="282"/>
      <c r="BZ127" s="283"/>
      <c r="CA127" s="285"/>
      <c r="CB127" s="228">
        <f t="shared" si="164"/>
        <v>0</v>
      </c>
      <c r="CC127" s="229">
        <f t="shared" si="165"/>
        <v>0</v>
      </c>
      <c r="CD127" s="297">
        <f t="shared" si="166"/>
        <v>0</v>
      </c>
      <c r="CE127" s="233">
        <f t="shared" si="167"/>
        <v>0</v>
      </c>
      <c r="CF127" s="282">
        <v>0</v>
      </c>
      <c r="CG127" s="283"/>
      <c r="CH127" s="285"/>
      <c r="CI127" s="228">
        <f t="shared" si="168"/>
        <v>0</v>
      </c>
      <c r="CJ127" s="229">
        <f t="shared" si="169"/>
        <v>0</v>
      </c>
      <c r="CK127" s="230"/>
      <c r="CL127" s="231"/>
      <c r="CM127" s="285"/>
      <c r="CN127" s="228">
        <f t="shared" si="170"/>
        <v>0</v>
      </c>
      <c r="CO127" s="229">
        <f t="shared" si="171"/>
        <v>0</v>
      </c>
      <c r="CP127" s="232">
        <f t="shared" si="172"/>
        <v>0</v>
      </c>
      <c r="CQ127" s="233">
        <f t="shared" si="173"/>
        <v>0</v>
      </c>
      <c r="CR127" s="230"/>
      <c r="CS127" s="231"/>
      <c r="CT127" s="285"/>
      <c r="CU127" s="228">
        <f t="shared" si="174"/>
        <v>0</v>
      </c>
      <c r="CV127" s="229">
        <f t="shared" si="175"/>
        <v>0</v>
      </c>
      <c r="CW127" s="232">
        <f t="shared" si="176"/>
        <v>0</v>
      </c>
      <c r="CX127" s="233">
        <f t="shared" si="177"/>
        <v>0</v>
      </c>
      <c r="CY127" s="231"/>
      <c r="CZ127" s="285"/>
      <c r="DA127" s="234">
        <f t="shared" si="178"/>
        <v>0</v>
      </c>
      <c r="DB127" s="235">
        <f t="shared" si="179"/>
        <v>0</v>
      </c>
      <c r="DC127" s="232">
        <f t="shared" si="180"/>
        <v>0</v>
      </c>
      <c r="DD127" s="233">
        <f t="shared" si="181"/>
        <v>0</v>
      </c>
      <c r="DE127" s="65">
        <f t="shared" si="182"/>
        <v>0</v>
      </c>
      <c r="DF127" s="66">
        <f t="shared" si="183"/>
        <v>0</v>
      </c>
      <c r="DG127" s="31">
        <f t="shared" si="123"/>
        <v>3</v>
      </c>
      <c r="DH127" s="32">
        <f t="shared" si="124"/>
        <v>0</v>
      </c>
      <c r="DI127" s="33">
        <f t="shared" si="125"/>
        <v>0</v>
      </c>
      <c r="DJ127" s="34">
        <f t="shared" si="126"/>
        <v>0</v>
      </c>
      <c r="DK127" s="67">
        <f t="shared" si="127"/>
        <v>1.5</v>
      </c>
      <c r="DL127" s="35">
        <f t="shared" si="128"/>
        <v>0</v>
      </c>
      <c r="DM127" s="59">
        <f t="shared" si="129"/>
        <v>43</v>
      </c>
      <c r="DN127" s="43" t="s">
        <v>509</v>
      </c>
      <c r="DO127" s="44"/>
      <c r="DP127" s="50"/>
      <c r="DQ127" s="46"/>
    </row>
    <row r="128" spans="1:121" s="37" customFormat="1" ht="32.25" customHeight="1" thickBot="1">
      <c r="A128" s="49"/>
      <c r="B128" s="1">
        <f t="shared" si="184"/>
        <v>26</v>
      </c>
      <c r="C128" s="249" t="s">
        <v>284</v>
      </c>
      <c r="D128" s="249" t="s">
        <v>152</v>
      </c>
      <c r="E128" s="47" t="s">
        <v>458</v>
      </c>
      <c r="F128" s="135">
        <v>35442</v>
      </c>
      <c r="G128" s="136" t="s">
        <v>110</v>
      </c>
      <c r="H128" s="131">
        <v>10.09</v>
      </c>
      <c r="I128" s="132">
        <v>30</v>
      </c>
      <c r="J128" s="133">
        <v>9.92</v>
      </c>
      <c r="K128" s="134">
        <v>30</v>
      </c>
      <c r="L128" s="53">
        <f t="shared" si="130"/>
        <v>10.004999999999999</v>
      </c>
      <c r="M128" s="58">
        <f t="shared" si="131"/>
        <v>60</v>
      </c>
      <c r="N128" s="222">
        <v>13</v>
      </c>
      <c r="O128" s="223">
        <v>8</v>
      </c>
      <c r="P128" s="140"/>
      <c r="Q128" s="228">
        <f t="shared" si="132"/>
        <v>10.5</v>
      </c>
      <c r="R128" s="229">
        <f t="shared" si="133"/>
        <v>5</v>
      </c>
      <c r="S128" s="241">
        <v>14.5</v>
      </c>
      <c r="T128" s="242">
        <v>6.5</v>
      </c>
      <c r="U128" s="285"/>
      <c r="V128" s="228">
        <f t="shared" si="134"/>
        <v>10.5</v>
      </c>
      <c r="W128" s="229">
        <f t="shared" si="135"/>
        <v>6</v>
      </c>
      <c r="X128" s="241">
        <v>12</v>
      </c>
      <c r="Y128" s="242">
        <v>4</v>
      </c>
      <c r="Z128" s="285"/>
      <c r="AA128" s="228">
        <f t="shared" si="136"/>
        <v>8</v>
      </c>
      <c r="AB128" s="229">
        <f t="shared" si="137"/>
        <v>0</v>
      </c>
      <c r="AC128" s="232">
        <f t="shared" si="138"/>
        <v>9.6666666666666661</v>
      </c>
      <c r="AD128" s="233">
        <f t="shared" si="139"/>
        <v>11</v>
      </c>
      <c r="AE128" s="242">
        <v>14.5</v>
      </c>
      <c r="AF128" s="285"/>
      <c r="AG128" s="234">
        <f t="shared" si="140"/>
        <v>14.5</v>
      </c>
      <c r="AH128" s="235">
        <f t="shared" si="141"/>
        <v>1</v>
      </c>
      <c r="AI128" s="241">
        <v>14.25</v>
      </c>
      <c r="AJ128" s="242">
        <v>9.5</v>
      </c>
      <c r="AK128" s="285"/>
      <c r="AL128" s="228">
        <f t="shared" si="142"/>
        <v>11.875</v>
      </c>
      <c r="AM128" s="229">
        <f t="shared" si="143"/>
        <v>3</v>
      </c>
      <c r="AN128" s="241">
        <v>10</v>
      </c>
      <c r="AO128" s="242">
        <v>2.25</v>
      </c>
      <c r="AP128" s="285"/>
      <c r="AQ128" s="228">
        <f t="shared" si="144"/>
        <v>6.125</v>
      </c>
      <c r="AR128" s="229">
        <f t="shared" si="145"/>
        <v>0</v>
      </c>
      <c r="AS128" s="236">
        <f t="shared" si="146"/>
        <v>10.1</v>
      </c>
      <c r="AT128" s="237">
        <f t="shared" si="147"/>
        <v>7</v>
      </c>
      <c r="AU128" s="241">
        <v>14</v>
      </c>
      <c r="AV128" s="242">
        <v>6</v>
      </c>
      <c r="AW128" s="285"/>
      <c r="AX128" s="228">
        <f t="shared" si="148"/>
        <v>10</v>
      </c>
      <c r="AY128" s="229">
        <f t="shared" si="149"/>
        <v>4</v>
      </c>
      <c r="AZ128" s="242">
        <v>13</v>
      </c>
      <c r="BA128" s="285"/>
      <c r="BB128" s="234">
        <f t="shared" si="150"/>
        <v>13</v>
      </c>
      <c r="BC128" s="235">
        <f t="shared" si="151"/>
        <v>1</v>
      </c>
      <c r="BD128" s="236">
        <f t="shared" si="152"/>
        <v>11.5</v>
      </c>
      <c r="BE128" s="237">
        <f t="shared" si="153"/>
        <v>5</v>
      </c>
      <c r="BF128" s="241">
        <v>12.75</v>
      </c>
      <c r="BG128" s="242">
        <v>10.25</v>
      </c>
      <c r="BH128" s="285"/>
      <c r="BI128" s="228">
        <f t="shared" si="154"/>
        <v>11.5</v>
      </c>
      <c r="BJ128" s="229">
        <f t="shared" si="155"/>
        <v>1</v>
      </c>
      <c r="BK128" s="236">
        <f t="shared" si="156"/>
        <v>11.5</v>
      </c>
      <c r="BL128" s="237">
        <f t="shared" si="157"/>
        <v>1</v>
      </c>
      <c r="BM128" s="239">
        <f t="shared" si="158"/>
        <v>10.214285714285714</v>
      </c>
      <c r="BN128" s="240">
        <f t="shared" si="159"/>
        <v>30</v>
      </c>
      <c r="BO128" s="271">
        <v>13.5</v>
      </c>
      <c r="BP128" s="272">
        <v>6.75</v>
      </c>
      <c r="BQ128" s="140"/>
      <c r="BR128" s="228">
        <f t="shared" si="160"/>
        <v>10.125</v>
      </c>
      <c r="BS128" s="229">
        <f t="shared" si="161"/>
        <v>6</v>
      </c>
      <c r="BT128" s="241">
        <v>14.5</v>
      </c>
      <c r="BU128" s="242">
        <v>4.5</v>
      </c>
      <c r="BV128" s="285">
        <v>10.5</v>
      </c>
      <c r="BW128" s="228">
        <f t="shared" si="162"/>
        <v>12.5</v>
      </c>
      <c r="BX128" s="229">
        <f t="shared" si="163"/>
        <v>6</v>
      </c>
      <c r="BY128" s="241">
        <v>9</v>
      </c>
      <c r="BZ128" s="242">
        <v>2</v>
      </c>
      <c r="CA128" s="285"/>
      <c r="CB128" s="228">
        <f t="shared" si="164"/>
        <v>5.5</v>
      </c>
      <c r="CC128" s="229">
        <f t="shared" si="165"/>
        <v>0</v>
      </c>
      <c r="CD128" s="297">
        <f t="shared" si="166"/>
        <v>10.15</v>
      </c>
      <c r="CE128" s="233">
        <f t="shared" si="167"/>
        <v>16</v>
      </c>
      <c r="CF128" s="241">
        <v>9.5</v>
      </c>
      <c r="CG128" s="242">
        <v>4.25</v>
      </c>
      <c r="CH128" s="285">
        <v>7</v>
      </c>
      <c r="CI128" s="228">
        <f t="shared" si="168"/>
        <v>8.25</v>
      </c>
      <c r="CJ128" s="229">
        <f t="shared" si="169"/>
        <v>0</v>
      </c>
      <c r="CK128" s="230">
        <v>12.5</v>
      </c>
      <c r="CL128" s="231">
        <v>2</v>
      </c>
      <c r="CM128" s="285">
        <v>7.5</v>
      </c>
      <c r="CN128" s="228">
        <f t="shared" si="170"/>
        <v>10</v>
      </c>
      <c r="CO128" s="229">
        <f t="shared" si="171"/>
        <v>5</v>
      </c>
      <c r="CP128" s="232">
        <f t="shared" si="172"/>
        <v>9.125</v>
      </c>
      <c r="CQ128" s="233">
        <f t="shared" si="173"/>
        <v>5</v>
      </c>
      <c r="CR128" s="230">
        <v>9.5</v>
      </c>
      <c r="CS128" s="231">
        <v>1.25</v>
      </c>
      <c r="CT128" s="285">
        <v>10</v>
      </c>
      <c r="CU128" s="228">
        <f t="shared" si="174"/>
        <v>9.75</v>
      </c>
      <c r="CV128" s="229">
        <f t="shared" si="175"/>
        <v>0</v>
      </c>
      <c r="CW128" s="232">
        <f t="shared" si="176"/>
        <v>9.75</v>
      </c>
      <c r="CX128" s="233">
        <f t="shared" si="177"/>
        <v>0</v>
      </c>
      <c r="CY128" s="231">
        <v>11</v>
      </c>
      <c r="CZ128" s="285"/>
      <c r="DA128" s="234">
        <f t="shared" si="178"/>
        <v>11</v>
      </c>
      <c r="DB128" s="235">
        <f t="shared" si="179"/>
        <v>1</v>
      </c>
      <c r="DC128" s="232">
        <f t="shared" si="180"/>
        <v>11</v>
      </c>
      <c r="DD128" s="233">
        <f t="shared" si="181"/>
        <v>1</v>
      </c>
      <c r="DE128" s="65">
        <f t="shared" si="182"/>
        <v>9.8125</v>
      </c>
      <c r="DF128" s="66">
        <v>30</v>
      </c>
      <c r="DG128" s="31">
        <f t="shared" si="123"/>
        <v>10.214285714285714</v>
      </c>
      <c r="DH128" s="32">
        <f t="shared" si="124"/>
        <v>30</v>
      </c>
      <c r="DI128" s="33">
        <f t="shared" si="125"/>
        <v>9.8125</v>
      </c>
      <c r="DJ128" s="34">
        <f t="shared" si="126"/>
        <v>30</v>
      </c>
      <c r="DK128" s="67">
        <f t="shared" si="127"/>
        <v>10.013392857142858</v>
      </c>
      <c r="DL128" s="35">
        <f t="shared" si="128"/>
        <v>60</v>
      </c>
      <c r="DM128" s="59">
        <f t="shared" si="129"/>
        <v>120</v>
      </c>
      <c r="DN128" s="43" t="s">
        <v>506</v>
      </c>
      <c r="DO128" s="44"/>
      <c r="DP128" s="50"/>
      <c r="DQ128" s="46"/>
    </row>
    <row r="129" spans="1:121" s="37" customFormat="1" ht="32.25" customHeight="1" thickBot="1">
      <c r="A129" s="49"/>
      <c r="B129" s="1">
        <f t="shared" si="184"/>
        <v>27</v>
      </c>
      <c r="C129" s="249" t="s">
        <v>285</v>
      </c>
      <c r="D129" s="249" t="s">
        <v>286</v>
      </c>
      <c r="E129" s="47" t="s">
        <v>459</v>
      </c>
      <c r="F129" s="135">
        <v>35537</v>
      </c>
      <c r="G129" s="136" t="s">
        <v>110</v>
      </c>
      <c r="H129" s="131">
        <v>8.6300000000000008</v>
      </c>
      <c r="I129" s="132">
        <v>16</v>
      </c>
      <c r="J129" s="133">
        <v>8.65</v>
      </c>
      <c r="K129" s="134">
        <v>19</v>
      </c>
      <c r="L129" s="53">
        <f t="shared" si="130"/>
        <v>8.64</v>
      </c>
      <c r="M129" s="58">
        <f t="shared" si="131"/>
        <v>35</v>
      </c>
      <c r="N129" s="222">
        <v>13</v>
      </c>
      <c r="O129" s="223">
        <v>9</v>
      </c>
      <c r="P129" s="140"/>
      <c r="Q129" s="228">
        <f t="shared" si="132"/>
        <v>11</v>
      </c>
      <c r="R129" s="229">
        <f t="shared" si="133"/>
        <v>5</v>
      </c>
      <c r="S129" s="241">
        <v>15.5</v>
      </c>
      <c r="T129" s="242">
        <v>5</v>
      </c>
      <c r="U129" s="285"/>
      <c r="V129" s="228">
        <f t="shared" si="134"/>
        <v>10.25</v>
      </c>
      <c r="W129" s="229">
        <f t="shared" si="135"/>
        <v>6</v>
      </c>
      <c r="X129" s="241">
        <v>15</v>
      </c>
      <c r="Y129" s="242">
        <v>2.75</v>
      </c>
      <c r="Z129" s="285"/>
      <c r="AA129" s="228">
        <f t="shared" si="136"/>
        <v>8.875</v>
      </c>
      <c r="AB129" s="229">
        <f t="shared" si="137"/>
        <v>0</v>
      </c>
      <c r="AC129" s="232">
        <f t="shared" si="138"/>
        <v>10.041666666666666</v>
      </c>
      <c r="AD129" s="233">
        <f t="shared" si="139"/>
        <v>17</v>
      </c>
      <c r="AE129" s="242">
        <v>12</v>
      </c>
      <c r="AF129" s="285"/>
      <c r="AG129" s="234">
        <f t="shared" si="140"/>
        <v>12</v>
      </c>
      <c r="AH129" s="235">
        <f t="shared" si="141"/>
        <v>1</v>
      </c>
      <c r="AI129" s="241">
        <v>13</v>
      </c>
      <c r="AJ129" s="242">
        <v>7.5</v>
      </c>
      <c r="AK129" s="285">
        <v>13</v>
      </c>
      <c r="AL129" s="228">
        <f t="shared" si="142"/>
        <v>13</v>
      </c>
      <c r="AM129" s="229">
        <f t="shared" si="143"/>
        <v>3</v>
      </c>
      <c r="AN129" s="241">
        <v>8.5</v>
      </c>
      <c r="AO129" s="242">
        <v>0.5</v>
      </c>
      <c r="AP129" s="285">
        <v>3.25</v>
      </c>
      <c r="AQ129" s="228">
        <f t="shared" si="144"/>
        <v>5.875</v>
      </c>
      <c r="AR129" s="229">
        <f t="shared" si="145"/>
        <v>0</v>
      </c>
      <c r="AS129" s="236">
        <f t="shared" si="146"/>
        <v>9.9499999999999993</v>
      </c>
      <c r="AT129" s="237">
        <f t="shared" si="147"/>
        <v>4</v>
      </c>
      <c r="AU129" s="241">
        <v>10</v>
      </c>
      <c r="AV129" s="242">
        <v>3</v>
      </c>
      <c r="AW129" s="285">
        <v>6.25</v>
      </c>
      <c r="AX129" s="228">
        <f t="shared" si="148"/>
        <v>8.125</v>
      </c>
      <c r="AY129" s="229">
        <f t="shared" si="149"/>
        <v>0</v>
      </c>
      <c r="AZ129" s="242">
        <v>3</v>
      </c>
      <c r="BA129" s="285">
        <v>12</v>
      </c>
      <c r="BB129" s="234">
        <f t="shared" si="150"/>
        <v>12</v>
      </c>
      <c r="BC129" s="235">
        <f t="shared" si="151"/>
        <v>1</v>
      </c>
      <c r="BD129" s="236">
        <f t="shared" si="152"/>
        <v>10.0625</v>
      </c>
      <c r="BE129" s="237">
        <f t="shared" si="153"/>
        <v>5</v>
      </c>
      <c r="BF129" s="241">
        <v>11.25</v>
      </c>
      <c r="BG129" s="242">
        <v>9</v>
      </c>
      <c r="BH129" s="285"/>
      <c r="BI129" s="228">
        <f t="shared" si="154"/>
        <v>10.125</v>
      </c>
      <c r="BJ129" s="229">
        <f t="shared" si="155"/>
        <v>1</v>
      </c>
      <c r="BK129" s="236">
        <f t="shared" si="156"/>
        <v>10.125</v>
      </c>
      <c r="BL129" s="237">
        <f t="shared" si="157"/>
        <v>1</v>
      </c>
      <c r="BM129" s="239">
        <f t="shared" si="158"/>
        <v>10.017857142857142</v>
      </c>
      <c r="BN129" s="240">
        <f t="shared" si="159"/>
        <v>30</v>
      </c>
      <c r="BO129" s="271">
        <v>14.25</v>
      </c>
      <c r="BP129" s="272">
        <v>7.25</v>
      </c>
      <c r="BQ129" s="140"/>
      <c r="BR129" s="228">
        <f t="shared" si="160"/>
        <v>10.75</v>
      </c>
      <c r="BS129" s="229">
        <f t="shared" si="161"/>
        <v>6</v>
      </c>
      <c r="BT129" s="241">
        <v>17</v>
      </c>
      <c r="BU129" s="242">
        <v>3</v>
      </c>
      <c r="BV129" s="285"/>
      <c r="BW129" s="228">
        <f t="shared" si="162"/>
        <v>10</v>
      </c>
      <c r="BX129" s="229">
        <f t="shared" si="163"/>
        <v>6</v>
      </c>
      <c r="BY129" s="241">
        <v>16</v>
      </c>
      <c r="BZ129" s="242">
        <v>5.25</v>
      </c>
      <c r="CA129" s="285"/>
      <c r="CB129" s="228">
        <f t="shared" si="164"/>
        <v>10.625</v>
      </c>
      <c r="CC129" s="229">
        <f t="shared" si="165"/>
        <v>4</v>
      </c>
      <c r="CD129" s="297">
        <f t="shared" si="166"/>
        <v>10.425000000000001</v>
      </c>
      <c r="CE129" s="233">
        <f t="shared" si="167"/>
        <v>16</v>
      </c>
      <c r="CF129" s="241">
        <v>5</v>
      </c>
      <c r="CG129" s="242">
        <v>6</v>
      </c>
      <c r="CH129" s="285"/>
      <c r="CI129" s="228">
        <f t="shared" si="168"/>
        <v>5.5</v>
      </c>
      <c r="CJ129" s="229">
        <f t="shared" si="169"/>
        <v>0</v>
      </c>
      <c r="CK129" s="230">
        <v>13.5</v>
      </c>
      <c r="CL129" s="231">
        <v>8</v>
      </c>
      <c r="CM129" s="285"/>
      <c r="CN129" s="228">
        <f t="shared" si="170"/>
        <v>10.75</v>
      </c>
      <c r="CO129" s="229">
        <f t="shared" si="171"/>
        <v>5</v>
      </c>
      <c r="CP129" s="232">
        <f t="shared" si="172"/>
        <v>8.125</v>
      </c>
      <c r="CQ129" s="233">
        <f t="shared" si="173"/>
        <v>5</v>
      </c>
      <c r="CR129" s="230">
        <v>12</v>
      </c>
      <c r="CS129" s="231">
        <v>1.75</v>
      </c>
      <c r="CT129" s="285"/>
      <c r="CU129" s="228">
        <f t="shared" si="174"/>
        <v>6.875</v>
      </c>
      <c r="CV129" s="229">
        <f t="shared" si="175"/>
        <v>0</v>
      </c>
      <c r="CW129" s="232">
        <f t="shared" si="176"/>
        <v>6.875</v>
      </c>
      <c r="CX129" s="233">
        <f t="shared" si="177"/>
        <v>0</v>
      </c>
      <c r="CY129" s="231">
        <v>10</v>
      </c>
      <c r="CZ129" s="285"/>
      <c r="DA129" s="234">
        <f t="shared" si="178"/>
        <v>10</v>
      </c>
      <c r="DB129" s="235">
        <f t="shared" si="179"/>
        <v>1</v>
      </c>
      <c r="DC129" s="232">
        <f t="shared" si="180"/>
        <v>10</v>
      </c>
      <c r="DD129" s="233">
        <f t="shared" si="181"/>
        <v>1</v>
      </c>
      <c r="DE129" s="65">
        <f t="shared" si="182"/>
        <v>9.03125</v>
      </c>
      <c r="DF129" s="66">
        <f t="shared" si="183"/>
        <v>22</v>
      </c>
      <c r="DG129" s="31">
        <f t="shared" si="123"/>
        <v>10.017857142857142</v>
      </c>
      <c r="DH129" s="32">
        <f t="shared" si="124"/>
        <v>30</v>
      </c>
      <c r="DI129" s="33">
        <f t="shared" si="125"/>
        <v>9.03125</v>
      </c>
      <c r="DJ129" s="34">
        <f t="shared" si="126"/>
        <v>22</v>
      </c>
      <c r="DK129" s="67">
        <f t="shared" si="127"/>
        <v>9.5245535714285712</v>
      </c>
      <c r="DL129" s="35">
        <f t="shared" si="128"/>
        <v>52</v>
      </c>
      <c r="DM129" s="59">
        <f t="shared" si="129"/>
        <v>87</v>
      </c>
      <c r="DN129" s="43" t="str">
        <f t="shared" si="185"/>
        <v>راسب(ة)</v>
      </c>
      <c r="DO129" s="44"/>
      <c r="DP129" s="51"/>
      <c r="DQ129" s="46"/>
    </row>
    <row r="130" spans="1:121" s="37" customFormat="1" ht="32.25" customHeight="1" thickBot="1">
      <c r="A130" s="49"/>
      <c r="B130" s="1">
        <f t="shared" si="184"/>
        <v>28</v>
      </c>
      <c r="C130" s="249" t="s">
        <v>287</v>
      </c>
      <c r="D130" s="249" t="s">
        <v>288</v>
      </c>
      <c r="E130" s="47" t="s">
        <v>460</v>
      </c>
      <c r="F130" s="135">
        <v>35028</v>
      </c>
      <c r="G130" s="136" t="s">
        <v>110</v>
      </c>
      <c r="H130" s="131">
        <v>6.33</v>
      </c>
      <c r="I130" s="132">
        <v>16</v>
      </c>
      <c r="J130" s="133">
        <v>7.5</v>
      </c>
      <c r="K130" s="134">
        <v>16</v>
      </c>
      <c r="L130" s="53">
        <f t="shared" si="130"/>
        <v>6.915</v>
      </c>
      <c r="M130" s="58">
        <f t="shared" si="131"/>
        <v>32</v>
      </c>
      <c r="N130" s="222">
        <v>13</v>
      </c>
      <c r="O130" s="223">
        <v>0</v>
      </c>
      <c r="P130" s="140"/>
      <c r="Q130" s="228">
        <f t="shared" si="132"/>
        <v>6.5</v>
      </c>
      <c r="R130" s="229">
        <f t="shared" si="133"/>
        <v>0</v>
      </c>
      <c r="S130" s="241">
        <v>8.5</v>
      </c>
      <c r="T130" s="242">
        <v>1</v>
      </c>
      <c r="U130" s="285"/>
      <c r="V130" s="228">
        <f t="shared" si="134"/>
        <v>4.75</v>
      </c>
      <c r="W130" s="229">
        <f t="shared" si="135"/>
        <v>0</v>
      </c>
      <c r="X130" s="241">
        <v>8</v>
      </c>
      <c r="Y130" s="242">
        <v>3</v>
      </c>
      <c r="Z130" s="285"/>
      <c r="AA130" s="228">
        <f t="shared" si="136"/>
        <v>5.5</v>
      </c>
      <c r="AB130" s="229">
        <f t="shared" si="137"/>
        <v>0</v>
      </c>
      <c r="AC130" s="232">
        <f t="shared" si="138"/>
        <v>5.583333333333333</v>
      </c>
      <c r="AD130" s="233">
        <f t="shared" si="139"/>
        <v>0</v>
      </c>
      <c r="AE130" s="242">
        <v>5.5</v>
      </c>
      <c r="AF130" s="285"/>
      <c r="AG130" s="234">
        <f t="shared" si="140"/>
        <v>5.5</v>
      </c>
      <c r="AH130" s="235">
        <f t="shared" si="141"/>
        <v>0</v>
      </c>
      <c r="AI130" s="241">
        <v>0</v>
      </c>
      <c r="AJ130" s="242">
        <v>0</v>
      </c>
      <c r="AK130" s="285"/>
      <c r="AL130" s="228">
        <f t="shared" si="142"/>
        <v>0</v>
      </c>
      <c r="AM130" s="229">
        <f t="shared" si="143"/>
        <v>0</v>
      </c>
      <c r="AN130" s="241">
        <v>12</v>
      </c>
      <c r="AO130" s="242">
        <v>0</v>
      </c>
      <c r="AP130" s="285"/>
      <c r="AQ130" s="228">
        <f t="shared" si="144"/>
        <v>6</v>
      </c>
      <c r="AR130" s="229">
        <f t="shared" si="145"/>
        <v>0</v>
      </c>
      <c r="AS130" s="236">
        <f t="shared" si="146"/>
        <v>3.5</v>
      </c>
      <c r="AT130" s="237">
        <f t="shared" si="147"/>
        <v>0</v>
      </c>
      <c r="AU130" s="241"/>
      <c r="AV130" s="242">
        <v>1</v>
      </c>
      <c r="AW130" s="285"/>
      <c r="AX130" s="228">
        <f t="shared" si="148"/>
        <v>0.5</v>
      </c>
      <c r="AY130" s="229">
        <f t="shared" si="149"/>
        <v>0</v>
      </c>
      <c r="AZ130" s="242">
        <v>0</v>
      </c>
      <c r="BA130" s="285"/>
      <c r="BB130" s="234">
        <f t="shared" si="150"/>
        <v>0</v>
      </c>
      <c r="BC130" s="235">
        <f t="shared" si="151"/>
        <v>0</v>
      </c>
      <c r="BD130" s="236">
        <f t="shared" si="152"/>
        <v>0.25</v>
      </c>
      <c r="BE130" s="237">
        <f t="shared" si="153"/>
        <v>0</v>
      </c>
      <c r="BF130" s="241">
        <v>12</v>
      </c>
      <c r="BG130" s="242">
        <v>5.5</v>
      </c>
      <c r="BH130" s="285"/>
      <c r="BI130" s="228">
        <f t="shared" si="154"/>
        <v>8.75</v>
      </c>
      <c r="BJ130" s="229">
        <f t="shared" si="155"/>
        <v>0</v>
      </c>
      <c r="BK130" s="236">
        <f t="shared" si="156"/>
        <v>8.75</v>
      </c>
      <c r="BL130" s="237">
        <f t="shared" si="157"/>
        <v>0</v>
      </c>
      <c r="BM130" s="239">
        <f t="shared" si="158"/>
        <v>4.3035714285714288</v>
      </c>
      <c r="BN130" s="240">
        <f t="shared" si="159"/>
        <v>0</v>
      </c>
      <c r="BO130" s="271">
        <v>9</v>
      </c>
      <c r="BP130" s="272">
        <v>1</v>
      </c>
      <c r="BQ130" s="140"/>
      <c r="BR130" s="228">
        <f t="shared" si="160"/>
        <v>5</v>
      </c>
      <c r="BS130" s="229">
        <f t="shared" si="161"/>
        <v>0</v>
      </c>
      <c r="BT130" s="241">
        <v>13</v>
      </c>
      <c r="BU130" s="242">
        <v>4</v>
      </c>
      <c r="BV130" s="285"/>
      <c r="BW130" s="228">
        <f t="shared" si="162"/>
        <v>8.5</v>
      </c>
      <c r="BX130" s="229">
        <f t="shared" si="163"/>
        <v>0</v>
      </c>
      <c r="BY130" s="241">
        <v>5.5</v>
      </c>
      <c r="BZ130" s="242">
        <v>0</v>
      </c>
      <c r="CA130" s="285"/>
      <c r="CB130" s="228">
        <f t="shared" si="164"/>
        <v>2.75</v>
      </c>
      <c r="CC130" s="229">
        <f t="shared" si="165"/>
        <v>0</v>
      </c>
      <c r="CD130" s="297">
        <f t="shared" si="166"/>
        <v>5.95</v>
      </c>
      <c r="CE130" s="233">
        <f t="shared" si="167"/>
        <v>0</v>
      </c>
      <c r="CF130" s="241">
        <v>6</v>
      </c>
      <c r="CG130" s="242">
        <v>3.5</v>
      </c>
      <c r="CH130" s="285"/>
      <c r="CI130" s="228">
        <f t="shared" si="168"/>
        <v>4.75</v>
      </c>
      <c r="CJ130" s="229">
        <f t="shared" si="169"/>
        <v>0</v>
      </c>
      <c r="CK130" s="230">
        <v>11.5</v>
      </c>
      <c r="CL130" s="231">
        <v>0</v>
      </c>
      <c r="CM130" s="285"/>
      <c r="CN130" s="228">
        <f t="shared" si="170"/>
        <v>5.75</v>
      </c>
      <c r="CO130" s="229">
        <f t="shared" si="171"/>
        <v>0</v>
      </c>
      <c r="CP130" s="232">
        <f t="shared" si="172"/>
        <v>5.25</v>
      </c>
      <c r="CQ130" s="233">
        <f t="shared" si="173"/>
        <v>0</v>
      </c>
      <c r="CR130" s="230">
        <v>4.25</v>
      </c>
      <c r="CS130" s="231">
        <v>3.25</v>
      </c>
      <c r="CT130" s="285"/>
      <c r="CU130" s="228">
        <f t="shared" si="174"/>
        <v>3.75</v>
      </c>
      <c r="CV130" s="229">
        <f t="shared" si="175"/>
        <v>0</v>
      </c>
      <c r="CW130" s="232">
        <f t="shared" si="176"/>
        <v>3.75</v>
      </c>
      <c r="CX130" s="233">
        <f t="shared" si="177"/>
        <v>0</v>
      </c>
      <c r="CY130" s="231">
        <v>3</v>
      </c>
      <c r="CZ130" s="285"/>
      <c r="DA130" s="234">
        <f t="shared" si="178"/>
        <v>3</v>
      </c>
      <c r="DB130" s="235">
        <f t="shared" si="179"/>
        <v>0</v>
      </c>
      <c r="DC130" s="232">
        <f t="shared" si="180"/>
        <v>3</v>
      </c>
      <c r="DD130" s="233">
        <f t="shared" si="181"/>
        <v>0</v>
      </c>
      <c r="DE130" s="65">
        <f t="shared" si="182"/>
        <v>5.104166666666667</v>
      </c>
      <c r="DF130" s="66">
        <f t="shared" si="183"/>
        <v>0</v>
      </c>
      <c r="DG130" s="31">
        <f t="shared" si="123"/>
        <v>4.3035714285714288</v>
      </c>
      <c r="DH130" s="32">
        <f t="shared" si="124"/>
        <v>0</v>
      </c>
      <c r="DI130" s="33">
        <f t="shared" si="125"/>
        <v>5.104166666666667</v>
      </c>
      <c r="DJ130" s="34">
        <f t="shared" si="126"/>
        <v>0</v>
      </c>
      <c r="DK130" s="67">
        <f t="shared" si="127"/>
        <v>4.7038690476190474</v>
      </c>
      <c r="DL130" s="35">
        <f t="shared" si="128"/>
        <v>0</v>
      </c>
      <c r="DM130" s="59">
        <f t="shared" si="129"/>
        <v>32</v>
      </c>
      <c r="DN130" s="43" t="str">
        <f t="shared" si="185"/>
        <v>راسب(ة)</v>
      </c>
      <c r="DO130" s="44"/>
      <c r="DP130" s="50"/>
      <c r="DQ130" s="46"/>
    </row>
    <row r="131" spans="1:121" s="37" customFormat="1" ht="32.25" customHeight="1" thickBot="1">
      <c r="A131" s="49"/>
      <c r="B131" s="1">
        <f t="shared" si="184"/>
        <v>29</v>
      </c>
      <c r="C131" s="249" t="s">
        <v>289</v>
      </c>
      <c r="D131" s="249" t="s">
        <v>290</v>
      </c>
      <c r="E131" s="47" t="s">
        <v>461</v>
      </c>
      <c r="F131" s="135">
        <v>35792</v>
      </c>
      <c r="G131" s="136" t="s">
        <v>110</v>
      </c>
      <c r="H131" s="131">
        <v>5.92</v>
      </c>
      <c r="I131" s="132">
        <v>12</v>
      </c>
      <c r="J131" s="133">
        <v>10.18</v>
      </c>
      <c r="K131" s="134">
        <v>30</v>
      </c>
      <c r="L131" s="53">
        <f t="shared" si="130"/>
        <v>8.0500000000000007</v>
      </c>
      <c r="M131" s="58">
        <f t="shared" si="131"/>
        <v>42</v>
      </c>
      <c r="N131" s="222">
        <v>13</v>
      </c>
      <c r="O131" s="223">
        <v>8</v>
      </c>
      <c r="P131" s="140"/>
      <c r="Q131" s="228">
        <f t="shared" si="132"/>
        <v>10.5</v>
      </c>
      <c r="R131" s="229">
        <f t="shared" si="133"/>
        <v>5</v>
      </c>
      <c r="S131" s="241">
        <v>11.5</v>
      </c>
      <c r="T131" s="242">
        <v>10.5</v>
      </c>
      <c r="U131" s="285"/>
      <c r="V131" s="228">
        <f t="shared" si="134"/>
        <v>11</v>
      </c>
      <c r="W131" s="229">
        <f t="shared" si="135"/>
        <v>6</v>
      </c>
      <c r="X131" s="241">
        <v>14.5</v>
      </c>
      <c r="Y131" s="242">
        <v>6.25</v>
      </c>
      <c r="Z131" s="285"/>
      <c r="AA131" s="228">
        <f t="shared" si="136"/>
        <v>10.375</v>
      </c>
      <c r="AB131" s="229">
        <f t="shared" si="137"/>
        <v>6</v>
      </c>
      <c r="AC131" s="232">
        <f t="shared" si="138"/>
        <v>10.625</v>
      </c>
      <c r="AD131" s="233">
        <f t="shared" si="139"/>
        <v>17</v>
      </c>
      <c r="AE131" s="242">
        <v>6</v>
      </c>
      <c r="AF131" s="285"/>
      <c r="AG131" s="234">
        <f t="shared" si="140"/>
        <v>6</v>
      </c>
      <c r="AH131" s="235">
        <f t="shared" si="141"/>
        <v>0</v>
      </c>
      <c r="AI131" s="241">
        <v>12.5</v>
      </c>
      <c r="AJ131" s="242">
        <v>8</v>
      </c>
      <c r="AK131" s="285"/>
      <c r="AL131" s="228">
        <f t="shared" si="142"/>
        <v>10.25</v>
      </c>
      <c r="AM131" s="229">
        <f t="shared" si="143"/>
        <v>3</v>
      </c>
      <c r="AN131" s="241">
        <v>10</v>
      </c>
      <c r="AO131" s="242">
        <v>2.5</v>
      </c>
      <c r="AP131" s="285"/>
      <c r="AQ131" s="228">
        <f t="shared" si="144"/>
        <v>6.25</v>
      </c>
      <c r="AR131" s="229">
        <f t="shared" si="145"/>
        <v>0</v>
      </c>
      <c r="AS131" s="236">
        <f t="shared" si="146"/>
        <v>7.8</v>
      </c>
      <c r="AT131" s="237">
        <f t="shared" si="147"/>
        <v>3</v>
      </c>
      <c r="AU131" s="241">
        <v>11</v>
      </c>
      <c r="AV131" s="242">
        <v>11</v>
      </c>
      <c r="AW131" s="285"/>
      <c r="AX131" s="228">
        <f t="shared" si="148"/>
        <v>11</v>
      </c>
      <c r="AY131" s="229">
        <f t="shared" si="149"/>
        <v>4</v>
      </c>
      <c r="AZ131" s="242">
        <v>8.5</v>
      </c>
      <c r="BA131" s="285"/>
      <c r="BB131" s="234">
        <f t="shared" si="150"/>
        <v>8.5</v>
      </c>
      <c r="BC131" s="235">
        <f t="shared" si="151"/>
        <v>0</v>
      </c>
      <c r="BD131" s="236">
        <f t="shared" si="152"/>
        <v>9.75</v>
      </c>
      <c r="BE131" s="237">
        <f t="shared" si="153"/>
        <v>4</v>
      </c>
      <c r="BF131" s="241">
        <v>15</v>
      </c>
      <c r="BG131" s="242">
        <v>12.75</v>
      </c>
      <c r="BH131" s="285"/>
      <c r="BI131" s="228">
        <f t="shared" si="154"/>
        <v>13.875</v>
      </c>
      <c r="BJ131" s="229">
        <f t="shared" si="155"/>
        <v>1</v>
      </c>
      <c r="BK131" s="236">
        <f t="shared" si="156"/>
        <v>13.875</v>
      </c>
      <c r="BL131" s="237">
        <f t="shared" si="157"/>
        <v>1</v>
      </c>
      <c r="BM131" s="239">
        <f t="shared" si="158"/>
        <v>9.7232142857142865</v>
      </c>
      <c r="BN131" s="240">
        <f t="shared" si="159"/>
        <v>25</v>
      </c>
      <c r="BO131" s="271">
        <v>13</v>
      </c>
      <c r="BP131" s="272">
        <v>8.25</v>
      </c>
      <c r="BQ131" s="140"/>
      <c r="BR131" s="228">
        <f t="shared" si="160"/>
        <v>10.625</v>
      </c>
      <c r="BS131" s="229">
        <f t="shared" si="161"/>
        <v>6</v>
      </c>
      <c r="BT131" s="241">
        <v>16.5</v>
      </c>
      <c r="BU131" s="242">
        <v>15</v>
      </c>
      <c r="BV131" s="285"/>
      <c r="BW131" s="228">
        <f t="shared" si="162"/>
        <v>15.75</v>
      </c>
      <c r="BX131" s="229">
        <f t="shared" si="163"/>
        <v>6</v>
      </c>
      <c r="BY131" s="241">
        <v>9</v>
      </c>
      <c r="BZ131" s="242">
        <v>2.5</v>
      </c>
      <c r="CA131" s="285"/>
      <c r="CB131" s="228">
        <f t="shared" si="164"/>
        <v>5.75</v>
      </c>
      <c r="CC131" s="229">
        <f t="shared" si="165"/>
        <v>0</v>
      </c>
      <c r="CD131" s="297">
        <f t="shared" si="166"/>
        <v>11.7</v>
      </c>
      <c r="CE131" s="233">
        <f t="shared" si="167"/>
        <v>16</v>
      </c>
      <c r="CF131" s="241">
        <v>11</v>
      </c>
      <c r="CG131" s="242">
        <v>16.25</v>
      </c>
      <c r="CH131" s="285"/>
      <c r="CI131" s="228">
        <f t="shared" si="168"/>
        <v>13.625</v>
      </c>
      <c r="CJ131" s="229">
        <f t="shared" si="169"/>
        <v>5</v>
      </c>
      <c r="CK131" s="230">
        <v>12.5</v>
      </c>
      <c r="CL131" s="231">
        <v>5.5</v>
      </c>
      <c r="CM131" s="285"/>
      <c r="CN131" s="228">
        <f t="shared" si="170"/>
        <v>9</v>
      </c>
      <c r="CO131" s="229">
        <f t="shared" si="171"/>
        <v>0</v>
      </c>
      <c r="CP131" s="232">
        <f t="shared" si="172"/>
        <v>11.3125</v>
      </c>
      <c r="CQ131" s="233">
        <f t="shared" si="173"/>
        <v>10</v>
      </c>
      <c r="CR131" s="230">
        <v>9.25</v>
      </c>
      <c r="CS131" s="231">
        <v>7.75</v>
      </c>
      <c r="CT131" s="285"/>
      <c r="CU131" s="228">
        <f t="shared" si="174"/>
        <v>8.5</v>
      </c>
      <c r="CV131" s="229">
        <f t="shared" si="175"/>
        <v>0</v>
      </c>
      <c r="CW131" s="232">
        <f t="shared" si="176"/>
        <v>8.5</v>
      </c>
      <c r="CX131" s="233">
        <f t="shared" si="177"/>
        <v>0</v>
      </c>
      <c r="CY131" s="231">
        <v>13</v>
      </c>
      <c r="CZ131" s="285"/>
      <c r="DA131" s="234">
        <f t="shared" si="178"/>
        <v>13</v>
      </c>
      <c r="DB131" s="235">
        <f t="shared" si="179"/>
        <v>1</v>
      </c>
      <c r="DC131" s="232">
        <f t="shared" si="180"/>
        <v>13</v>
      </c>
      <c r="DD131" s="233">
        <f t="shared" si="181"/>
        <v>1</v>
      </c>
      <c r="DE131" s="65">
        <f t="shared" si="182"/>
        <v>11.145833333333334</v>
      </c>
      <c r="DF131" s="66">
        <f t="shared" si="183"/>
        <v>30</v>
      </c>
      <c r="DG131" s="31">
        <f t="shared" si="123"/>
        <v>9.7232142857142865</v>
      </c>
      <c r="DH131" s="32">
        <f t="shared" si="124"/>
        <v>30</v>
      </c>
      <c r="DI131" s="33">
        <f t="shared" si="125"/>
        <v>11.145833333333334</v>
      </c>
      <c r="DJ131" s="34">
        <f t="shared" si="126"/>
        <v>30</v>
      </c>
      <c r="DK131" s="67">
        <f t="shared" si="127"/>
        <v>10.43452380952381</v>
      </c>
      <c r="DL131" s="35">
        <f t="shared" si="128"/>
        <v>60</v>
      </c>
      <c r="DM131" s="59">
        <f t="shared" si="129"/>
        <v>102</v>
      </c>
      <c r="DN131" s="43" t="str">
        <f t="shared" si="185"/>
        <v>ناجح(ة)بتأخير</v>
      </c>
      <c r="DP131" s="51"/>
      <c r="DQ131" s="46"/>
    </row>
    <row r="132" spans="1:121" s="37" customFormat="1" ht="32.25" hidden="1" customHeight="1" thickBot="1">
      <c r="A132" s="49"/>
      <c r="B132" s="1">
        <f t="shared" si="184"/>
        <v>30</v>
      </c>
      <c r="C132" s="129"/>
      <c r="D132" s="129"/>
      <c r="E132" s="47"/>
      <c r="F132" s="135"/>
      <c r="G132" s="136"/>
      <c r="H132" s="131"/>
      <c r="I132" s="132"/>
      <c r="J132" s="133"/>
      <c r="K132" s="134"/>
      <c r="L132" s="53">
        <f t="shared" si="130"/>
        <v>0</v>
      </c>
      <c r="M132" s="58">
        <f t="shared" si="131"/>
        <v>0</v>
      </c>
      <c r="N132" s="138"/>
      <c r="O132" s="139"/>
      <c r="P132" s="140"/>
      <c r="Q132" s="54">
        <f t="shared" si="132"/>
        <v>0</v>
      </c>
      <c r="R132" s="57">
        <f t="shared" si="133"/>
        <v>0</v>
      </c>
      <c r="S132" s="138"/>
      <c r="T132" s="139"/>
      <c r="U132" s="140"/>
      <c r="V132" s="54">
        <f t="shared" si="134"/>
        <v>0</v>
      </c>
      <c r="W132" s="57">
        <f t="shared" si="135"/>
        <v>0</v>
      </c>
      <c r="X132" s="138"/>
      <c r="Y132" s="139"/>
      <c r="Z132" s="140"/>
      <c r="AA132" s="54">
        <f t="shared" si="136"/>
        <v>0</v>
      </c>
      <c r="AB132" s="57">
        <f t="shared" si="137"/>
        <v>0</v>
      </c>
      <c r="AC132" s="55">
        <f t="shared" si="138"/>
        <v>0</v>
      </c>
      <c r="AD132" s="56">
        <f t="shared" si="139"/>
        <v>0</v>
      </c>
      <c r="AE132" s="139"/>
      <c r="AF132" s="140"/>
      <c r="AG132" s="42">
        <f t="shared" si="140"/>
        <v>0</v>
      </c>
      <c r="AH132" s="39">
        <f t="shared" si="141"/>
        <v>0</v>
      </c>
      <c r="AI132" s="241"/>
      <c r="AJ132" s="242"/>
      <c r="AK132" s="140"/>
      <c r="AL132" s="54">
        <f t="shared" si="142"/>
        <v>0</v>
      </c>
      <c r="AM132" s="57">
        <f t="shared" si="143"/>
        <v>0</v>
      </c>
      <c r="AN132" s="138"/>
      <c r="AO132" s="139"/>
      <c r="AP132" s="140"/>
      <c r="AQ132" s="54">
        <f t="shared" si="144"/>
        <v>0</v>
      </c>
      <c r="AR132" s="57">
        <f t="shared" si="145"/>
        <v>0</v>
      </c>
      <c r="AS132" s="40">
        <f t="shared" si="146"/>
        <v>0</v>
      </c>
      <c r="AT132" s="41">
        <f t="shared" si="147"/>
        <v>0</v>
      </c>
      <c r="AU132" s="138"/>
      <c r="AV132" s="139"/>
      <c r="AW132" s="140"/>
      <c r="AX132" s="54">
        <f t="shared" si="148"/>
        <v>0</v>
      </c>
      <c r="AY132" s="57">
        <f t="shared" si="149"/>
        <v>0</v>
      </c>
      <c r="AZ132" s="139"/>
      <c r="BA132" s="140"/>
      <c r="BB132" s="42">
        <f t="shared" si="150"/>
        <v>0</v>
      </c>
      <c r="BC132" s="39">
        <f t="shared" si="151"/>
        <v>0</v>
      </c>
      <c r="BD132" s="40">
        <f t="shared" si="152"/>
        <v>0</v>
      </c>
      <c r="BE132" s="41">
        <f t="shared" si="153"/>
        <v>0</v>
      </c>
      <c r="BF132" s="138"/>
      <c r="BG132" s="139"/>
      <c r="BH132" s="140"/>
      <c r="BI132" s="54">
        <f t="shared" si="154"/>
        <v>0</v>
      </c>
      <c r="BJ132" s="57">
        <f t="shared" si="155"/>
        <v>0</v>
      </c>
      <c r="BK132" s="61">
        <f t="shared" si="156"/>
        <v>0</v>
      </c>
      <c r="BL132" s="41">
        <f t="shared" si="157"/>
        <v>0</v>
      </c>
      <c r="BM132" s="63">
        <f t="shared" si="158"/>
        <v>0</v>
      </c>
      <c r="BN132" s="64">
        <f t="shared" si="159"/>
        <v>0</v>
      </c>
      <c r="BO132" s="138"/>
      <c r="BP132" s="139"/>
      <c r="BQ132" s="140"/>
      <c r="BR132" s="54">
        <f t="shared" si="160"/>
        <v>0</v>
      </c>
      <c r="BS132" s="57">
        <f t="shared" si="161"/>
        <v>0</v>
      </c>
      <c r="BT132" s="138"/>
      <c r="BU132" s="139"/>
      <c r="BV132" s="140"/>
      <c r="BW132" s="54">
        <f t="shared" si="162"/>
        <v>0</v>
      </c>
      <c r="BX132" s="57">
        <f t="shared" si="163"/>
        <v>0</v>
      </c>
      <c r="BY132" s="138"/>
      <c r="BZ132" s="139"/>
      <c r="CA132" s="140"/>
      <c r="CB132" s="54">
        <f t="shared" si="164"/>
        <v>0</v>
      </c>
      <c r="CC132" s="57">
        <f t="shared" si="165"/>
        <v>0</v>
      </c>
      <c r="CD132" s="62">
        <f t="shared" si="166"/>
        <v>0</v>
      </c>
      <c r="CE132" s="56">
        <f t="shared" si="167"/>
        <v>0</v>
      </c>
      <c r="CF132" s="138"/>
      <c r="CG132" s="139"/>
      <c r="CH132" s="140"/>
      <c r="CI132" s="54">
        <f t="shared" si="168"/>
        <v>0</v>
      </c>
      <c r="CJ132" s="57">
        <f t="shared" si="169"/>
        <v>0</v>
      </c>
      <c r="CK132" s="138"/>
      <c r="CL132" s="139"/>
      <c r="CM132" s="140"/>
      <c r="CN132" s="54">
        <f t="shared" si="170"/>
        <v>0</v>
      </c>
      <c r="CO132" s="57">
        <f t="shared" si="171"/>
        <v>0</v>
      </c>
      <c r="CP132" s="55">
        <f t="shared" si="172"/>
        <v>0</v>
      </c>
      <c r="CQ132" s="56">
        <f t="shared" si="173"/>
        <v>0</v>
      </c>
      <c r="CR132" s="138"/>
      <c r="CS132" s="139"/>
      <c r="CT132" s="140"/>
      <c r="CU132" s="54">
        <f t="shared" si="174"/>
        <v>0</v>
      </c>
      <c r="CV132" s="57">
        <f t="shared" si="175"/>
        <v>0</v>
      </c>
      <c r="CW132" s="55">
        <f t="shared" si="176"/>
        <v>0</v>
      </c>
      <c r="CX132" s="56">
        <f t="shared" si="177"/>
        <v>0</v>
      </c>
      <c r="CY132" s="139"/>
      <c r="CZ132" s="140"/>
      <c r="DA132" s="42">
        <f t="shared" si="178"/>
        <v>0</v>
      </c>
      <c r="DB132" s="39">
        <f t="shared" si="179"/>
        <v>0</v>
      </c>
      <c r="DC132" s="55">
        <f t="shared" si="180"/>
        <v>0</v>
      </c>
      <c r="DD132" s="56">
        <f t="shared" si="181"/>
        <v>0</v>
      </c>
      <c r="DE132" s="65">
        <f t="shared" si="182"/>
        <v>0</v>
      </c>
      <c r="DF132" s="66">
        <f t="shared" si="183"/>
        <v>0</v>
      </c>
      <c r="DG132" s="31">
        <f t="shared" si="123"/>
        <v>0</v>
      </c>
      <c r="DH132" s="32">
        <f t="shared" si="124"/>
        <v>0</v>
      </c>
      <c r="DI132" s="33">
        <f t="shared" si="125"/>
        <v>0</v>
      </c>
      <c r="DJ132" s="34">
        <f t="shared" si="126"/>
        <v>0</v>
      </c>
      <c r="DK132" s="67">
        <f t="shared" si="127"/>
        <v>0</v>
      </c>
      <c r="DL132" s="35">
        <f t="shared" si="128"/>
        <v>0</v>
      </c>
      <c r="DM132" s="59">
        <f t="shared" si="129"/>
        <v>0</v>
      </c>
      <c r="DN132" s="43" t="str">
        <f t="shared" si="185"/>
        <v>راسب(ة)</v>
      </c>
      <c r="DO132" s="44"/>
      <c r="DP132" s="50"/>
      <c r="DQ132" s="46"/>
    </row>
    <row r="133" spans="1:121" s="37" customFormat="1" ht="32.25" hidden="1" customHeight="1" thickBot="1">
      <c r="A133" s="49"/>
      <c r="B133" s="1">
        <f t="shared" si="184"/>
        <v>31</v>
      </c>
      <c r="C133" s="129"/>
      <c r="D133" s="129"/>
      <c r="E133" s="47"/>
      <c r="F133" s="135"/>
      <c r="G133" s="136"/>
      <c r="H133" s="131"/>
      <c r="I133" s="132"/>
      <c r="J133" s="133"/>
      <c r="K133" s="134"/>
      <c r="L133" s="53">
        <f t="shared" si="130"/>
        <v>0</v>
      </c>
      <c r="M133" s="58">
        <f t="shared" si="131"/>
        <v>0</v>
      </c>
      <c r="N133" s="138"/>
      <c r="O133" s="139"/>
      <c r="P133" s="140"/>
      <c r="Q133" s="54">
        <f t="shared" si="132"/>
        <v>0</v>
      </c>
      <c r="R133" s="57">
        <f t="shared" si="133"/>
        <v>0</v>
      </c>
      <c r="S133" s="138"/>
      <c r="T133" s="139"/>
      <c r="U133" s="140"/>
      <c r="V133" s="54">
        <f t="shared" si="134"/>
        <v>0</v>
      </c>
      <c r="W133" s="57">
        <f t="shared" si="135"/>
        <v>0</v>
      </c>
      <c r="X133" s="138"/>
      <c r="Y133" s="139"/>
      <c r="Z133" s="140"/>
      <c r="AA133" s="54">
        <f t="shared" si="136"/>
        <v>0</v>
      </c>
      <c r="AB133" s="57">
        <f t="shared" si="137"/>
        <v>0</v>
      </c>
      <c r="AC133" s="55">
        <f t="shared" si="138"/>
        <v>0</v>
      </c>
      <c r="AD133" s="56">
        <f t="shared" si="139"/>
        <v>0</v>
      </c>
      <c r="AE133" s="139"/>
      <c r="AF133" s="140"/>
      <c r="AG133" s="42">
        <f t="shared" si="140"/>
        <v>0</v>
      </c>
      <c r="AH133" s="39">
        <f t="shared" si="141"/>
        <v>0</v>
      </c>
      <c r="AI133" s="241"/>
      <c r="AJ133" s="242"/>
      <c r="AK133" s="140"/>
      <c r="AL133" s="54">
        <f t="shared" si="142"/>
        <v>0</v>
      </c>
      <c r="AM133" s="57">
        <f t="shared" si="143"/>
        <v>0</v>
      </c>
      <c r="AN133" s="138"/>
      <c r="AO133" s="139"/>
      <c r="AP133" s="140"/>
      <c r="AQ133" s="54">
        <f t="shared" si="144"/>
        <v>0</v>
      </c>
      <c r="AR133" s="57">
        <f t="shared" si="145"/>
        <v>0</v>
      </c>
      <c r="AS133" s="40">
        <f t="shared" si="146"/>
        <v>0</v>
      </c>
      <c r="AT133" s="41">
        <f t="shared" si="147"/>
        <v>0</v>
      </c>
      <c r="AU133" s="138"/>
      <c r="AV133" s="139"/>
      <c r="AW133" s="140"/>
      <c r="AX133" s="54">
        <f t="shared" si="148"/>
        <v>0</v>
      </c>
      <c r="AY133" s="57">
        <f t="shared" si="149"/>
        <v>0</v>
      </c>
      <c r="AZ133" s="139"/>
      <c r="BA133" s="140"/>
      <c r="BB133" s="42">
        <f t="shared" si="150"/>
        <v>0</v>
      </c>
      <c r="BC133" s="39">
        <f t="shared" si="151"/>
        <v>0</v>
      </c>
      <c r="BD133" s="40">
        <f t="shared" si="152"/>
        <v>0</v>
      </c>
      <c r="BE133" s="41">
        <f t="shared" si="153"/>
        <v>0</v>
      </c>
      <c r="BF133" s="138"/>
      <c r="BG133" s="139"/>
      <c r="BH133" s="140"/>
      <c r="BI133" s="54">
        <f t="shared" si="154"/>
        <v>0</v>
      </c>
      <c r="BJ133" s="57">
        <f t="shared" si="155"/>
        <v>0</v>
      </c>
      <c r="BK133" s="61">
        <f t="shared" si="156"/>
        <v>0</v>
      </c>
      <c r="BL133" s="41">
        <f t="shared" si="157"/>
        <v>0</v>
      </c>
      <c r="BM133" s="63">
        <f t="shared" si="158"/>
        <v>0</v>
      </c>
      <c r="BN133" s="64">
        <f t="shared" si="159"/>
        <v>0</v>
      </c>
      <c r="BO133" s="138"/>
      <c r="BP133" s="139"/>
      <c r="BQ133" s="140"/>
      <c r="BR133" s="54">
        <f t="shared" si="160"/>
        <v>0</v>
      </c>
      <c r="BS133" s="57">
        <f t="shared" si="161"/>
        <v>0</v>
      </c>
      <c r="BT133" s="138"/>
      <c r="BU133" s="139"/>
      <c r="BV133" s="140"/>
      <c r="BW133" s="54">
        <f t="shared" si="162"/>
        <v>0</v>
      </c>
      <c r="BX133" s="57">
        <f t="shared" si="163"/>
        <v>0</v>
      </c>
      <c r="BY133" s="138"/>
      <c r="BZ133" s="139"/>
      <c r="CA133" s="140"/>
      <c r="CB133" s="54">
        <f t="shared" si="164"/>
        <v>0</v>
      </c>
      <c r="CC133" s="57">
        <f t="shared" si="165"/>
        <v>0</v>
      </c>
      <c r="CD133" s="62">
        <f t="shared" si="166"/>
        <v>0</v>
      </c>
      <c r="CE133" s="56">
        <f t="shared" si="167"/>
        <v>0</v>
      </c>
      <c r="CF133" s="138"/>
      <c r="CG133" s="139"/>
      <c r="CH133" s="140"/>
      <c r="CI133" s="54">
        <f t="shared" si="168"/>
        <v>0</v>
      </c>
      <c r="CJ133" s="57">
        <f t="shared" si="169"/>
        <v>0</v>
      </c>
      <c r="CK133" s="138"/>
      <c r="CL133" s="139"/>
      <c r="CM133" s="140"/>
      <c r="CN133" s="54">
        <f t="shared" si="170"/>
        <v>0</v>
      </c>
      <c r="CO133" s="57">
        <f t="shared" si="171"/>
        <v>0</v>
      </c>
      <c r="CP133" s="55">
        <f t="shared" si="172"/>
        <v>0</v>
      </c>
      <c r="CQ133" s="56">
        <f t="shared" si="173"/>
        <v>0</v>
      </c>
      <c r="CR133" s="138"/>
      <c r="CS133" s="139"/>
      <c r="CT133" s="140"/>
      <c r="CU133" s="54">
        <f t="shared" si="174"/>
        <v>0</v>
      </c>
      <c r="CV133" s="57">
        <f t="shared" si="175"/>
        <v>0</v>
      </c>
      <c r="CW133" s="55">
        <f t="shared" si="176"/>
        <v>0</v>
      </c>
      <c r="CX133" s="56">
        <f t="shared" si="177"/>
        <v>0</v>
      </c>
      <c r="CY133" s="139"/>
      <c r="CZ133" s="140"/>
      <c r="DA133" s="42">
        <f t="shared" si="178"/>
        <v>0</v>
      </c>
      <c r="DB133" s="39">
        <f t="shared" si="179"/>
        <v>0</v>
      </c>
      <c r="DC133" s="55">
        <f t="shared" si="180"/>
        <v>0</v>
      </c>
      <c r="DD133" s="56">
        <f t="shared" si="181"/>
        <v>0</v>
      </c>
      <c r="DE133" s="65">
        <f t="shared" si="182"/>
        <v>0</v>
      </c>
      <c r="DF133" s="66">
        <f t="shared" si="183"/>
        <v>0</v>
      </c>
      <c r="DG133" s="31">
        <f t="shared" si="123"/>
        <v>0</v>
      </c>
      <c r="DH133" s="32">
        <f t="shared" si="124"/>
        <v>0</v>
      </c>
      <c r="DI133" s="33">
        <f t="shared" si="125"/>
        <v>0</v>
      </c>
      <c r="DJ133" s="34">
        <f t="shared" si="126"/>
        <v>0</v>
      </c>
      <c r="DK133" s="67">
        <f t="shared" si="127"/>
        <v>0</v>
      </c>
      <c r="DL133" s="35">
        <f t="shared" si="128"/>
        <v>0</v>
      </c>
      <c r="DM133" s="59">
        <f t="shared" si="129"/>
        <v>0</v>
      </c>
      <c r="DN133" s="43" t="str">
        <f t="shared" si="185"/>
        <v>راسب(ة)</v>
      </c>
      <c r="DO133" s="44"/>
      <c r="DP133" s="50"/>
      <c r="DQ133" s="46"/>
    </row>
    <row r="134" spans="1:121" s="37" customFormat="1" ht="32.25" hidden="1" customHeight="1" thickBot="1">
      <c r="A134" s="49"/>
      <c r="B134" s="1">
        <f t="shared" si="184"/>
        <v>32</v>
      </c>
      <c r="C134" s="129"/>
      <c r="D134" s="129"/>
      <c r="E134" s="47"/>
      <c r="F134" s="135"/>
      <c r="G134" s="136"/>
      <c r="H134" s="131"/>
      <c r="I134" s="132"/>
      <c r="J134" s="133"/>
      <c r="K134" s="134"/>
      <c r="L134" s="53">
        <f t="shared" si="130"/>
        <v>0</v>
      </c>
      <c r="M134" s="58">
        <f t="shared" si="131"/>
        <v>0</v>
      </c>
      <c r="N134" s="138"/>
      <c r="O134" s="139"/>
      <c r="P134" s="140"/>
      <c r="Q134" s="54">
        <f t="shared" si="132"/>
        <v>0</v>
      </c>
      <c r="R134" s="57">
        <f t="shared" si="133"/>
        <v>0</v>
      </c>
      <c r="S134" s="138"/>
      <c r="T134" s="139"/>
      <c r="U134" s="140"/>
      <c r="V134" s="54">
        <f t="shared" si="134"/>
        <v>0</v>
      </c>
      <c r="W134" s="57">
        <f t="shared" si="135"/>
        <v>0</v>
      </c>
      <c r="X134" s="138"/>
      <c r="Y134" s="139"/>
      <c r="Z134" s="140"/>
      <c r="AA134" s="54">
        <f t="shared" si="136"/>
        <v>0</v>
      </c>
      <c r="AB134" s="57">
        <f t="shared" si="137"/>
        <v>0</v>
      </c>
      <c r="AC134" s="55">
        <f t="shared" si="138"/>
        <v>0</v>
      </c>
      <c r="AD134" s="56">
        <f t="shared" si="139"/>
        <v>0</v>
      </c>
      <c r="AE134" s="139"/>
      <c r="AF134" s="140"/>
      <c r="AG134" s="42">
        <f t="shared" si="140"/>
        <v>0</v>
      </c>
      <c r="AH134" s="39">
        <f t="shared" si="141"/>
        <v>0</v>
      </c>
      <c r="AI134" s="241"/>
      <c r="AJ134" s="242"/>
      <c r="AK134" s="140"/>
      <c r="AL134" s="54">
        <f t="shared" si="142"/>
        <v>0</v>
      </c>
      <c r="AM134" s="57">
        <f t="shared" si="143"/>
        <v>0</v>
      </c>
      <c r="AN134" s="138"/>
      <c r="AO134" s="139"/>
      <c r="AP134" s="140"/>
      <c r="AQ134" s="54">
        <f t="shared" si="144"/>
        <v>0</v>
      </c>
      <c r="AR134" s="57">
        <f t="shared" si="145"/>
        <v>0</v>
      </c>
      <c r="AS134" s="40">
        <f t="shared" si="146"/>
        <v>0</v>
      </c>
      <c r="AT134" s="41">
        <f t="shared" si="147"/>
        <v>0</v>
      </c>
      <c r="AU134" s="138"/>
      <c r="AV134" s="139"/>
      <c r="AW134" s="140"/>
      <c r="AX134" s="54">
        <f t="shared" si="148"/>
        <v>0</v>
      </c>
      <c r="AY134" s="57">
        <f t="shared" si="149"/>
        <v>0</v>
      </c>
      <c r="AZ134" s="139"/>
      <c r="BA134" s="140"/>
      <c r="BB134" s="42">
        <f t="shared" si="150"/>
        <v>0</v>
      </c>
      <c r="BC134" s="39">
        <f t="shared" si="151"/>
        <v>0</v>
      </c>
      <c r="BD134" s="40">
        <f t="shared" si="152"/>
        <v>0</v>
      </c>
      <c r="BE134" s="41">
        <f t="shared" si="153"/>
        <v>0</v>
      </c>
      <c r="BF134" s="138"/>
      <c r="BG134" s="139"/>
      <c r="BH134" s="140"/>
      <c r="BI134" s="54">
        <f t="shared" si="154"/>
        <v>0</v>
      </c>
      <c r="BJ134" s="57">
        <f t="shared" si="155"/>
        <v>0</v>
      </c>
      <c r="BK134" s="61">
        <f t="shared" si="156"/>
        <v>0</v>
      </c>
      <c r="BL134" s="41">
        <f t="shared" si="157"/>
        <v>0</v>
      </c>
      <c r="BM134" s="63">
        <f t="shared" si="158"/>
        <v>0</v>
      </c>
      <c r="BN134" s="64">
        <f t="shared" si="159"/>
        <v>0</v>
      </c>
      <c r="BO134" s="138"/>
      <c r="BP134" s="139"/>
      <c r="BQ134" s="140"/>
      <c r="BR134" s="54">
        <f t="shared" si="160"/>
        <v>0</v>
      </c>
      <c r="BS134" s="57">
        <f t="shared" si="161"/>
        <v>0</v>
      </c>
      <c r="BT134" s="138"/>
      <c r="BU134" s="139"/>
      <c r="BV134" s="140"/>
      <c r="BW134" s="54">
        <f t="shared" si="162"/>
        <v>0</v>
      </c>
      <c r="BX134" s="57">
        <f t="shared" si="163"/>
        <v>0</v>
      </c>
      <c r="BY134" s="138"/>
      <c r="BZ134" s="139"/>
      <c r="CA134" s="140"/>
      <c r="CB134" s="54">
        <f t="shared" si="164"/>
        <v>0</v>
      </c>
      <c r="CC134" s="57">
        <f t="shared" si="165"/>
        <v>0</v>
      </c>
      <c r="CD134" s="62">
        <f t="shared" si="166"/>
        <v>0</v>
      </c>
      <c r="CE134" s="56">
        <f t="shared" si="167"/>
        <v>0</v>
      </c>
      <c r="CF134" s="138"/>
      <c r="CG134" s="139"/>
      <c r="CH134" s="140"/>
      <c r="CI134" s="54">
        <f t="shared" si="168"/>
        <v>0</v>
      </c>
      <c r="CJ134" s="57">
        <f t="shared" si="169"/>
        <v>0</v>
      </c>
      <c r="CK134" s="138"/>
      <c r="CL134" s="139"/>
      <c r="CM134" s="140"/>
      <c r="CN134" s="54">
        <f t="shared" si="170"/>
        <v>0</v>
      </c>
      <c r="CO134" s="57">
        <f t="shared" si="171"/>
        <v>0</v>
      </c>
      <c r="CP134" s="55">
        <f t="shared" si="172"/>
        <v>0</v>
      </c>
      <c r="CQ134" s="56">
        <f t="shared" si="173"/>
        <v>0</v>
      </c>
      <c r="CR134" s="138"/>
      <c r="CS134" s="139"/>
      <c r="CT134" s="140"/>
      <c r="CU134" s="54">
        <f t="shared" si="174"/>
        <v>0</v>
      </c>
      <c r="CV134" s="57">
        <f t="shared" si="175"/>
        <v>0</v>
      </c>
      <c r="CW134" s="55">
        <f t="shared" si="176"/>
        <v>0</v>
      </c>
      <c r="CX134" s="56">
        <f t="shared" si="177"/>
        <v>0</v>
      </c>
      <c r="CY134" s="139"/>
      <c r="CZ134" s="140"/>
      <c r="DA134" s="42">
        <f t="shared" si="178"/>
        <v>0</v>
      </c>
      <c r="DB134" s="39">
        <f t="shared" si="179"/>
        <v>0</v>
      </c>
      <c r="DC134" s="55">
        <f t="shared" si="180"/>
        <v>0</v>
      </c>
      <c r="DD134" s="56">
        <f t="shared" si="181"/>
        <v>0</v>
      </c>
      <c r="DE134" s="65">
        <f t="shared" si="182"/>
        <v>0</v>
      </c>
      <c r="DF134" s="66">
        <f t="shared" si="183"/>
        <v>0</v>
      </c>
      <c r="DG134" s="31">
        <f t="shared" si="123"/>
        <v>0</v>
      </c>
      <c r="DH134" s="32">
        <f t="shared" si="124"/>
        <v>0</v>
      </c>
      <c r="DI134" s="33">
        <f t="shared" si="125"/>
        <v>0</v>
      </c>
      <c r="DJ134" s="34">
        <f t="shared" si="126"/>
        <v>0</v>
      </c>
      <c r="DK134" s="67">
        <f t="shared" si="127"/>
        <v>0</v>
      </c>
      <c r="DL134" s="35">
        <f t="shared" si="128"/>
        <v>0</v>
      </c>
      <c r="DM134" s="59">
        <f t="shared" si="129"/>
        <v>0</v>
      </c>
      <c r="DN134" s="43" t="str">
        <f t="shared" si="185"/>
        <v>راسب(ة)</v>
      </c>
      <c r="DO134" s="44"/>
      <c r="DP134" s="50"/>
      <c r="DQ134" s="46"/>
    </row>
    <row r="135" spans="1:121" s="37" customFormat="1" ht="32.25" hidden="1" customHeight="1" thickBot="1">
      <c r="A135" s="49"/>
      <c r="B135" s="1">
        <f t="shared" si="184"/>
        <v>33</v>
      </c>
      <c r="C135" s="129"/>
      <c r="D135" s="129"/>
      <c r="E135" s="47"/>
      <c r="F135" s="135"/>
      <c r="G135" s="136"/>
      <c r="H135" s="131"/>
      <c r="I135" s="132"/>
      <c r="J135" s="133"/>
      <c r="K135" s="134"/>
      <c r="L135" s="53">
        <f t="shared" si="130"/>
        <v>0</v>
      </c>
      <c r="M135" s="58">
        <f t="shared" si="131"/>
        <v>0</v>
      </c>
      <c r="N135" s="138"/>
      <c r="O135" s="139"/>
      <c r="P135" s="140"/>
      <c r="Q135" s="54">
        <f t="shared" si="132"/>
        <v>0</v>
      </c>
      <c r="R135" s="57">
        <f t="shared" si="133"/>
        <v>0</v>
      </c>
      <c r="S135" s="138"/>
      <c r="T135" s="139"/>
      <c r="U135" s="140"/>
      <c r="V135" s="54">
        <f t="shared" si="134"/>
        <v>0</v>
      </c>
      <c r="W135" s="57">
        <f t="shared" si="135"/>
        <v>0</v>
      </c>
      <c r="X135" s="138"/>
      <c r="Y135" s="139"/>
      <c r="Z135" s="140"/>
      <c r="AA135" s="54">
        <f t="shared" si="136"/>
        <v>0</v>
      </c>
      <c r="AB135" s="57">
        <f t="shared" si="137"/>
        <v>0</v>
      </c>
      <c r="AC135" s="55">
        <f t="shared" si="138"/>
        <v>0</v>
      </c>
      <c r="AD135" s="56">
        <f t="shared" si="139"/>
        <v>0</v>
      </c>
      <c r="AE135" s="139"/>
      <c r="AF135" s="140"/>
      <c r="AG135" s="42">
        <f t="shared" si="140"/>
        <v>0</v>
      </c>
      <c r="AH135" s="39">
        <f t="shared" si="141"/>
        <v>0</v>
      </c>
      <c r="AI135" s="241"/>
      <c r="AJ135" s="242"/>
      <c r="AK135" s="140"/>
      <c r="AL135" s="54">
        <f t="shared" si="142"/>
        <v>0</v>
      </c>
      <c r="AM135" s="57">
        <f t="shared" si="143"/>
        <v>0</v>
      </c>
      <c r="AN135" s="138"/>
      <c r="AO135" s="139"/>
      <c r="AP135" s="140"/>
      <c r="AQ135" s="54">
        <f t="shared" si="144"/>
        <v>0</v>
      </c>
      <c r="AR135" s="57">
        <f t="shared" si="145"/>
        <v>0</v>
      </c>
      <c r="AS135" s="40">
        <f t="shared" si="146"/>
        <v>0</v>
      </c>
      <c r="AT135" s="41">
        <f t="shared" si="147"/>
        <v>0</v>
      </c>
      <c r="AU135" s="138"/>
      <c r="AV135" s="139"/>
      <c r="AW135" s="140"/>
      <c r="AX135" s="54">
        <f t="shared" si="148"/>
        <v>0</v>
      </c>
      <c r="AY135" s="57">
        <f t="shared" si="149"/>
        <v>0</v>
      </c>
      <c r="AZ135" s="139"/>
      <c r="BA135" s="140"/>
      <c r="BB135" s="42">
        <f t="shared" si="150"/>
        <v>0</v>
      </c>
      <c r="BC135" s="39">
        <f t="shared" si="151"/>
        <v>0</v>
      </c>
      <c r="BD135" s="40">
        <f t="shared" si="152"/>
        <v>0</v>
      </c>
      <c r="BE135" s="41">
        <f t="shared" si="153"/>
        <v>0</v>
      </c>
      <c r="BF135" s="138"/>
      <c r="BG135" s="139"/>
      <c r="BH135" s="140"/>
      <c r="BI135" s="54">
        <f t="shared" si="154"/>
        <v>0</v>
      </c>
      <c r="BJ135" s="57">
        <f t="shared" si="155"/>
        <v>0</v>
      </c>
      <c r="BK135" s="61">
        <f t="shared" si="156"/>
        <v>0</v>
      </c>
      <c r="BL135" s="41">
        <f t="shared" si="157"/>
        <v>0</v>
      </c>
      <c r="BM135" s="63">
        <f t="shared" si="158"/>
        <v>0</v>
      </c>
      <c r="BN135" s="64">
        <f t="shared" si="159"/>
        <v>0</v>
      </c>
      <c r="BO135" s="138"/>
      <c r="BP135" s="139"/>
      <c r="BQ135" s="140"/>
      <c r="BR135" s="54">
        <f t="shared" si="160"/>
        <v>0</v>
      </c>
      <c r="BS135" s="57">
        <f t="shared" si="161"/>
        <v>0</v>
      </c>
      <c r="BT135" s="138"/>
      <c r="BU135" s="139"/>
      <c r="BV135" s="140"/>
      <c r="BW135" s="54">
        <f t="shared" si="162"/>
        <v>0</v>
      </c>
      <c r="BX135" s="57">
        <f t="shared" si="163"/>
        <v>0</v>
      </c>
      <c r="BY135" s="138"/>
      <c r="BZ135" s="139"/>
      <c r="CA135" s="140"/>
      <c r="CB135" s="54">
        <f t="shared" si="164"/>
        <v>0</v>
      </c>
      <c r="CC135" s="57">
        <f t="shared" si="165"/>
        <v>0</v>
      </c>
      <c r="CD135" s="62">
        <f t="shared" si="166"/>
        <v>0</v>
      </c>
      <c r="CE135" s="56">
        <f t="shared" si="167"/>
        <v>0</v>
      </c>
      <c r="CF135" s="138"/>
      <c r="CG135" s="139"/>
      <c r="CH135" s="140"/>
      <c r="CI135" s="54">
        <f t="shared" si="168"/>
        <v>0</v>
      </c>
      <c r="CJ135" s="57">
        <f t="shared" si="169"/>
        <v>0</v>
      </c>
      <c r="CK135" s="138"/>
      <c r="CL135" s="139"/>
      <c r="CM135" s="140"/>
      <c r="CN135" s="54">
        <f t="shared" si="170"/>
        <v>0</v>
      </c>
      <c r="CO135" s="57">
        <f t="shared" si="171"/>
        <v>0</v>
      </c>
      <c r="CP135" s="55">
        <f t="shared" si="172"/>
        <v>0</v>
      </c>
      <c r="CQ135" s="56">
        <f t="shared" si="173"/>
        <v>0</v>
      </c>
      <c r="CR135" s="138"/>
      <c r="CS135" s="139"/>
      <c r="CT135" s="140"/>
      <c r="CU135" s="54">
        <f t="shared" si="174"/>
        <v>0</v>
      </c>
      <c r="CV135" s="57">
        <f t="shared" si="175"/>
        <v>0</v>
      </c>
      <c r="CW135" s="55">
        <f t="shared" si="176"/>
        <v>0</v>
      </c>
      <c r="CX135" s="56">
        <f t="shared" si="177"/>
        <v>0</v>
      </c>
      <c r="CY135" s="139"/>
      <c r="CZ135" s="140"/>
      <c r="DA135" s="42">
        <f t="shared" si="178"/>
        <v>0</v>
      </c>
      <c r="DB135" s="39">
        <f t="shared" si="179"/>
        <v>0</v>
      </c>
      <c r="DC135" s="55">
        <f t="shared" si="180"/>
        <v>0</v>
      </c>
      <c r="DD135" s="56">
        <f t="shared" si="181"/>
        <v>0</v>
      </c>
      <c r="DE135" s="65">
        <f t="shared" si="182"/>
        <v>0</v>
      </c>
      <c r="DF135" s="66">
        <f t="shared" si="183"/>
        <v>0</v>
      </c>
      <c r="DG135" s="31">
        <f t="shared" si="123"/>
        <v>0</v>
      </c>
      <c r="DH135" s="32">
        <f t="shared" si="124"/>
        <v>0</v>
      </c>
      <c r="DI135" s="33">
        <f t="shared" si="125"/>
        <v>0</v>
      </c>
      <c r="DJ135" s="34">
        <f t="shared" si="126"/>
        <v>0</v>
      </c>
      <c r="DK135" s="67">
        <f t="shared" si="127"/>
        <v>0</v>
      </c>
      <c r="DL135" s="35">
        <f t="shared" si="128"/>
        <v>0</v>
      </c>
      <c r="DM135" s="59">
        <f t="shared" si="129"/>
        <v>0</v>
      </c>
      <c r="DN135" s="43" t="str">
        <f t="shared" si="185"/>
        <v>راسب(ة)</v>
      </c>
      <c r="DP135" s="51"/>
      <c r="DQ135" s="46"/>
    </row>
    <row r="136" spans="1:121" s="37" customFormat="1" ht="32.25" hidden="1" customHeight="1" thickBot="1">
      <c r="A136" s="49"/>
      <c r="B136" s="1">
        <f t="shared" si="184"/>
        <v>34</v>
      </c>
      <c r="C136" s="129"/>
      <c r="D136" s="129"/>
      <c r="E136" s="47"/>
      <c r="F136" s="135"/>
      <c r="G136" s="136"/>
      <c r="H136" s="131"/>
      <c r="I136" s="132"/>
      <c r="J136" s="133"/>
      <c r="K136" s="134"/>
      <c r="L136" s="53">
        <f t="shared" si="130"/>
        <v>0</v>
      </c>
      <c r="M136" s="58">
        <f t="shared" si="131"/>
        <v>0</v>
      </c>
      <c r="N136" s="138"/>
      <c r="O136" s="139"/>
      <c r="P136" s="140"/>
      <c r="Q136" s="54">
        <f t="shared" si="132"/>
        <v>0</v>
      </c>
      <c r="R136" s="57">
        <f t="shared" si="133"/>
        <v>0</v>
      </c>
      <c r="S136" s="138"/>
      <c r="T136" s="139"/>
      <c r="U136" s="140"/>
      <c r="V136" s="54">
        <f t="shared" si="134"/>
        <v>0</v>
      </c>
      <c r="W136" s="57">
        <f t="shared" si="135"/>
        <v>0</v>
      </c>
      <c r="X136" s="138"/>
      <c r="Y136" s="139"/>
      <c r="Z136" s="140"/>
      <c r="AA136" s="54">
        <f t="shared" si="136"/>
        <v>0</v>
      </c>
      <c r="AB136" s="57">
        <f t="shared" si="137"/>
        <v>0</v>
      </c>
      <c r="AC136" s="55">
        <f t="shared" si="138"/>
        <v>0</v>
      </c>
      <c r="AD136" s="56">
        <f t="shared" si="139"/>
        <v>0</v>
      </c>
      <c r="AE136" s="139"/>
      <c r="AF136" s="140"/>
      <c r="AG136" s="42">
        <f t="shared" si="140"/>
        <v>0</v>
      </c>
      <c r="AH136" s="39">
        <f t="shared" si="141"/>
        <v>0</v>
      </c>
      <c r="AI136" s="241"/>
      <c r="AJ136" s="242"/>
      <c r="AK136" s="140"/>
      <c r="AL136" s="54">
        <f t="shared" si="142"/>
        <v>0</v>
      </c>
      <c r="AM136" s="57">
        <f t="shared" si="143"/>
        <v>0</v>
      </c>
      <c r="AN136" s="138"/>
      <c r="AO136" s="139"/>
      <c r="AP136" s="140"/>
      <c r="AQ136" s="54">
        <f t="shared" si="144"/>
        <v>0</v>
      </c>
      <c r="AR136" s="57">
        <f t="shared" si="145"/>
        <v>0</v>
      </c>
      <c r="AS136" s="40">
        <f t="shared" si="146"/>
        <v>0</v>
      </c>
      <c r="AT136" s="41">
        <f t="shared" si="147"/>
        <v>0</v>
      </c>
      <c r="AU136" s="138"/>
      <c r="AV136" s="139"/>
      <c r="AW136" s="140"/>
      <c r="AX136" s="54">
        <f t="shared" si="148"/>
        <v>0</v>
      </c>
      <c r="AY136" s="57">
        <f t="shared" si="149"/>
        <v>0</v>
      </c>
      <c r="AZ136" s="139"/>
      <c r="BA136" s="140"/>
      <c r="BB136" s="42">
        <f t="shared" si="150"/>
        <v>0</v>
      </c>
      <c r="BC136" s="39">
        <f t="shared" si="151"/>
        <v>0</v>
      </c>
      <c r="BD136" s="40">
        <f t="shared" si="152"/>
        <v>0</v>
      </c>
      <c r="BE136" s="41">
        <f t="shared" si="153"/>
        <v>0</v>
      </c>
      <c r="BF136" s="138"/>
      <c r="BG136" s="139"/>
      <c r="BH136" s="140"/>
      <c r="BI136" s="54">
        <f t="shared" si="154"/>
        <v>0</v>
      </c>
      <c r="BJ136" s="57">
        <f t="shared" si="155"/>
        <v>0</v>
      </c>
      <c r="BK136" s="61">
        <f t="shared" si="156"/>
        <v>0</v>
      </c>
      <c r="BL136" s="41">
        <f t="shared" si="157"/>
        <v>0</v>
      </c>
      <c r="BM136" s="63">
        <f t="shared" si="158"/>
        <v>0</v>
      </c>
      <c r="BN136" s="64">
        <f t="shared" si="159"/>
        <v>0</v>
      </c>
      <c r="BO136" s="138"/>
      <c r="BP136" s="139"/>
      <c r="BQ136" s="140"/>
      <c r="BR136" s="54">
        <f t="shared" si="160"/>
        <v>0</v>
      </c>
      <c r="BS136" s="57">
        <f t="shared" si="161"/>
        <v>0</v>
      </c>
      <c r="BT136" s="138"/>
      <c r="BU136" s="139"/>
      <c r="BV136" s="140"/>
      <c r="BW136" s="54">
        <f t="shared" si="162"/>
        <v>0</v>
      </c>
      <c r="BX136" s="57">
        <f t="shared" si="163"/>
        <v>0</v>
      </c>
      <c r="BY136" s="138"/>
      <c r="BZ136" s="139"/>
      <c r="CA136" s="140"/>
      <c r="CB136" s="54">
        <f t="shared" si="164"/>
        <v>0</v>
      </c>
      <c r="CC136" s="57">
        <f t="shared" si="165"/>
        <v>0</v>
      </c>
      <c r="CD136" s="62">
        <f t="shared" si="166"/>
        <v>0</v>
      </c>
      <c r="CE136" s="56">
        <f t="shared" si="167"/>
        <v>0</v>
      </c>
      <c r="CF136" s="138"/>
      <c r="CG136" s="139"/>
      <c r="CH136" s="140"/>
      <c r="CI136" s="54">
        <f t="shared" si="168"/>
        <v>0</v>
      </c>
      <c r="CJ136" s="57">
        <f t="shared" si="169"/>
        <v>0</v>
      </c>
      <c r="CK136" s="138"/>
      <c r="CL136" s="139"/>
      <c r="CM136" s="140"/>
      <c r="CN136" s="54">
        <f t="shared" si="170"/>
        <v>0</v>
      </c>
      <c r="CO136" s="57">
        <f t="shared" si="171"/>
        <v>0</v>
      </c>
      <c r="CP136" s="55">
        <f t="shared" si="172"/>
        <v>0</v>
      </c>
      <c r="CQ136" s="56">
        <f t="shared" si="173"/>
        <v>0</v>
      </c>
      <c r="CR136" s="138"/>
      <c r="CS136" s="139"/>
      <c r="CT136" s="140"/>
      <c r="CU136" s="54">
        <f t="shared" si="174"/>
        <v>0</v>
      </c>
      <c r="CV136" s="57">
        <f t="shared" si="175"/>
        <v>0</v>
      </c>
      <c r="CW136" s="55">
        <f t="shared" si="176"/>
        <v>0</v>
      </c>
      <c r="CX136" s="56">
        <f t="shared" si="177"/>
        <v>0</v>
      </c>
      <c r="CY136" s="139"/>
      <c r="CZ136" s="140"/>
      <c r="DA136" s="42">
        <f t="shared" si="178"/>
        <v>0</v>
      </c>
      <c r="DB136" s="39">
        <f t="shared" si="179"/>
        <v>0</v>
      </c>
      <c r="DC136" s="55">
        <f t="shared" si="180"/>
        <v>0</v>
      </c>
      <c r="DD136" s="56">
        <f t="shared" si="181"/>
        <v>0</v>
      </c>
      <c r="DE136" s="65">
        <f t="shared" si="182"/>
        <v>0</v>
      </c>
      <c r="DF136" s="66">
        <f t="shared" si="183"/>
        <v>0</v>
      </c>
      <c r="DG136" s="31">
        <f t="shared" si="123"/>
        <v>0</v>
      </c>
      <c r="DH136" s="32">
        <f t="shared" si="124"/>
        <v>0</v>
      </c>
      <c r="DI136" s="33">
        <f t="shared" si="125"/>
        <v>0</v>
      </c>
      <c r="DJ136" s="34">
        <f t="shared" si="126"/>
        <v>0</v>
      </c>
      <c r="DK136" s="67">
        <f t="shared" si="127"/>
        <v>0</v>
      </c>
      <c r="DL136" s="35">
        <f t="shared" si="128"/>
        <v>0</v>
      </c>
      <c r="DM136" s="59">
        <f t="shared" si="129"/>
        <v>0</v>
      </c>
      <c r="DN136" s="43" t="str">
        <f t="shared" si="185"/>
        <v>راسب(ة)</v>
      </c>
      <c r="DP136" s="51"/>
      <c r="DQ136" s="46"/>
    </row>
    <row r="137" spans="1:121" s="37" customFormat="1" ht="32.25" hidden="1" customHeight="1" thickBot="1">
      <c r="A137" s="49"/>
      <c r="B137" s="1">
        <f t="shared" si="184"/>
        <v>35</v>
      </c>
      <c r="C137" s="129"/>
      <c r="D137" s="129"/>
      <c r="E137" s="137"/>
      <c r="F137" s="135"/>
      <c r="G137" s="136"/>
      <c r="H137" s="131"/>
      <c r="I137" s="132"/>
      <c r="J137" s="133"/>
      <c r="K137" s="134"/>
      <c r="L137" s="53">
        <f t="shared" si="130"/>
        <v>0</v>
      </c>
      <c r="M137" s="58">
        <f t="shared" si="131"/>
        <v>0</v>
      </c>
      <c r="N137" s="138"/>
      <c r="O137" s="139"/>
      <c r="P137" s="140"/>
      <c r="Q137" s="54">
        <f t="shared" si="132"/>
        <v>0</v>
      </c>
      <c r="R137" s="57">
        <f t="shared" si="133"/>
        <v>0</v>
      </c>
      <c r="S137" s="138"/>
      <c r="T137" s="139"/>
      <c r="U137" s="140"/>
      <c r="V137" s="54">
        <f t="shared" si="134"/>
        <v>0</v>
      </c>
      <c r="W137" s="57">
        <f t="shared" si="135"/>
        <v>0</v>
      </c>
      <c r="X137" s="138"/>
      <c r="Y137" s="139"/>
      <c r="Z137" s="140"/>
      <c r="AA137" s="54">
        <f t="shared" si="136"/>
        <v>0</v>
      </c>
      <c r="AB137" s="57">
        <f t="shared" si="137"/>
        <v>0</v>
      </c>
      <c r="AC137" s="55">
        <f t="shared" si="138"/>
        <v>0</v>
      </c>
      <c r="AD137" s="56">
        <f t="shared" si="139"/>
        <v>0</v>
      </c>
      <c r="AE137" s="139"/>
      <c r="AF137" s="140"/>
      <c r="AG137" s="42">
        <f t="shared" si="140"/>
        <v>0</v>
      </c>
      <c r="AH137" s="39">
        <f t="shared" si="141"/>
        <v>0</v>
      </c>
      <c r="AI137" s="241"/>
      <c r="AJ137" s="242"/>
      <c r="AK137" s="140"/>
      <c r="AL137" s="54">
        <f t="shared" si="142"/>
        <v>0</v>
      </c>
      <c r="AM137" s="57">
        <f t="shared" si="143"/>
        <v>0</v>
      </c>
      <c r="AN137" s="138"/>
      <c r="AO137" s="139"/>
      <c r="AP137" s="140"/>
      <c r="AQ137" s="54">
        <f t="shared" si="144"/>
        <v>0</v>
      </c>
      <c r="AR137" s="57">
        <f t="shared" si="145"/>
        <v>0</v>
      </c>
      <c r="AS137" s="40">
        <f t="shared" si="146"/>
        <v>0</v>
      </c>
      <c r="AT137" s="41">
        <f t="shared" si="147"/>
        <v>0</v>
      </c>
      <c r="AU137" s="138"/>
      <c r="AV137" s="139"/>
      <c r="AW137" s="140"/>
      <c r="AX137" s="54">
        <f t="shared" si="148"/>
        <v>0</v>
      </c>
      <c r="AY137" s="57">
        <f t="shared" si="149"/>
        <v>0</v>
      </c>
      <c r="AZ137" s="139"/>
      <c r="BA137" s="140"/>
      <c r="BB137" s="42">
        <f t="shared" si="150"/>
        <v>0</v>
      </c>
      <c r="BC137" s="39">
        <f t="shared" si="151"/>
        <v>0</v>
      </c>
      <c r="BD137" s="40">
        <f t="shared" si="152"/>
        <v>0</v>
      </c>
      <c r="BE137" s="41">
        <f t="shared" si="153"/>
        <v>0</v>
      </c>
      <c r="BF137" s="138"/>
      <c r="BG137" s="139"/>
      <c r="BH137" s="140"/>
      <c r="BI137" s="54">
        <f t="shared" si="154"/>
        <v>0</v>
      </c>
      <c r="BJ137" s="57">
        <f t="shared" si="155"/>
        <v>0</v>
      </c>
      <c r="BK137" s="61">
        <f t="shared" si="156"/>
        <v>0</v>
      </c>
      <c r="BL137" s="41">
        <f t="shared" si="157"/>
        <v>0</v>
      </c>
      <c r="BM137" s="63">
        <f t="shared" si="158"/>
        <v>0</v>
      </c>
      <c r="BN137" s="64">
        <f t="shared" si="159"/>
        <v>0</v>
      </c>
      <c r="BO137" s="138"/>
      <c r="BP137" s="139"/>
      <c r="BQ137" s="140"/>
      <c r="BR137" s="54">
        <f t="shared" si="160"/>
        <v>0</v>
      </c>
      <c r="BS137" s="57">
        <f t="shared" si="161"/>
        <v>0</v>
      </c>
      <c r="BT137" s="138"/>
      <c r="BU137" s="139"/>
      <c r="BV137" s="140"/>
      <c r="BW137" s="54">
        <f t="shared" si="162"/>
        <v>0</v>
      </c>
      <c r="BX137" s="57">
        <f t="shared" si="163"/>
        <v>0</v>
      </c>
      <c r="BY137" s="138"/>
      <c r="BZ137" s="139"/>
      <c r="CA137" s="140"/>
      <c r="CB137" s="54">
        <f t="shared" si="164"/>
        <v>0</v>
      </c>
      <c r="CC137" s="57">
        <f t="shared" si="165"/>
        <v>0</v>
      </c>
      <c r="CD137" s="62">
        <f t="shared" si="166"/>
        <v>0</v>
      </c>
      <c r="CE137" s="56">
        <f t="shared" si="167"/>
        <v>0</v>
      </c>
      <c r="CF137" s="138"/>
      <c r="CG137" s="139"/>
      <c r="CH137" s="140"/>
      <c r="CI137" s="54">
        <f t="shared" si="168"/>
        <v>0</v>
      </c>
      <c r="CJ137" s="57">
        <f t="shared" si="169"/>
        <v>0</v>
      </c>
      <c r="CK137" s="138"/>
      <c r="CL137" s="139"/>
      <c r="CM137" s="140"/>
      <c r="CN137" s="54">
        <f t="shared" si="170"/>
        <v>0</v>
      </c>
      <c r="CO137" s="57">
        <f t="shared" si="171"/>
        <v>0</v>
      </c>
      <c r="CP137" s="55">
        <f t="shared" si="172"/>
        <v>0</v>
      </c>
      <c r="CQ137" s="56">
        <f t="shared" si="173"/>
        <v>0</v>
      </c>
      <c r="CR137" s="138"/>
      <c r="CS137" s="139"/>
      <c r="CT137" s="140"/>
      <c r="CU137" s="54">
        <f t="shared" si="174"/>
        <v>0</v>
      </c>
      <c r="CV137" s="57">
        <f t="shared" si="175"/>
        <v>0</v>
      </c>
      <c r="CW137" s="55">
        <f t="shared" si="176"/>
        <v>0</v>
      </c>
      <c r="CX137" s="56">
        <f t="shared" si="177"/>
        <v>0</v>
      </c>
      <c r="CY137" s="139"/>
      <c r="CZ137" s="140"/>
      <c r="DA137" s="42">
        <f t="shared" si="178"/>
        <v>0</v>
      </c>
      <c r="DB137" s="39">
        <f t="shared" si="179"/>
        <v>0</v>
      </c>
      <c r="DC137" s="55">
        <f t="shared" si="180"/>
        <v>0</v>
      </c>
      <c r="DD137" s="56">
        <f t="shared" si="181"/>
        <v>0</v>
      </c>
      <c r="DE137" s="65">
        <f t="shared" si="182"/>
        <v>0</v>
      </c>
      <c r="DF137" s="66">
        <f t="shared" si="183"/>
        <v>0</v>
      </c>
      <c r="DG137" s="31">
        <f t="shared" si="123"/>
        <v>0</v>
      </c>
      <c r="DH137" s="32">
        <f t="shared" si="124"/>
        <v>0</v>
      </c>
      <c r="DI137" s="33">
        <f t="shared" si="125"/>
        <v>0</v>
      </c>
      <c r="DJ137" s="34">
        <f t="shared" si="126"/>
        <v>0</v>
      </c>
      <c r="DK137" s="67">
        <f t="shared" si="127"/>
        <v>0</v>
      </c>
      <c r="DL137" s="35">
        <f t="shared" si="128"/>
        <v>0</v>
      </c>
      <c r="DM137" s="59">
        <f t="shared" si="129"/>
        <v>0</v>
      </c>
      <c r="DN137" s="43" t="str">
        <f t="shared" si="185"/>
        <v>راسب(ة)</v>
      </c>
      <c r="DO137" s="44"/>
      <c r="DP137" s="50"/>
      <c r="DQ137" s="46"/>
    </row>
    <row r="138" spans="1:121" s="37" customFormat="1" ht="32.25" hidden="1" customHeight="1" thickBot="1">
      <c r="A138" s="49"/>
      <c r="B138" s="1">
        <f t="shared" si="184"/>
        <v>36</v>
      </c>
      <c r="C138" s="129"/>
      <c r="D138" s="129"/>
      <c r="E138" s="45"/>
      <c r="F138" s="135"/>
      <c r="G138" s="136"/>
      <c r="H138" s="131"/>
      <c r="I138" s="132"/>
      <c r="J138" s="133"/>
      <c r="K138" s="134"/>
      <c r="L138" s="53">
        <f t="shared" si="130"/>
        <v>0</v>
      </c>
      <c r="M138" s="58">
        <f t="shared" si="131"/>
        <v>0</v>
      </c>
      <c r="N138" s="138"/>
      <c r="O138" s="139"/>
      <c r="P138" s="140"/>
      <c r="Q138" s="54">
        <f t="shared" si="132"/>
        <v>0</v>
      </c>
      <c r="R138" s="57">
        <f t="shared" si="133"/>
        <v>0</v>
      </c>
      <c r="S138" s="138"/>
      <c r="T138" s="139"/>
      <c r="U138" s="140"/>
      <c r="V138" s="54">
        <f t="shared" si="134"/>
        <v>0</v>
      </c>
      <c r="W138" s="57">
        <f t="shared" si="135"/>
        <v>0</v>
      </c>
      <c r="X138" s="138"/>
      <c r="Y138" s="139"/>
      <c r="Z138" s="140"/>
      <c r="AA138" s="54">
        <f t="shared" si="136"/>
        <v>0</v>
      </c>
      <c r="AB138" s="57">
        <f t="shared" si="137"/>
        <v>0</v>
      </c>
      <c r="AC138" s="55">
        <f t="shared" si="138"/>
        <v>0</v>
      </c>
      <c r="AD138" s="56">
        <f t="shared" si="139"/>
        <v>0</v>
      </c>
      <c r="AE138" s="139"/>
      <c r="AF138" s="140"/>
      <c r="AG138" s="42">
        <f t="shared" si="140"/>
        <v>0</v>
      </c>
      <c r="AH138" s="39">
        <f t="shared" si="141"/>
        <v>0</v>
      </c>
      <c r="AI138" s="241"/>
      <c r="AJ138" s="242"/>
      <c r="AK138" s="140"/>
      <c r="AL138" s="54">
        <f t="shared" si="142"/>
        <v>0</v>
      </c>
      <c r="AM138" s="57">
        <f t="shared" si="143"/>
        <v>0</v>
      </c>
      <c r="AN138" s="138"/>
      <c r="AO138" s="139"/>
      <c r="AP138" s="140"/>
      <c r="AQ138" s="54">
        <f t="shared" si="144"/>
        <v>0</v>
      </c>
      <c r="AR138" s="57">
        <f t="shared" si="145"/>
        <v>0</v>
      </c>
      <c r="AS138" s="40">
        <f t="shared" si="146"/>
        <v>0</v>
      </c>
      <c r="AT138" s="41">
        <f t="shared" si="147"/>
        <v>0</v>
      </c>
      <c r="AU138" s="138"/>
      <c r="AV138" s="139"/>
      <c r="AW138" s="140"/>
      <c r="AX138" s="54">
        <f t="shared" si="148"/>
        <v>0</v>
      </c>
      <c r="AY138" s="57">
        <f t="shared" si="149"/>
        <v>0</v>
      </c>
      <c r="AZ138" s="139"/>
      <c r="BA138" s="140"/>
      <c r="BB138" s="42">
        <f t="shared" si="150"/>
        <v>0</v>
      </c>
      <c r="BC138" s="39">
        <f t="shared" si="151"/>
        <v>0</v>
      </c>
      <c r="BD138" s="40">
        <f t="shared" si="152"/>
        <v>0</v>
      </c>
      <c r="BE138" s="41">
        <f t="shared" si="153"/>
        <v>0</v>
      </c>
      <c r="BF138" s="138"/>
      <c r="BG138" s="139"/>
      <c r="BH138" s="140"/>
      <c r="BI138" s="54">
        <f t="shared" si="154"/>
        <v>0</v>
      </c>
      <c r="BJ138" s="57">
        <f t="shared" si="155"/>
        <v>0</v>
      </c>
      <c r="BK138" s="61">
        <f t="shared" si="156"/>
        <v>0</v>
      </c>
      <c r="BL138" s="41">
        <f t="shared" si="157"/>
        <v>0</v>
      </c>
      <c r="BM138" s="63">
        <f t="shared" si="158"/>
        <v>0</v>
      </c>
      <c r="BN138" s="64">
        <f t="shared" si="159"/>
        <v>0</v>
      </c>
      <c r="BO138" s="138"/>
      <c r="BP138" s="139"/>
      <c r="BQ138" s="140"/>
      <c r="BR138" s="54">
        <f t="shared" si="160"/>
        <v>0</v>
      </c>
      <c r="BS138" s="57">
        <f t="shared" si="161"/>
        <v>0</v>
      </c>
      <c r="BT138" s="138"/>
      <c r="BU138" s="139"/>
      <c r="BV138" s="140"/>
      <c r="BW138" s="54">
        <f t="shared" si="162"/>
        <v>0</v>
      </c>
      <c r="BX138" s="57">
        <f t="shared" si="163"/>
        <v>0</v>
      </c>
      <c r="BY138" s="138"/>
      <c r="BZ138" s="139"/>
      <c r="CA138" s="140"/>
      <c r="CB138" s="54">
        <f t="shared" si="164"/>
        <v>0</v>
      </c>
      <c r="CC138" s="57">
        <f t="shared" si="165"/>
        <v>0</v>
      </c>
      <c r="CD138" s="62">
        <f t="shared" si="166"/>
        <v>0</v>
      </c>
      <c r="CE138" s="56">
        <f t="shared" si="167"/>
        <v>0</v>
      </c>
      <c r="CF138" s="138"/>
      <c r="CG138" s="139"/>
      <c r="CH138" s="140"/>
      <c r="CI138" s="54">
        <f t="shared" si="168"/>
        <v>0</v>
      </c>
      <c r="CJ138" s="57">
        <f t="shared" si="169"/>
        <v>0</v>
      </c>
      <c r="CK138" s="138"/>
      <c r="CL138" s="139"/>
      <c r="CM138" s="140"/>
      <c r="CN138" s="54">
        <f t="shared" si="170"/>
        <v>0</v>
      </c>
      <c r="CO138" s="57">
        <f t="shared" si="171"/>
        <v>0</v>
      </c>
      <c r="CP138" s="55">
        <f t="shared" si="172"/>
        <v>0</v>
      </c>
      <c r="CQ138" s="56">
        <f t="shared" si="173"/>
        <v>0</v>
      </c>
      <c r="CR138" s="138"/>
      <c r="CS138" s="139"/>
      <c r="CT138" s="140"/>
      <c r="CU138" s="54">
        <f t="shared" si="174"/>
        <v>0</v>
      </c>
      <c r="CV138" s="57">
        <f t="shared" si="175"/>
        <v>0</v>
      </c>
      <c r="CW138" s="55">
        <f t="shared" si="176"/>
        <v>0</v>
      </c>
      <c r="CX138" s="56">
        <f t="shared" si="177"/>
        <v>0</v>
      </c>
      <c r="CY138" s="139"/>
      <c r="CZ138" s="140"/>
      <c r="DA138" s="42">
        <f t="shared" si="178"/>
        <v>0</v>
      </c>
      <c r="DB138" s="39">
        <f t="shared" si="179"/>
        <v>0</v>
      </c>
      <c r="DC138" s="55">
        <f t="shared" si="180"/>
        <v>0</v>
      </c>
      <c r="DD138" s="56">
        <f t="shared" si="181"/>
        <v>0</v>
      </c>
      <c r="DE138" s="65">
        <f t="shared" si="182"/>
        <v>0</v>
      </c>
      <c r="DF138" s="66">
        <f t="shared" si="183"/>
        <v>0</v>
      </c>
      <c r="DG138" s="31">
        <f t="shared" si="123"/>
        <v>0</v>
      </c>
      <c r="DH138" s="32">
        <f t="shared" si="124"/>
        <v>0</v>
      </c>
      <c r="DI138" s="33">
        <f t="shared" si="125"/>
        <v>0</v>
      </c>
      <c r="DJ138" s="34">
        <f t="shared" si="126"/>
        <v>0</v>
      </c>
      <c r="DK138" s="67">
        <f t="shared" si="127"/>
        <v>0</v>
      </c>
      <c r="DL138" s="35">
        <f t="shared" si="128"/>
        <v>0</v>
      </c>
      <c r="DM138" s="59">
        <f t="shared" si="129"/>
        <v>0</v>
      </c>
      <c r="DN138" s="43" t="str">
        <f t="shared" si="185"/>
        <v>راسب(ة)</v>
      </c>
      <c r="DP138" s="51"/>
      <c r="DQ138" s="46"/>
    </row>
    <row r="139" spans="1:121" s="37" customFormat="1" ht="32.25" hidden="1" customHeight="1" thickBot="1">
      <c r="A139" s="49"/>
      <c r="B139" s="1">
        <f t="shared" si="184"/>
        <v>37</v>
      </c>
      <c r="C139" s="129"/>
      <c r="D139" s="129"/>
      <c r="E139" s="47"/>
      <c r="F139" s="135"/>
      <c r="G139" s="136"/>
      <c r="H139" s="131"/>
      <c r="I139" s="132"/>
      <c r="J139" s="133"/>
      <c r="K139" s="134"/>
      <c r="L139" s="53">
        <f t="shared" si="130"/>
        <v>0</v>
      </c>
      <c r="M139" s="58">
        <f t="shared" si="131"/>
        <v>0</v>
      </c>
      <c r="N139" s="138"/>
      <c r="O139" s="139"/>
      <c r="P139" s="140"/>
      <c r="Q139" s="54">
        <f t="shared" si="132"/>
        <v>0</v>
      </c>
      <c r="R139" s="57">
        <f t="shared" si="133"/>
        <v>0</v>
      </c>
      <c r="S139" s="138"/>
      <c r="T139" s="139"/>
      <c r="U139" s="140"/>
      <c r="V139" s="54">
        <f t="shared" si="134"/>
        <v>0</v>
      </c>
      <c r="W139" s="57">
        <f t="shared" si="135"/>
        <v>0</v>
      </c>
      <c r="X139" s="138"/>
      <c r="Y139" s="139"/>
      <c r="Z139" s="140"/>
      <c r="AA139" s="54">
        <f t="shared" si="136"/>
        <v>0</v>
      </c>
      <c r="AB139" s="57">
        <f t="shared" si="137"/>
        <v>0</v>
      </c>
      <c r="AC139" s="55">
        <f t="shared" si="138"/>
        <v>0</v>
      </c>
      <c r="AD139" s="56">
        <f t="shared" si="139"/>
        <v>0</v>
      </c>
      <c r="AE139" s="139"/>
      <c r="AF139" s="140"/>
      <c r="AG139" s="42">
        <f t="shared" si="140"/>
        <v>0</v>
      </c>
      <c r="AH139" s="39">
        <f t="shared" si="141"/>
        <v>0</v>
      </c>
      <c r="AI139" s="138"/>
      <c r="AJ139" s="139"/>
      <c r="AK139" s="140"/>
      <c r="AL139" s="54">
        <f t="shared" si="142"/>
        <v>0</v>
      </c>
      <c r="AM139" s="57">
        <f t="shared" si="143"/>
        <v>0</v>
      </c>
      <c r="AN139" s="138"/>
      <c r="AO139" s="139"/>
      <c r="AP139" s="140"/>
      <c r="AQ139" s="54">
        <f t="shared" si="144"/>
        <v>0</v>
      </c>
      <c r="AR139" s="57">
        <f t="shared" si="145"/>
        <v>0</v>
      </c>
      <c r="AS139" s="40">
        <f t="shared" si="146"/>
        <v>0</v>
      </c>
      <c r="AT139" s="41">
        <f t="shared" si="147"/>
        <v>0</v>
      </c>
      <c r="AU139" s="138"/>
      <c r="AV139" s="139"/>
      <c r="AW139" s="140"/>
      <c r="AX139" s="54">
        <f t="shared" si="148"/>
        <v>0</v>
      </c>
      <c r="AY139" s="57">
        <f t="shared" si="149"/>
        <v>0</v>
      </c>
      <c r="AZ139" s="139"/>
      <c r="BA139" s="140"/>
      <c r="BB139" s="42">
        <f t="shared" si="150"/>
        <v>0</v>
      </c>
      <c r="BC139" s="39">
        <f t="shared" si="151"/>
        <v>0</v>
      </c>
      <c r="BD139" s="40">
        <f t="shared" si="152"/>
        <v>0</v>
      </c>
      <c r="BE139" s="41">
        <f t="shared" si="153"/>
        <v>0</v>
      </c>
      <c r="BF139" s="138"/>
      <c r="BG139" s="139"/>
      <c r="BH139" s="140"/>
      <c r="BI139" s="54">
        <f t="shared" si="154"/>
        <v>0</v>
      </c>
      <c r="BJ139" s="57">
        <f t="shared" si="155"/>
        <v>0</v>
      </c>
      <c r="BK139" s="61">
        <f t="shared" si="156"/>
        <v>0</v>
      </c>
      <c r="BL139" s="41">
        <f t="shared" si="157"/>
        <v>0</v>
      </c>
      <c r="BM139" s="63">
        <f t="shared" si="158"/>
        <v>0</v>
      </c>
      <c r="BN139" s="64">
        <f t="shared" si="159"/>
        <v>0</v>
      </c>
      <c r="BO139" s="138"/>
      <c r="BP139" s="139"/>
      <c r="BQ139" s="140"/>
      <c r="BR139" s="54">
        <f t="shared" si="160"/>
        <v>0</v>
      </c>
      <c r="BS139" s="57">
        <f t="shared" si="161"/>
        <v>0</v>
      </c>
      <c r="BT139" s="138"/>
      <c r="BU139" s="139"/>
      <c r="BV139" s="140"/>
      <c r="BW139" s="54">
        <f t="shared" si="162"/>
        <v>0</v>
      </c>
      <c r="BX139" s="57">
        <f t="shared" si="163"/>
        <v>0</v>
      </c>
      <c r="BY139" s="138"/>
      <c r="BZ139" s="139"/>
      <c r="CA139" s="140"/>
      <c r="CB139" s="54">
        <f t="shared" si="164"/>
        <v>0</v>
      </c>
      <c r="CC139" s="57">
        <f t="shared" si="165"/>
        <v>0</v>
      </c>
      <c r="CD139" s="62">
        <f t="shared" si="166"/>
        <v>0</v>
      </c>
      <c r="CE139" s="56">
        <f t="shared" si="167"/>
        <v>0</v>
      </c>
      <c r="CF139" s="138"/>
      <c r="CG139" s="139"/>
      <c r="CH139" s="140"/>
      <c r="CI139" s="54">
        <f t="shared" si="168"/>
        <v>0</v>
      </c>
      <c r="CJ139" s="57">
        <f t="shared" si="169"/>
        <v>0</v>
      </c>
      <c r="CK139" s="138"/>
      <c r="CL139" s="139"/>
      <c r="CM139" s="140"/>
      <c r="CN139" s="54">
        <f t="shared" si="170"/>
        <v>0</v>
      </c>
      <c r="CO139" s="57">
        <f t="shared" si="171"/>
        <v>0</v>
      </c>
      <c r="CP139" s="55">
        <f t="shared" si="172"/>
        <v>0</v>
      </c>
      <c r="CQ139" s="56">
        <f t="shared" si="173"/>
        <v>0</v>
      </c>
      <c r="CR139" s="138"/>
      <c r="CS139" s="139"/>
      <c r="CT139" s="140"/>
      <c r="CU139" s="54">
        <f t="shared" si="174"/>
        <v>0</v>
      </c>
      <c r="CV139" s="57">
        <f t="shared" si="175"/>
        <v>0</v>
      </c>
      <c r="CW139" s="55">
        <f t="shared" si="176"/>
        <v>0</v>
      </c>
      <c r="CX139" s="56">
        <f t="shared" si="177"/>
        <v>0</v>
      </c>
      <c r="CY139" s="139"/>
      <c r="CZ139" s="140"/>
      <c r="DA139" s="42">
        <f t="shared" si="178"/>
        <v>0</v>
      </c>
      <c r="DB139" s="39">
        <f t="shared" si="179"/>
        <v>0</v>
      </c>
      <c r="DC139" s="55">
        <f t="shared" si="180"/>
        <v>0</v>
      </c>
      <c r="DD139" s="56">
        <f t="shared" si="181"/>
        <v>0</v>
      </c>
      <c r="DE139" s="65">
        <f t="shared" si="182"/>
        <v>0</v>
      </c>
      <c r="DF139" s="66">
        <f t="shared" si="183"/>
        <v>0</v>
      </c>
      <c r="DG139" s="31">
        <f t="shared" si="123"/>
        <v>0</v>
      </c>
      <c r="DH139" s="32">
        <f t="shared" si="124"/>
        <v>0</v>
      </c>
      <c r="DI139" s="33">
        <f t="shared" si="125"/>
        <v>0</v>
      </c>
      <c r="DJ139" s="34">
        <f t="shared" si="126"/>
        <v>0</v>
      </c>
      <c r="DK139" s="67">
        <f t="shared" si="127"/>
        <v>0</v>
      </c>
      <c r="DL139" s="35">
        <f t="shared" si="128"/>
        <v>0</v>
      </c>
      <c r="DM139" s="59">
        <f t="shared" si="129"/>
        <v>0</v>
      </c>
      <c r="DN139" s="43" t="str">
        <f t="shared" si="185"/>
        <v>راسب(ة)</v>
      </c>
      <c r="DO139" s="44"/>
      <c r="DP139" s="50"/>
      <c r="DQ139" s="46"/>
    </row>
    <row r="140" spans="1:121" s="37" customFormat="1" ht="32.25" hidden="1" customHeight="1" thickBot="1">
      <c r="A140" s="49"/>
      <c r="B140" s="1">
        <f t="shared" si="184"/>
        <v>38</v>
      </c>
      <c r="C140" s="129"/>
      <c r="D140" s="129"/>
      <c r="E140" s="47"/>
      <c r="F140" s="135"/>
      <c r="G140" s="136"/>
      <c r="H140" s="131"/>
      <c r="I140" s="132"/>
      <c r="J140" s="133"/>
      <c r="K140" s="134"/>
      <c r="L140" s="53">
        <f t="shared" si="130"/>
        <v>0</v>
      </c>
      <c r="M140" s="58">
        <f t="shared" si="131"/>
        <v>0</v>
      </c>
      <c r="N140" s="138"/>
      <c r="O140" s="139"/>
      <c r="P140" s="140"/>
      <c r="Q140" s="54">
        <f t="shared" si="132"/>
        <v>0</v>
      </c>
      <c r="R140" s="57">
        <f t="shared" si="133"/>
        <v>0</v>
      </c>
      <c r="S140" s="138"/>
      <c r="T140" s="139"/>
      <c r="U140" s="140"/>
      <c r="V140" s="54">
        <f t="shared" si="134"/>
        <v>0</v>
      </c>
      <c r="W140" s="57">
        <f t="shared" si="135"/>
        <v>0</v>
      </c>
      <c r="X140" s="138"/>
      <c r="Y140" s="139"/>
      <c r="Z140" s="140"/>
      <c r="AA140" s="54">
        <f t="shared" si="136"/>
        <v>0</v>
      </c>
      <c r="AB140" s="57">
        <f t="shared" si="137"/>
        <v>0</v>
      </c>
      <c r="AC140" s="55">
        <f t="shared" si="138"/>
        <v>0</v>
      </c>
      <c r="AD140" s="56">
        <f t="shared" si="139"/>
        <v>0</v>
      </c>
      <c r="AE140" s="139"/>
      <c r="AF140" s="140"/>
      <c r="AG140" s="42">
        <f t="shared" si="140"/>
        <v>0</v>
      </c>
      <c r="AH140" s="39">
        <f t="shared" si="141"/>
        <v>0</v>
      </c>
      <c r="AI140" s="138"/>
      <c r="AJ140" s="139"/>
      <c r="AK140" s="140"/>
      <c r="AL140" s="54">
        <f t="shared" si="142"/>
        <v>0</v>
      </c>
      <c r="AM140" s="57">
        <f t="shared" si="143"/>
        <v>0</v>
      </c>
      <c r="AN140" s="138"/>
      <c r="AO140" s="139"/>
      <c r="AP140" s="140"/>
      <c r="AQ140" s="54">
        <f t="shared" si="144"/>
        <v>0</v>
      </c>
      <c r="AR140" s="57">
        <f t="shared" si="145"/>
        <v>0</v>
      </c>
      <c r="AS140" s="40">
        <f t="shared" si="146"/>
        <v>0</v>
      </c>
      <c r="AT140" s="41">
        <f t="shared" si="147"/>
        <v>0</v>
      </c>
      <c r="AU140" s="138"/>
      <c r="AV140" s="139"/>
      <c r="AW140" s="140"/>
      <c r="AX140" s="54">
        <f t="shared" si="148"/>
        <v>0</v>
      </c>
      <c r="AY140" s="57">
        <f t="shared" si="149"/>
        <v>0</v>
      </c>
      <c r="AZ140" s="139"/>
      <c r="BA140" s="140"/>
      <c r="BB140" s="42">
        <f t="shared" si="150"/>
        <v>0</v>
      </c>
      <c r="BC140" s="39">
        <f t="shared" si="151"/>
        <v>0</v>
      </c>
      <c r="BD140" s="40">
        <f t="shared" si="152"/>
        <v>0</v>
      </c>
      <c r="BE140" s="41">
        <f t="shared" si="153"/>
        <v>0</v>
      </c>
      <c r="BF140" s="138"/>
      <c r="BG140" s="139"/>
      <c r="BH140" s="140"/>
      <c r="BI140" s="54">
        <f t="shared" si="154"/>
        <v>0</v>
      </c>
      <c r="BJ140" s="57">
        <f t="shared" si="155"/>
        <v>0</v>
      </c>
      <c r="BK140" s="61">
        <f t="shared" si="156"/>
        <v>0</v>
      </c>
      <c r="BL140" s="41">
        <f t="shared" si="157"/>
        <v>0</v>
      </c>
      <c r="BM140" s="63">
        <f t="shared" si="158"/>
        <v>0</v>
      </c>
      <c r="BN140" s="64">
        <f t="shared" si="159"/>
        <v>0</v>
      </c>
      <c r="BO140" s="138"/>
      <c r="BP140" s="139"/>
      <c r="BQ140" s="140"/>
      <c r="BR140" s="54">
        <f t="shared" si="160"/>
        <v>0</v>
      </c>
      <c r="BS140" s="57">
        <f t="shared" si="161"/>
        <v>0</v>
      </c>
      <c r="BT140" s="138"/>
      <c r="BU140" s="139"/>
      <c r="BV140" s="140"/>
      <c r="BW140" s="54">
        <f t="shared" si="162"/>
        <v>0</v>
      </c>
      <c r="BX140" s="57">
        <f t="shared" si="163"/>
        <v>0</v>
      </c>
      <c r="BY140" s="138"/>
      <c r="BZ140" s="139"/>
      <c r="CA140" s="140"/>
      <c r="CB140" s="54">
        <f t="shared" si="164"/>
        <v>0</v>
      </c>
      <c r="CC140" s="57">
        <f t="shared" si="165"/>
        <v>0</v>
      </c>
      <c r="CD140" s="62">
        <f t="shared" si="166"/>
        <v>0</v>
      </c>
      <c r="CE140" s="56">
        <f t="shared" si="167"/>
        <v>0</v>
      </c>
      <c r="CF140" s="138"/>
      <c r="CG140" s="139"/>
      <c r="CH140" s="140"/>
      <c r="CI140" s="54">
        <f t="shared" si="168"/>
        <v>0</v>
      </c>
      <c r="CJ140" s="57">
        <f t="shared" si="169"/>
        <v>0</v>
      </c>
      <c r="CK140" s="138"/>
      <c r="CL140" s="139"/>
      <c r="CM140" s="140"/>
      <c r="CN140" s="54">
        <f t="shared" si="170"/>
        <v>0</v>
      </c>
      <c r="CO140" s="57">
        <f t="shared" si="171"/>
        <v>0</v>
      </c>
      <c r="CP140" s="55">
        <f t="shared" si="172"/>
        <v>0</v>
      </c>
      <c r="CQ140" s="56">
        <f t="shared" si="173"/>
        <v>0</v>
      </c>
      <c r="CR140" s="138"/>
      <c r="CS140" s="139"/>
      <c r="CT140" s="140"/>
      <c r="CU140" s="54">
        <f t="shared" si="174"/>
        <v>0</v>
      </c>
      <c r="CV140" s="57">
        <f t="shared" si="175"/>
        <v>0</v>
      </c>
      <c r="CW140" s="55">
        <f t="shared" si="176"/>
        <v>0</v>
      </c>
      <c r="CX140" s="56">
        <f t="shared" si="177"/>
        <v>0</v>
      </c>
      <c r="CY140" s="139"/>
      <c r="CZ140" s="140"/>
      <c r="DA140" s="42">
        <f t="shared" si="178"/>
        <v>0</v>
      </c>
      <c r="DB140" s="39">
        <f t="shared" si="179"/>
        <v>0</v>
      </c>
      <c r="DC140" s="55">
        <f t="shared" si="180"/>
        <v>0</v>
      </c>
      <c r="DD140" s="56">
        <f t="shared" si="181"/>
        <v>0</v>
      </c>
      <c r="DE140" s="65">
        <f t="shared" si="182"/>
        <v>0</v>
      </c>
      <c r="DF140" s="66">
        <f t="shared" si="183"/>
        <v>0</v>
      </c>
      <c r="DG140" s="31">
        <f t="shared" si="123"/>
        <v>0</v>
      </c>
      <c r="DH140" s="32">
        <f t="shared" si="124"/>
        <v>0</v>
      </c>
      <c r="DI140" s="33">
        <f t="shared" si="125"/>
        <v>0</v>
      </c>
      <c r="DJ140" s="34">
        <f t="shared" si="126"/>
        <v>0</v>
      </c>
      <c r="DK140" s="67">
        <f t="shared" si="127"/>
        <v>0</v>
      </c>
      <c r="DL140" s="35">
        <f t="shared" si="128"/>
        <v>0</v>
      </c>
      <c r="DM140" s="59">
        <f t="shared" si="129"/>
        <v>0</v>
      </c>
      <c r="DN140" s="43" t="str">
        <f t="shared" si="185"/>
        <v>راسب(ة)</v>
      </c>
      <c r="DO140" s="44"/>
      <c r="DP140" s="50"/>
      <c r="DQ140" s="46"/>
    </row>
    <row r="141" spans="1:121" s="37" customFormat="1" ht="32.25" hidden="1" customHeight="1" thickBot="1">
      <c r="A141" s="49"/>
      <c r="B141" s="1">
        <f t="shared" si="184"/>
        <v>39</v>
      </c>
      <c r="C141" s="129"/>
      <c r="D141" s="129"/>
      <c r="E141" s="47"/>
      <c r="F141" s="135"/>
      <c r="G141" s="136"/>
      <c r="H141" s="131"/>
      <c r="I141" s="132"/>
      <c r="J141" s="133"/>
      <c r="K141" s="134"/>
      <c r="L141" s="53">
        <f t="shared" si="130"/>
        <v>0</v>
      </c>
      <c r="M141" s="58">
        <f t="shared" si="131"/>
        <v>0</v>
      </c>
      <c r="N141" s="138"/>
      <c r="O141" s="139"/>
      <c r="P141" s="140"/>
      <c r="Q141" s="54">
        <f t="shared" si="132"/>
        <v>0</v>
      </c>
      <c r="R141" s="57">
        <f t="shared" si="133"/>
        <v>0</v>
      </c>
      <c r="S141" s="138"/>
      <c r="T141" s="139"/>
      <c r="U141" s="140"/>
      <c r="V141" s="54">
        <f t="shared" si="134"/>
        <v>0</v>
      </c>
      <c r="W141" s="57">
        <f t="shared" si="135"/>
        <v>0</v>
      </c>
      <c r="X141" s="138"/>
      <c r="Y141" s="139"/>
      <c r="Z141" s="140"/>
      <c r="AA141" s="54">
        <f t="shared" si="136"/>
        <v>0</v>
      </c>
      <c r="AB141" s="57">
        <f t="shared" si="137"/>
        <v>0</v>
      </c>
      <c r="AC141" s="55">
        <f t="shared" si="138"/>
        <v>0</v>
      </c>
      <c r="AD141" s="56">
        <f t="shared" si="139"/>
        <v>0</v>
      </c>
      <c r="AE141" s="139"/>
      <c r="AF141" s="140"/>
      <c r="AG141" s="42">
        <f t="shared" si="140"/>
        <v>0</v>
      </c>
      <c r="AH141" s="39">
        <f t="shared" si="141"/>
        <v>0</v>
      </c>
      <c r="AI141" s="138"/>
      <c r="AJ141" s="139"/>
      <c r="AK141" s="140"/>
      <c r="AL141" s="54">
        <f t="shared" si="142"/>
        <v>0</v>
      </c>
      <c r="AM141" s="57">
        <f t="shared" si="143"/>
        <v>0</v>
      </c>
      <c r="AN141" s="138"/>
      <c r="AO141" s="139"/>
      <c r="AP141" s="140"/>
      <c r="AQ141" s="54">
        <f t="shared" si="144"/>
        <v>0</v>
      </c>
      <c r="AR141" s="57">
        <f t="shared" si="145"/>
        <v>0</v>
      </c>
      <c r="AS141" s="40">
        <f t="shared" si="146"/>
        <v>0</v>
      </c>
      <c r="AT141" s="41">
        <f t="shared" si="147"/>
        <v>0</v>
      </c>
      <c r="AU141" s="138"/>
      <c r="AV141" s="139"/>
      <c r="AW141" s="140"/>
      <c r="AX141" s="54">
        <f t="shared" si="148"/>
        <v>0</v>
      </c>
      <c r="AY141" s="57">
        <f t="shared" si="149"/>
        <v>0</v>
      </c>
      <c r="AZ141" s="139"/>
      <c r="BA141" s="140"/>
      <c r="BB141" s="42">
        <f t="shared" si="150"/>
        <v>0</v>
      </c>
      <c r="BC141" s="39">
        <f t="shared" si="151"/>
        <v>0</v>
      </c>
      <c r="BD141" s="40">
        <f t="shared" si="152"/>
        <v>0</v>
      </c>
      <c r="BE141" s="41">
        <f t="shared" si="153"/>
        <v>0</v>
      </c>
      <c r="BF141" s="138"/>
      <c r="BG141" s="139"/>
      <c r="BH141" s="140"/>
      <c r="BI141" s="54">
        <f t="shared" si="154"/>
        <v>0</v>
      </c>
      <c r="BJ141" s="57">
        <f t="shared" si="155"/>
        <v>0</v>
      </c>
      <c r="BK141" s="61">
        <f t="shared" si="156"/>
        <v>0</v>
      </c>
      <c r="BL141" s="41">
        <f t="shared" si="157"/>
        <v>0</v>
      </c>
      <c r="BM141" s="63">
        <f t="shared" si="158"/>
        <v>0</v>
      </c>
      <c r="BN141" s="64">
        <f t="shared" si="159"/>
        <v>0</v>
      </c>
      <c r="BO141" s="138"/>
      <c r="BP141" s="139"/>
      <c r="BQ141" s="140"/>
      <c r="BR141" s="54">
        <f t="shared" si="160"/>
        <v>0</v>
      </c>
      <c r="BS141" s="57">
        <f t="shared" si="161"/>
        <v>0</v>
      </c>
      <c r="BT141" s="138"/>
      <c r="BU141" s="139"/>
      <c r="BV141" s="140"/>
      <c r="BW141" s="54">
        <f t="shared" si="162"/>
        <v>0</v>
      </c>
      <c r="BX141" s="57">
        <f t="shared" si="163"/>
        <v>0</v>
      </c>
      <c r="BY141" s="138"/>
      <c r="BZ141" s="139"/>
      <c r="CA141" s="140"/>
      <c r="CB141" s="54">
        <f t="shared" si="164"/>
        <v>0</v>
      </c>
      <c r="CC141" s="57">
        <f t="shared" si="165"/>
        <v>0</v>
      </c>
      <c r="CD141" s="62">
        <f t="shared" si="166"/>
        <v>0</v>
      </c>
      <c r="CE141" s="56">
        <f t="shared" si="167"/>
        <v>0</v>
      </c>
      <c r="CF141" s="138"/>
      <c r="CG141" s="139"/>
      <c r="CH141" s="140"/>
      <c r="CI141" s="54">
        <f t="shared" si="168"/>
        <v>0</v>
      </c>
      <c r="CJ141" s="57">
        <f t="shared" si="169"/>
        <v>0</v>
      </c>
      <c r="CK141" s="138"/>
      <c r="CL141" s="139"/>
      <c r="CM141" s="140"/>
      <c r="CN141" s="54">
        <f t="shared" si="170"/>
        <v>0</v>
      </c>
      <c r="CO141" s="57">
        <f t="shared" si="171"/>
        <v>0</v>
      </c>
      <c r="CP141" s="55">
        <f t="shared" si="172"/>
        <v>0</v>
      </c>
      <c r="CQ141" s="56">
        <f t="shared" si="173"/>
        <v>0</v>
      </c>
      <c r="CR141" s="138"/>
      <c r="CS141" s="139"/>
      <c r="CT141" s="140"/>
      <c r="CU141" s="54">
        <f t="shared" si="174"/>
        <v>0</v>
      </c>
      <c r="CV141" s="57">
        <f t="shared" si="175"/>
        <v>0</v>
      </c>
      <c r="CW141" s="55">
        <f t="shared" si="176"/>
        <v>0</v>
      </c>
      <c r="CX141" s="56">
        <f t="shared" si="177"/>
        <v>0</v>
      </c>
      <c r="CY141" s="139"/>
      <c r="CZ141" s="140"/>
      <c r="DA141" s="42">
        <f t="shared" si="178"/>
        <v>0</v>
      </c>
      <c r="DB141" s="39">
        <f t="shared" si="179"/>
        <v>0</v>
      </c>
      <c r="DC141" s="55">
        <f t="shared" si="180"/>
        <v>0</v>
      </c>
      <c r="DD141" s="56">
        <f t="shared" si="181"/>
        <v>0</v>
      </c>
      <c r="DE141" s="65">
        <f t="shared" si="182"/>
        <v>0</v>
      </c>
      <c r="DF141" s="66">
        <f t="shared" si="183"/>
        <v>0</v>
      </c>
      <c r="DG141" s="31">
        <f t="shared" si="123"/>
        <v>0</v>
      </c>
      <c r="DH141" s="32">
        <f t="shared" si="124"/>
        <v>0</v>
      </c>
      <c r="DI141" s="33">
        <f t="shared" si="125"/>
        <v>0</v>
      </c>
      <c r="DJ141" s="34">
        <f t="shared" si="126"/>
        <v>0</v>
      </c>
      <c r="DK141" s="67">
        <f t="shared" si="127"/>
        <v>0</v>
      </c>
      <c r="DL141" s="35">
        <f t="shared" si="128"/>
        <v>0</v>
      </c>
      <c r="DM141" s="59">
        <f t="shared" si="129"/>
        <v>0</v>
      </c>
      <c r="DN141" s="43" t="str">
        <f t="shared" si="185"/>
        <v>راسب(ة)</v>
      </c>
      <c r="DO141" s="44"/>
      <c r="DP141" s="50"/>
      <c r="DQ141" s="46"/>
    </row>
    <row r="142" spans="1:121" s="37" customFormat="1" ht="32.25" hidden="1" customHeight="1" thickBot="1">
      <c r="A142" s="49"/>
      <c r="B142" s="1">
        <f t="shared" si="184"/>
        <v>40</v>
      </c>
      <c r="C142" s="129"/>
      <c r="D142" s="129"/>
      <c r="E142" s="47"/>
      <c r="F142" s="135"/>
      <c r="G142" s="136"/>
      <c r="H142" s="131"/>
      <c r="I142" s="132"/>
      <c r="J142" s="133"/>
      <c r="K142" s="134"/>
      <c r="L142" s="53">
        <f t="shared" si="130"/>
        <v>0</v>
      </c>
      <c r="M142" s="58">
        <f t="shared" si="131"/>
        <v>0</v>
      </c>
      <c r="N142" s="138"/>
      <c r="O142" s="139"/>
      <c r="P142" s="140"/>
      <c r="Q142" s="54">
        <f t="shared" si="132"/>
        <v>0</v>
      </c>
      <c r="R142" s="57">
        <f t="shared" si="133"/>
        <v>0</v>
      </c>
      <c r="S142" s="138"/>
      <c r="T142" s="139"/>
      <c r="U142" s="140"/>
      <c r="V142" s="54">
        <f t="shared" si="134"/>
        <v>0</v>
      </c>
      <c r="W142" s="57">
        <f t="shared" si="135"/>
        <v>0</v>
      </c>
      <c r="X142" s="138"/>
      <c r="Y142" s="139"/>
      <c r="Z142" s="140"/>
      <c r="AA142" s="54">
        <f t="shared" si="136"/>
        <v>0</v>
      </c>
      <c r="AB142" s="57">
        <f t="shared" si="137"/>
        <v>0</v>
      </c>
      <c r="AC142" s="55">
        <f t="shared" si="138"/>
        <v>0</v>
      </c>
      <c r="AD142" s="56">
        <f t="shared" si="139"/>
        <v>0</v>
      </c>
      <c r="AE142" s="139"/>
      <c r="AF142" s="140"/>
      <c r="AG142" s="42">
        <f t="shared" si="140"/>
        <v>0</v>
      </c>
      <c r="AH142" s="39">
        <f t="shared" si="141"/>
        <v>0</v>
      </c>
      <c r="AI142" s="138"/>
      <c r="AJ142" s="139"/>
      <c r="AK142" s="140"/>
      <c r="AL142" s="54">
        <f t="shared" si="142"/>
        <v>0</v>
      </c>
      <c r="AM142" s="57">
        <f t="shared" si="143"/>
        <v>0</v>
      </c>
      <c r="AN142" s="138"/>
      <c r="AO142" s="139"/>
      <c r="AP142" s="140"/>
      <c r="AQ142" s="54">
        <f t="shared" si="144"/>
        <v>0</v>
      </c>
      <c r="AR142" s="57">
        <f t="shared" si="145"/>
        <v>0</v>
      </c>
      <c r="AS142" s="40">
        <f t="shared" si="146"/>
        <v>0</v>
      </c>
      <c r="AT142" s="41">
        <f t="shared" si="147"/>
        <v>0</v>
      </c>
      <c r="AU142" s="138"/>
      <c r="AV142" s="139"/>
      <c r="AW142" s="140"/>
      <c r="AX142" s="54">
        <f t="shared" si="148"/>
        <v>0</v>
      </c>
      <c r="AY142" s="57">
        <f t="shared" si="149"/>
        <v>0</v>
      </c>
      <c r="AZ142" s="139"/>
      <c r="BA142" s="140"/>
      <c r="BB142" s="42">
        <f t="shared" si="150"/>
        <v>0</v>
      </c>
      <c r="BC142" s="39">
        <f t="shared" si="151"/>
        <v>0</v>
      </c>
      <c r="BD142" s="40">
        <f t="shared" si="152"/>
        <v>0</v>
      </c>
      <c r="BE142" s="41">
        <f t="shared" si="153"/>
        <v>0</v>
      </c>
      <c r="BF142" s="138"/>
      <c r="BG142" s="139"/>
      <c r="BH142" s="140"/>
      <c r="BI142" s="54">
        <f t="shared" si="154"/>
        <v>0</v>
      </c>
      <c r="BJ142" s="57">
        <f t="shared" si="155"/>
        <v>0</v>
      </c>
      <c r="BK142" s="61">
        <f t="shared" si="156"/>
        <v>0</v>
      </c>
      <c r="BL142" s="41">
        <f t="shared" si="157"/>
        <v>0</v>
      </c>
      <c r="BM142" s="63">
        <f t="shared" si="158"/>
        <v>0</v>
      </c>
      <c r="BN142" s="64">
        <f t="shared" si="159"/>
        <v>0</v>
      </c>
      <c r="BO142" s="138"/>
      <c r="BP142" s="139"/>
      <c r="BQ142" s="140"/>
      <c r="BR142" s="54">
        <f t="shared" si="160"/>
        <v>0</v>
      </c>
      <c r="BS142" s="57">
        <f t="shared" si="161"/>
        <v>0</v>
      </c>
      <c r="BT142" s="138"/>
      <c r="BU142" s="139"/>
      <c r="BV142" s="140"/>
      <c r="BW142" s="54">
        <f t="shared" si="162"/>
        <v>0</v>
      </c>
      <c r="BX142" s="57">
        <f t="shared" si="163"/>
        <v>0</v>
      </c>
      <c r="BY142" s="138"/>
      <c r="BZ142" s="139"/>
      <c r="CA142" s="140"/>
      <c r="CB142" s="54">
        <f t="shared" si="164"/>
        <v>0</v>
      </c>
      <c r="CC142" s="57">
        <f t="shared" si="165"/>
        <v>0</v>
      </c>
      <c r="CD142" s="62">
        <f t="shared" si="166"/>
        <v>0</v>
      </c>
      <c r="CE142" s="56">
        <f t="shared" si="167"/>
        <v>0</v>
      </c>
      <c r="CF142" s="138"/>
      <c r="CG142" s="139"/>
      <c r="CH142" s="140"/>
      <c r="CI142" s="54">
        <f t="shared" si="168"/>
        <v>0</v>
      </c>
      <c r="CJ142" s="57">
        <f t="shared" si="169"/>
        <v>0</v>
      </c>
      <c r="CK142" s="138"/>
      <c r="CL142" s="139"/>
      <c r="CM142" s="140"/>
      <c r="CN142" s="54">
        <f t="shared" si="170"/>
        <v>0</v>
      </c>
      <c r="CO142" s="57">
        <f t="shared" si="171"/>
        <v>0</v>
      </c>
      <c r="CP142" s="55">
        <f t="shared" si="172"/>
        <v>0</v>
      </c>
      <c r="CQ142" s="56">
        <f t="shared" si="173"/>
        <v>0</v>
      </c>
      <c r="CR142" s="138"/>
      <c r="CS142" s="139"/>
      <c r="CT142" s="140"/>
      <c r="CU142" s="54">
        <f t="shared" si="174"/>
        <v>0</v>
      </c>
      <c r="CV142" s="57">
        <f t="shared" si="175"/>
        <v>0</v>
      </c>
      <c r="CW142" s="55">
        <f t="shared" si="176"/>
        <v>0</v>
      </c>
      <c r="CX142" s="56">
        <f t="shared" si="177"/>
        <v>0</v>
      </c>
      <c r="CY142" s="139"/>
      <c r="CZ142" s="140"/>
      <c r="DA142" s="42">
        <f t="shared" si="178"/>
        <v>0</v>
      </c>
      <c r="DB142" s="39">
        <f t="shared" si="179"/>
        <v>0</v>
      </c>
      <c r="DC142" s="55">
        <f t="shared" si="180"/>
        <v>0</v>
      </c>
      <c r="DD142" s="56">
        <f t="shared" si="181"/>
        <v>0</v>
      </c>
      <c r="DE142" s="65">
        <f t="shared" si="182"/>
        <v>0</v>
      </c>
      <c r="DF142" s="66">
        <f t="shared" si="183"/>
        <v>0</v>
      </c>
      <c r="DG142" s="31">
        <f t="shared" si="123"/>
        <v>0</v>
      </c>
      <c r="DH142" s="32">
        <f t="shared" si="124"/>
        <v>0</v>
      </c>
      <c r="DI142" s="33">
        <f t="shared" si="125"/>
        <v>0</v>
      </c>
      <c r="DJ142" s="34">
        <f t="shared" si="126"/>
        <v>0</v>
      </c>
      <c r="DK142" s="67">
        <f t="shared" si="127"/>
        <v>0</v>
      </c>
      <c r="DL142" s="35">
        <f t="shared" si="128"/>
        <v>0</v>
      </c>
      <c r="DM142" s="59">
        <f t="shared" si="129"/>
        <v>0</v>
      </c>
      <c r="DN142" s="43" t="str">
        <f t="shared" si="185"/>
        <v>راسب(ة)</v>
      </c>
      <c r="DP142" s="51"/>
      <c r="DQ142" s="46"/>
    </row>
    <row r="143" spans="1:121" s="37" customFormat="1" ht="46.5" customHeight="1">
      <c r="A143" s="49"/>
      <c r="B143" s="420" t="s">
        <v>47</v>
      </c>
      <c r="C143" s="388"/>
      <c r="D143" s="388"/>
      <c r="E143" s="421"/>
      <c r="F143" s="200"/>
      <c r="G143" s="200"/>
      <c r="H143" s="200"/>
      <c r="I143" s="200"/>
      <c r="J143" s="200"/>
      <c r="K143" s="200"/>
      <c r="L143" s="200"/>
      <c r="M143" s="200"/>
      <c r="N143" s="350" t="s">
        <v>45</v>
      </c>
      <c r="O143" s="351"/>
      <c r="P143" s="351"/>
      <c r="Q143" s="351"/>
      <c r="R143" s="352"/>
      <c r="S143" s="350" t="s">
        <v>45</v>
      </c>
      <c r="T143" s="351"/>
      <c r="U143" s="351"/>
      <c r="V143" s="351"/>
      <c r="W143" s="352"/>
      <c r="X143" s="350" t="s">
        <v>45</v>
      </c>
      <c r="Y143" s="351"/>
      <c r="Z143" s="351"/>
      <c r="AA143" s="351"/>
      <c r="AB143" s="352"/>
      <c r="AC143" s="200"/>
      <c r="AD143" s="200"/>
      <c r="AE143" s="347" t="s">
        <v>45</v>
      </c>
      <c r="AF143" s="348"/>
      <c r="AG143" s="348"/>
      <c r="AH143" s="349"/>
      <c r="AI143" s="350" t="s">
        <v>45</v>
      </c>
      <c r="AJ143" s="351"/>
      <c r="AK143" s="351"/>
      <c r="AL143" s="351"/>
      <c r="AM143" s="352"/>
      <c r="AN143" s="350" t="s">
        <v>45</v>
      </c>
      <c r="AO143" s="351"/>
      <c r="AP143" s="351"/>
      <c r="AQ143" s="351"/>
      <c r="AR143" s="352"/>
      <c r="AS143" s="200"/>
      <c r="AT143" s="200"/>
      <c r="AU143" s="350" t="s">
        <v>45</v>
      </c>
      <c r="AV143" s="351"/>
      <c r="AW143" s="351"/>
      <c r="AX143" s="351"/>
      <c r="AY143" s="352"/>
      <c r="AZ143" s="347" t="s">
        <v>45</v>
      </c>
      <c r="BA143" s="348"/>
      <c r="BB143" s="348"/>
      <c r="BC143" s="349"/>
      <c r="BD143" s="200"/>
      <c r="BE143" s="200"/>
      <c r="BF143" s="350" t="s">
        <v>45</v>
      </c>
      <c r="BG143" s="351"/>
      <c r="BH143" s="351"/>
      <c r="BI143" s="351"/>
      <c r="BJ143" s="352"/>
      <c r="BK143" s="387" t="s">
        <v>46</v>
      </c>
      <c r="BL143" s="388"/>
      <c r="BM143" s="388"/>
      <c r="BN143" s="388"/>
      <c r="BO143" s="350" t="s">
        <v>45</v>
      </c>
      <c r="BP143" s="351"/>
      <c r="BQ143" s="351"/>
      <c r="BR143" s="351"/>
      <c r="BS143" s="352"/>
      <c r="BT143" s="350" t="s">
        <v>45</v>
      </c>
      <c r="BU143" s="351"/>
      <c r="BV143" s="351"/>
      <c r="BW143" s="351"/>
      <c r="BX143" s="352"/>
      <c r="BY143" s="350" t="s">
        <v>45</v>
      </c>
      <c r="BZ143" s="351"/>
      <c r="CA143" s="351"/>
      <c r="CB143" s="351"/>
      <c r="CC143" s="352"/>
      <c r="CD143" s="201"/>
      <c r="CE143" s="202"/>
      <c r="CF143" s="350" t="s">
        <v>45</v>
      </c>
      <c r="CG143" s="351"/>
      <c r="CH143" s="351"/>
      <c r="CI143" s="351"/>
      <c r="CJ143" s="352"/>
      <c r="CK143" s="350" t="s">
        <v>45</v>
      </c>
      <c r="CL143" s="351"/>
      <c r="CM143" s="351"/>
      <c r="CN143" s="351"/>
      <c r="CO143" s="352"/>
      <c r="CP143" s="203"/>
      <c r="CQ143" s="202"/>
      <c r="CR143" s="350" t="s">
        <v>45</v>
      </c>
      <c r="CS143" s="351"/>
      <c r="CT143" s="351"/>
      <c r="CU143" s="351"/>
      <c r="CV143" s="352"/>
      <c r="CW143" s="215"/>
      <c r="CX143" s="216"/>
      <c r="CY143" s="570" t="s">
        <v>45</v>
      </c>
      <c r="CZ143" s="571"/>
      <c r="DA143" s="571"/>
      <c r="DB143" s="572"/>
      <c r="DC143" s="570" t="s">
        <v>46</v>
      </c>
      <c r="DD143" s="571"/>
      <c r="DE143" s="571"/>
      <c r="DF143" s="572"/>
      <c r="DG143" s="200"/>
      <c r="DH143" s="200"/>
      <c r="DI143" s="200"/>
      <c r="DJ143" s="200"/>
      <c r="DK143" s="200"/>
      <c r="DL143" s="200"/>
      <c r="DM143" s="200"/>
      <c r="DN143" s="204" t="s">
        <v>46</v>
      </c>
      <c r="DP143" s="38"/>
    </row>
    <row r="144" spans="1:121" s="37" customFormat="1" ht="74.25" customHeight="1" thickBot="1">
      <c r="A144" s="49"/>
      <c r="B144" s="205"/>
      <c r="C144" s="206"/>
      <c r="D144" s="206"/>
      <c r="E144" s="207"/>
      <c r="F144" s="206"/>
      <c r="G144" s="206"/>
      <c r="H144" s="206"/>
      <c r="I144" s="206"/>
      <c r="J144" s="206"/>
      <c r="K144" s="206"/>
      <c r="L144" s="206"/>
      <c r="M144" s="206"/>
      <c r="N144" s="344"/>
      <c r="O144" s="345"/>
      <c r="P144" s="345"/>
      <c r="Q144" s="345"/>
      <c r="R144" s="346"/>
      <c r="S144" s="344"/>
      <c r="T144" s="345"/>
      <c r="U144" s="345"/>
      <c r="V144" s="345"/>
      <c r="W144" s="346"/>
      <c r="X144" s="344"/>
      <c r="Y144" s="345"/>
      <c r="Z144" s="345"/>
      <c r="AA144" s="345"/>
      <c r="AB144" s="346"/>
      <c r="AC144" s="206"/>
      <c r="AD144" s="206"/>
      <c r="AE144" s="353"/>
      <c r="AF144" s="354"/>
      <c r="AG144" s="354"/>
      <c r="AH144" s="355"/>
      <c r="AI144" s="344"/>
      <c r="AJ144" s="345"/>
      <c r="AK144" s="345"/>
      <c r="AL144" s="345"/>
      <c r="AM144" s="346"/>
      <c r="AN144" s="344"/>
      <c r="AO144" s="345"/>
      <c r="AP144" s="345"/>
      <c r="AQ144" s="345"/>
      <c r="AR144" s="346"/>
      <c r="AS144" s="206"/>
      <c r="AT144" s="206"/>
      <c r="AU144" s="344"/>
      <c r="AV144" s="345"/>
      <c r="AW144" s="345"/>
      <c r="AX144" s="345"/>
      <c r="AY144" s="346"/>
      <c r="AZ144" s="353"/>
      <c r="BA144" s="354"/>
      <c r="BB144" s="354"/>
      <c r="BC144" s="355"/>
      <c r="BD144" s="206"/>
      <c r="BE144" s="206"/>
      <c r="BF144" s="344"/>
      <c r="BG144" s="345"/>
      <c r="BH144" s="345"/>
      <c r="BI144" s="345"/>
      <c r="BJ144" s="346"/>
      <c r="BK144" s="208"/>
      <c r="BL144" s="209"/>
      <c r="BM144" s="209"/>
      <c r="BN144" s="210"/>
      <c r="BO144" s="344"/>
      <c r="BP144" s="345"/>
      <c r="BQ144" s="345"/>
      <c r="BR144" s="345"/>
      <c r="BS144" s="346"/>
      <c r="BT144" s="344"/>
      <c r="BU144" s="345"/>
      <c r="BV144" s="345"/>
      <c r="BW144" s="345"/>
      <c r="BX144" s="346"/>
      <c r="BY144" s="344"/>
      <c r="BZ144" s="345"/>
      <c r="CA144" s="345"/>
      <c r="CB144" s="345"/>
      <c r="CC144" s="346"/>
      <c r="CD144" s="205"/>
      <c r="CE144" s="206"/>
      <c r="CF144" s="344"/>
      <c r="CG144" s="345"/>
      <c r="CH144" s="345"/>
      <c r="CI144" s="345"/>
      <c r="CJ144" s="346"/>
      <c r="CK144" s="344"/>
      <c r="CL144" s="345"/>
      <c r="CM144" s="345"/>
      <c r="CN144" s="345"/>
      <c r="CO144" s="346"/>
      <c r="CP144" s="206"/>
      <c r="CQ144" s="206"/>
      <c r="CR144" s="344"/>
      <c r="CS144" s="345"/>
      <c r="CT144" s="345"/>
      <c r="CU144" s="345"/>
      <c r="CV144" s="346"/>
      <c r="CW144" s="212"/>
      <c r="CX144" s="213"/>
      <c r="CY144" s="442"/>
      <c r="CZ144" s="443"/>
      <c r="DA144" s="443"/>
      <c r="DB144" s="444"/>
      <c r="DC144" s="212"/>
      <c r="DD144" s="213"/>
      <c r="DE144" s="213"/>
      <c r="DF144" s="214"/>
      <c r="DG144" s="206"/>
      <c r="DH144" s="206"/>
      <c r="DI144" s="206"/>
      <c r="DJ144" s="206"/>
      <c r="DK144" s="206"/>
      <c r="DL144" s="206"/>
      <c r="DM144" s="206"/>
      <c r="DN144" s="211"/>
      <c r="DP144" s="38"/>
    </row>
    <row r="145" spans="1:121" s="37" customFormat="1" ht="50.25" customHeight="1" thickBot="1">
      <c r="A145" s="49"/>
      <c r="B145" s="417" t="s">
        <v>109</v>
      </c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9"/>
      <c r="N145" s="422" t="s">
        <v>109</v>
      </c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3"/>
      <c r="AQ145" s="423"/>
      <c r="AR145" s="423"/>
      <c r="AS145" s="423"/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4"/>
      <c r="BO145" s="425" t="s">
        <v>109</v>
      </c>
      <c r="BP145" s="426"/>
      <c r="BQ145" s="426"/>
      <c r="BR145" s="426"/>
      <c r="BS145" s="426"/>
      <c r="BT145" s="426"/>
      <c r="BU145" s="426"/>
      <c r="BV145" s="426"/>
      <c r="BW145" s="426"/>
      <c r="BX145" s="426"/>
      <c r="BY145" s="426"/>
      <c r="BZ145" s="426"/>
      <c r="CA145" s="426"/>
      <c r="CB145" s="426"/>
      <c r="CC145" s="426"/>
      <c r="CD145" s="426"/>
      <c r="CE145" s="426"/>
      <c r="CF145" s="426"/>
      <c r="CG145" s="426"/>
      <c r="CH145" s="426"/>
      <c r="CI145" s="426"/>
      <c r="CJ145" s="426"/>
      <c r="CK145" s="426"/>
      <c r="CL145" s="426"/>
      <c r="CM145" s="426"/>
      <c r="CN145" s="426"/>
      <c r="CO145" s="426"/>
      <c r="CP145" s="426"/>
      <c r="CQ145" s="426"/>
      <c r="CR145" s="426"/>
      <c r="CS145" s="426"/>
      <c r="CT145" s="426"/>
      <c r="CU145" s="426"/>
      <c r="CV145" s="426"/>
      <c r="CW145" s="426"/>
      <c r="CX145" s="426"/>
      <c r="CY145" s="426"/>
      <c r="CZ145" s="426"/>
      <c r="DA145" s="426"/>
      <c r="DB145" s="426"/>
      <c r="DC145" s="426"/>
      <c r="DD145" s="426"/>
      <c r="DE145" s="426"/>
      <c r="DF145" s="427"/>
      <c r="DG145" s="428" t="s">
        <v>109</v>
      </c>
      <c r="DH145" s="429"/>
      <c r="DI145" s="429"/>
      <c r="DJ145" s="429"/>
      <c r="DK145" s="429"/>
      <c r="DL145" s="429"/>
      <c r="DM145" s="429"/>
      <c r="DN145" s="430"/>
      <c r="DP145" s="38"/>
    </row>
    <row r="146" spans="1:121" s="37" customFormat="1" ht="36" customHeight="1" thickBot="1">
      <c r="A146" s="49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415" t="s">
        <v>510</v>
      </c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5"/>
      <c r="AJ146" s="415"/>
      <c r="AK146" s="415"/>
      <c r="AL146" s="415"/>
      <c r="AM146" s="415"/>
      <c r="AN146" s="415"/>
      <c r="AO146" s="415"/>
      <c r="AP146" s="415"/>
      <c r="AQ146" s="415"/>
      <c r="AR146" s="415"/>
      <c r="AS146" s="415"/>
      <c r="AT146" s="415"/>
      <c r="AU146" s="415"/>
      <c r="AV146" s="415"/>
      <c r="AW146" s="415"/>
      <c r="AX146" s="415"/>
      <c r="AY146" s="415"/>
      <c r="AZ146" s="415"/>
      <c r="BA146" s="415"/>
      <c r="BB146" s="415"/>
      <c r="BC146" s="415"/>
      <c r="BD146" s="415"/>
      <c r="BE146" s="415"/>
      <c r="BF146" s="415"/>
      <c r="BG146" s="415"/>
      <c r="BH146" s="415"/>
      <c r="BI146" s="415"/>
      <c r="BJ146" s="415"/>
      <c r="BK146" s="415"/>
      <c r="BL146" s="415"/>
      <c r="BM146" s="415"/>
      <c r="BN146" s="416"/>
      <c r="BO146" s="408" t="s">
        <v>97</v>
      </c>
      <c r="BP146" s="409"/>
      <c r="BQ146" s="409"/>
      <c r="BR146" s="409"/>
      <c r="BS146" s="409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409"/>
      <c r="CE146" s="409"/>
      <c r="CF146" s="409"/>
      <c r="CG146" s="409"/>
      <c r="CH146" s="409"/>
      <c r="CI146" s="409"/>
      <c r="CJ146" s="409"/>
      <c r="CK146" s="409"/>
      <c r="CL146" s="409"/>
      <c r="CM146" s="409"/>
      <c r="CN146" s="409"/>
      <c r="CO146" s="409"/>
      <c r="CP146" s="409"/>
      <c r="CQ146" s="409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  <c r="DB146" s="409"/>
      <c r="DC146" s="409"/>
      <c r="DD146" s="409"/>
      <c r="DE146" s="409"/>
      <c r="DF146" s="410"/>
      <c r="DG146" s="412" t="s">
        <v>98</v>
      </c>
      <c r="DH146" s="413"/>
      <c r="DI146" s="413"/>
      <c r="DJ146" s="413"/>
      <c r="DK146" s="413"/>
      <c r="DL146" s="413"/>
      <c r="DM146" s="413"/>
      <c r="DN146" s="414"/>
      <c r="DP146" s="38"/>
      <c r="DQ146" s="46"/>
    </row>
    <row r="147" spans="1:121" s="37" customFormat="1" ht="28.5" customHeight="1" thickBot="1">
      <c r="A147" s="49"/>
      <c r="B147" s="142"/>
      <c r="C147" s="143"/>
      <c r="D147" s="143"/>
      <c r="E147" s="143"/>
      <c r="F147" s="143"/>
      <c r="G147" s="143"/>
      <c r="H147" s="356" t="s">
        <v>59</v>
      </c>
      <c r="I147" s="357"/>
      <c r="J147" s="357"/>
      <c r="K147" s="357"/>
      <c r="L147" s="357"/>
      <c r="M147" s="358"/>
      <c r="N147" s="367" t="s">
        <v>53</v>
      </c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9"/>
      <c r="AE147" s="144"/>
      <c r="AF147" s="144"/>
      <c r="AG147" s="365" t="s">
        <v>52</v>
      </c>
      <c r="AH147" s="365"/>
      <c r="AI147" s="365"/>
      <c r="AJ147" s="365"/>
      <c r="AK147" s="365"/>
      <c r="AL147" s="365"/>
      <c r="AM147" s="365"/>
      <c r="AN147" s="365"/>
      <c r="AO147" s="365"/>
      <c r="AP147" s="365"/>
      <c r="AQ147" s="365"/>
      <c r="AR147" s="365"/>
      <c r="AS147" s="365"/>
      <c r="AT147" s="366"/>
      <c r="AU147" s="367" t="s">
        <v>50</v>
      </c>
      <c r="AV147" s="368"/>
      <c r="AW147" s="368"/>
      <c r="AX147" s="368"/>
      <c r="AY147" s="368"/>
      <c r="AZ147" s="368"/>
      <c r="BA147" s="368"/>
      <c r="BB147" s="368"/>
      <c r="BC147" s="368"/>
      <c r="BD147" s="368"/>
      <c r="BE147" s="369"/>
      <c r="BF147" s="365" t="s">
        <v>51</v>
      </c>
      <c r="BG147" s="365"/>
      <c r="BH147" s="365"/>
      <c r="BI147" s="365"/>
      <c r="BJ147" s="365"/>
      <c r="BK147" s="365"/>
      <c r="BL147" s="366"/>
      <c r="BM147" s="383" t="s">
        <v>65</v>
      </c>
      <c r="BN147" s="384"/>
      <c r="BO147" s="389" t="s">
        <v>66</v>
      </c>
      <c r="BP147" s="390"/>
      <c r="BQ147" s="390"/>
      <c r="BR147" s="390"/>
      <c r="BS147" s="390"/>
      <c r="BT147" s="390"/>
      <c r="BU147" s="390"/>
      <c r="BV147" s="390"/>
      <c r="BW147" s="390"/>
      <c r="BX147" s="390"/>
      <c r="BY147" s="390"/>
      <c r="BZ147" s="390"/>
      <c r="CA147" s="390"/>
      <c r="CB147" s="390"/>
      <c r="CC147" s="390"/>
      <c r="CD147" s="390"/>
      <c r="CE147" s="391"/>
      <c r="CF147" s="439" t="s">
        <v>70</v>
      </c>
      <c r="CG147" s="440"/>
      <c r="CH147" s="440"/>
      <c r="CI147" s="440"/>
      <c r="CJ147" s="440"/>
      <c r="CK147" s="440"/>
      <c r="CL147" s="440"/>
      <c r="CM147" s="440"/>
      <c r="CN147" s="440"/>
      <c r="CO147" s="440"/>
      <c r="CP147" s="440"/>
      <c r="CQ147" s="441"/>
      <c r="CR147" s="411" t="s">
        <v>71</v>
      </c>
      <c r="CS147" s="365"/>
      <c r="CT147" s="365"/>
      <c r="CU147" s="365"/>
      <c r="CV147" s="365"/>
      <c r="CW147" s="365"/>
      <c r="CX147" s="366"/>
      <c r="CY147" s="389" t="s">
        <v>72</v>
      </c>
      <c r="CZ147" s="390"/>
      <c r="DA147" s="390"/>
      <c r="DB147" s="390"/>
      <c r="DC147" s="390"/>
      <c r="DD147" s="391"/>
      <c r="DE147" s="398" t="s">
        <v>75</v>
      </c>
      <c r="DF147" s="399"/>
      <c r="DG147" s="566" t="s">
        <v>76</v>
      </c>
      <c r="DH147" s="567"/>
      <c r="DI147" s="566" t="s">
        <v>77</v>
      </c>
      <c r="DJ147" s="567"/>
      <c r="DK147" s="563" t="s">
        <v>6</v>
      </c>
      <c r="DL147" s="563" t="s">
        <v>7</v>
      </c>
      <c r="DM147" s="560" t="s">
        <v>78</v>
      </c>
      <c r="DN147" s="198"/>
      <c r="DP147" s="38"/>
      <c r="DQ147" s="46"/>
    </row>
    <row r="148" spans="1:121" s="37" customFormat="1" ht="59.25" customHeight="1" thickBot="1">
      <c r="A148" s="49"/>
      <c r="B148" s="151"/>
      <c r="C148" s="152"/>
      <c r="D148" s="152"/>
      <c r="E148" s="152"/>
      <c r="F148" s="152"/>
      <c r="G148" s="153"/>
      <c r="H148" s="370" t="s">
        <v>4</v>
      </c>
      <c r="I148" s="371"/>
      <c r="J148" s="370" t="s">
        <v>5</v>
      </c>
      <c r="K148" s="371"/>
      <c r="L148" s="154" t="s">
        <v>79</v>
      </c>
      <c r="M148" s="155" t="s">
        <v>80</v>
      </c>
      <c r="N148" s="359" t="s">
        <v>54</v>
      </c>
      <c r="O148" s="360"/>
      <c r="P148" s="360"/>
      <c r="Q148" s="360"/>
      <c r="R148" s="361"/>
      <c r="S148" s="362" t="s">
        <v>55</v>
      </c>
      <c r="T148" s="363"/>
      <c r="U148" s="363"/>
      <c r="V148" s="363"/>
      <c r="W148" s="364"/>
      <c r="X148" s="359" t="s">
        <v>56</v>
      </c>
      <c r="Y148" s="360"/>
      <c r="Z148" s="360"/>
      <c r="AA148" s="360"/>
      <c r="AB148" s="361"/>
      <c r="AC148" s="377" t="s">
        <v>9</v>
      </c>
      <c r="AD148" s="378"/>
      <c r="AE148" s="362" t="s">
        <v>60</v>
      </c>
      <c r="AF148" s="363"/>
      <c r="AG148" s="363"/>
      <c r="AH148" s="364"/>
      <c r="AI148" s="359" t="s">
        <v>99</v>
      </c>
      <c r="AJ148" s="360"/>
      <c r="AK148" s="360"/>
      <c r="AL148" s="360"/>
      <c r="AM148" s="361"/>
      <c r="AN148" s="362" t="s">
        <v>61</v>
      </c>
      <c r="AO148" s="363"/>
      <c r="AP148" s="363"/>
      <c r="AQ148" s="363"/>
      <c r="AR148" s="364"/>
      <c r="AS148" s="377" t="s">
        <v>9</v>
      </c>
      <c r="AT148" s="378"/>
      <c r="AU148" s="362" t="s">
        <v>63</v>
      </c>
      <c r="AV148" s="363"/>
      <c r="AW148" s="363"/>
      <c r="AX148" s="363"/>
      <c r="AY148" s="364"/>
      <c r="AZ148" s="359" t="s">
        <v>62</v>
      </c>
      <c r="BA148" s="360"/>
      <c r="BB148" s="360"/>
      <c r="BC148" s="361"/>
      <c r="BD148" s="372" t="s">
        <v>9</v>
      </c>
      <c r="BE148" s="373"/>
      <c r="BF148" s="359" t="s">
        <v>64</v>
      </c>
      <c r="BG148" s="360"/>
      <c r="BH148" s="360"/>
      <c r="BI148" s="360"/>
      <c r="BJ148" s="361"/>
      <c r="BK148" s="379" t="s">
        <v>9</v>
      </c>
      <c r="BL148" s="380"/>
      <c r="BM148" s="385"/>
      <c r="BN148" s="386"/>
      <c r="BO148" s="392" t="s">
        <v>67</v>
      </c>
      <c r="BP148" s="393"/>
      <c r="BQ148" s="393"/>
      <c r="BR148" s="393"/>
      <c r="BS148" s="393"/>
      <c r="BT148" s="382" t="s">
        <v>68</v>
      </c>
      <c r="BU148" s="382"/>
      <c r="BV148" s="382"/>
      <c r="BW148" s="382"/>
      <c r="BX148" s="382"/>
      <c r="BY148" s="393" t="s">
        <v>103</v>
      </c>
      <c r="BZ148" s="393"/>
      <c r="CA148" s="393"/>
      <c r="CB148" s="393"/>
      <c r="CC148" s="393"/>
      <c r="CD148" s="381" t="s">
        <v>9</v>
      </c>
      <c r="CE148" s="382"/>
      <c r="CF148" s="393" t="s">
        <v>104</v>
      </c>
      <c r="CG148" s="393"/>
      <c r="CH148" s="393"/>
      <c r="CI148" s="393"/>
      <c r="CJ148" s="393"/>
      <c r="CK148" s="359" t="s">
        <v>69</v>
      </c>
      <c r="CL148" s="360"/>
      <c r="CM148" s="360"/>
      <c r="CN148" s="360"/>
      <c r="CO148" s="361"/>
      <c r="CP148" s="402" t="s">
        <v>9</v>
      </c>
      <c r="CQ148" s="403"/>
      <c r="CR148" s="362" t="s">
        <v>74</v>
      </c>
      <c r="CS148" s="363"/>
      <c r="CT148" s="363"/>
      <c r="CU148" s="363"/>
      <c r="CV148" s="363"/>
      <c r="CW148" s="396" t="s">
        <v>9</v>
      </c>
      <c r="CX148" s="397"/>
      <c r="CY148" s="359" t="s">
        <v>73</v>
      </c>
      <c r="CZ148" s="360"/>
      <c r="DA148" s="360"/>
      <c r="DB148" s="361"/>
      <c r="DC148" s="396" t="s">
        <v>9</v>
      </c>
      <c r="DD148" s="397"/>
      <c r="DE148" s="400"/>
      <c r="DF148" s="401"/>
      <c r="DG148" s="568"/>
      <c r="DH148" s="569"/>
      <c r="DI148" s="568"/>
      <c r="DJ148" s="569"/>
      <c r="DK148" s="564"/>
      <c r="DL148" s="564"/>
      <c r="DM148" s="561"/>
      <c r="DN148" s="156"/>
      <c r="DP148" s="38"/>
      <c r="DQ148" s="46"/>
    </row>
    <row r="149" spans="1:121" s="37" customFormat="1" ht="40.5" customHeight="1" thickTop="1" thickBot="1">
      <c r="A149" s="49"/>
      <c r="B149" s="157" t="s">
        <v>0</v>
      </c>
      <c r="C149" s="158" t="s">
        <v>81</v>
      </c>
      <c r="D149" s="158" t="s">
        <v>82</v>
      </c>
      <c r="E149" s="159" t="s">
        <v>1</v>
      </c>
      <c r="F149" s="160" t="s">
        <v>2</v>
      </c>
      <c r="G149" s="161" t="s">
        <v>3</v>
      </c>
      <c r="H149" s="162" t="s">
        <v>10</v>
      </c>
      <c r="I149" s="163" t="s">
        <v>11</v>
      </c>
      <c r="J149" s="164" t="s">
        <v>10</v>
      </c>
      <c r="K149" s="163" t="s">
        <v>11</v>
      </c>
      <c r="L149" s="165" t="s">
        <v>49</v>
      </c>
      <c r="M149" s="166" t="s">
        <v>49</v>
      </c>
      <c r="N149" s="167" t="s">
        <v>57</v>
      </c>
      <c r="O149" s="168" t="s">
        <v>58</v>
      </c>
      <c r="P149" s="199" t="s">
        <v>105</v>
      </c>
      <c r="Q149" s="168" t="s">
        <v>10</v>
      </c>
      <c r="R149" s="169" t="s">
        <v>11</v>
      </c>
      <c r="S149" s="167" t="s">
        <v>57</v>
      </c>
      <c r="T149" s="168" t="s">
        <v>58</v>
      </c>
      <c r="U149" s="199" t="s">
        <v>105</v>
      </c>
      <c r="V149" s="168" t="s">
        <v>10</v>
      </c>
      <c r="W149" s="169" t="s">
        <v>11</v>
      </c>
      <c r="X149" s="167" t="s">
        <v>57</v>
      </c>
      <c r="Y149" s="168" t="s">
        <v>58</v>
      </c>
      <c r="Z149" s="199" t="s">
        <v>105</v>
      </c>
      <c r="AA149" s="168" t="s">
        <v>10</v>
      </c>
      <c r="AB149" s="169" t="s">
        <v>11</v>
      </c>
      <c r="AC149" s="170" t="s">
        <v>10</v>
      </c>
      <c r="AD149" s="171" t="s">
        <v>11</v>
      </c>
      <c r="AE149" s="168" t="s">
        <v>58</v>
      </c>
      <c r="AF149" s="199" t="s">
        <v>105</v>
      </c>
      <c r="AG149" s="172" t="s">
        <v>10</v>
      </c>
      <c r="AH149" s="169" t="s">
        <v>11</v>
      </c>
      <c r="AI149" s="167" t="s">
        <v>57</v>
      </c>
      <c r="AJ149" s="168" t="s">
        <v>58</v>
      </c>
      <c r="AK149" s="199" t="s">
        <v>105</v>
      </c>
      <c r="AL149" s="173" t="s">
        <v>10</v>
      </c>
      <c r="AM149" s="174" t="s">
        <v>11</v>
      </c>
      <c r="AN149" s="167" t="s">
        <v>57</v>
      </c>
      <c r="AO149" s="168" t="s">
        <v>58</v>
      </c>
      <c r="AP149" s="199" t="s">
        <v>105</v>
      </c>
      <c r="AQ149" s="175" t="s">
        <v>10</v>
      </c>
      <c r="AR149" s="176" t="s">
        <v>11</v>
      </c>
      <c r="AS149" s="177" t="s">
        <v>10</v>
      </c>
      <c r="AT149" s="178" t="s">
        <v>11</v>
      </c>
      <c r="AU149" s="167" t="s">
        <v>57</v>
      </c>
      <c r="AV149" s="168" t="s">
        <v>58</v>
      </c>
      <c r="AW149" s="199" t="s">
        <v>105</v>
      </c>
      <c r="AX149" s="179" t="s">
        <v>10</v>
      </c>
      <c r="AY149" s="174" t="s">
        <v>11</v>
      </c>
      <c r="AZ149" s="172" t="s">
        <v>58</v>
      </c>
      <c r="BA149" s="199" t="s">
        <v>105</v>
      </c>
      <c r="BB149" s="175" t="s">
        <v>10</v>
      </c>
      <c r="BC149" s="176" t="s">
        <v>11</v>
      </c>
      <c r="BD149" s="180" t="s">
        <v>10</v>
      </c>
      <c r="BE149" s="181" t="s">
        <v>11</v>
      </c>
      <c r="BF149" s="167" t="s">
        <v>57</v>
      </c>
      <c r="BG149" s="168" t="s">
        <v>58</v>
      </c>
      <c r="BH149" s="199" t="s">
        <v>105</v>
      </c>
      <c r="BI149" s="175" t="s">
        <v>10</v>
      </c>
      <c r="BJ149" s="176" t="s">
        <v>11</v>
      </c>
      <c r="BK149" s="180" t="s">
        <v>10</v>
      </c>
      <c r="BL149" s="182" t="s">
        <v>11</v>
      </c>
      <c r="BM149" s="183" t="s">
        <v>10</v>
      </c>
      <c r="BN149" s="184" t="s">
        <v>11</v>
      </c>
      <c r="BO149" s="185" t="s">
        <v>57</v>
      </c>
      <c r="BP149" s="168" t="s">
        <v>58</v>
      </c>
      <c r="BQ149" s="199" t="s">
        <v>105</v>
      </c>
      <c r="BR149" s="168" t="s">
        <v>10</v>
      </c>
      <c r="BS149" s="169" t="s">
        <v>11</v>
      </c>
      <c r="BT149" s="167" t="s">
        <v>57</v>
      </c>
      <c r="BU149" s="168" t="s">
        <v>58</v>
      </c>
      <c r="BV149" s="199" t="s">
        <v>105</v>
      </c>
      <c r="BW149" s="168" t="s">
        <v>10</v>
      </c>
      <c r="BX149" s="169" t="s">
        <v>11</v>
      </c>
      <c r="BY149" s="167" t="s">
        <v>57</v>
      </c>
      <c r="BZ149" s="168" t="s">
        <v>58</v>
      </c>
      <c r="CA149" s="199" t="s">
        <v>105</v>
      </c>
      <c r="CB149" s="168" t="s">
        <v>10</v>
      </c>
      <c r="CC149" s="169" t="s">
        <v>11</v>
      </c>
      <c r="CD149" s="186" t="s">
        <v>10</v>
      </c>
      <c r="CE149" s="171" t="s">
        <v>11</v>
      </c>
      <c r="CF149" s="167" t="s">
        <v>57</v>
      </c>
      <c r="CG149" s="168" t="s">
        <v>58</v>
      </c>
      <c r="CH149" s="199" t="s">
        <v>105</v>
      </c>
      <c r="CI149" s="168" t="s">
        <v>10</v>
      </c>
      <c r="CJ149" s="169" t="s">
        <v>11</v>
      </c>
      <c r="CK149" s="167" t="s">
        <v>57</v>
      </c>
      <c r="CL149" s="168" t="s">
        <v>58</v>
      </c>
      <c r="CM149" s="199" t="s">
        <v>105</v>
      </c>
      <c r="CN149" s="173" t="s">
        <v>10</v>
      </c>
      <c r="CO149" s="176" t="s">
        <v>11</v>
      </c>
      <c r="CP149" s="187" t="s">
        <v>10</v>
      </c>
      <c r="CQ149" s="188" t="s">
        <v>11</v>
      </c>
      <c r="CR149" s="167" t="s">
        <v>57</v>
      </c>
      <c r="CS149" s="168" t="s">
        <v>58</v>
      </c>
      <c r="CT149" s="199" t="s">
        <v>105</v>
      </c>
      <c r="CU149" s="179" t="s">
        <v>10</v>
      </c>
      <c r="CV149" s="176" t="s">
        <v>11</v>
      </c>
      <c r="CW149" s="189" t="s">
        <v>10</v>
      </c>
      <c r="CX149" s="190" t="s">
        <v>11</v>
      </c>
      <c r="CY149" s="191" t="s">
        <v>58</v>
      </c>
      <c r="CZ149" s="199" t="s">
        <v>105</v>
      </c>
      <c r="DA149" s="179" t="s">
        <v>10</v>
      </c>
      <c r="DB149" s="176" t="s">
        <v>11</v>
      </c>
      <c r="DC149" s="177" t="s">
        <v>10</v>
      </c>
      <c r="DD149" s="178" t="s">
        <v>11</v>
      </c>
      <c r="DE149" s="192" t="s">
        <v>10</v>
      </c>
      <c r="DF149" s="193" t="s">
        <v>11</v>
      </c>
      <c r="DG149" s="194" t="s">
        <v>10</v>
      </c>
      <c r="DH149" s="195" t="s">
        <v>11</v>
      </c>
      <c r="DI149" s="196" t="s">
        <v>10</v>
      </c>
      <c r="DJ149" s="194" t="s">
        <v>11</v>
      </c>
      <c r="DK149" s="565"/>
      <c r="DL149" s="565"/>
      <c r="DM149" s="562"/>
      <c r="DN149" s="197" t="s">
        <v>8</v>
      </c>
      <c r="DP149" s="38"/>
      <c r="DQ149" s="46"/>
    </row>
    <row r="150" spans="1:121" s="37" customFormat="1" ht="32.25" customHeight="1" thickBot="1">
      <c r="A150" s="49"/>
      <c r="B150" s="1">
        <v>1</v>
      </c>
      <c r="C150" s="249" t="s">
        <v>291</v>
      </c>
      <c r="D150" s="249" t="s">
        <v>292</v>
      </c>
      <c r="E150" s="48" t="s">
        <v>462</v>
      </c>
      <c r="F150" s="130">
        <v>35731</v>
      </c>
      <c r="G150" s="52" t="s">
        <v>411</v>
      </c>
      <c r="H150" s="131">
        <v>8.1300000000000008</v>
      </c>
      <c r="I150" s="132">
        <v>21</v>
      </c>
      <c r="J150" s="133">
        <v>7.48</v>
      </c>
      <c r="K150" s="134">
        <v>16</v>
      </c>
      <c r="L150" s="53">
        <f>(H150+J150)/2</f>
        <v>7.8050000000000006</v>
      </c>
      <c r="M150" s="58">
        <f>IF(L150&gt;=10,60,I150+K150)</f>
        <v>37</v>
      </c>
      <c r="N150" s="138">
        <v>13</v>
      </c>
      <c r="O150" s="139">
        <v>9</v>
      </c>
      <c r="P150" s="140"/>
      <c r="Q150" s="228">
        <f>IF(O150&gt;P150,(N150+O150)/2,(P150+N150)/2)</f>
        <v>11</v>
      </c>
      <c r="R150" s="229">
        <f>IF(Q150&gt;=10,5,0)</f>
        <v>5</v>
      </c>
      <c r="S150" s="230">
        <v>14</v>
      </c>
      <c r="T150" s="231">
        <v>8</v>
      </c>
      <c r="U150" s="285"/>
      <c r="V150" s="228">
        <f>IF(T150&gt;U150,(S150+T150)/2,(U150+S150)/2)</f>
        <v>11</v>
      </c>
      <c r="W150" s="229">
        <f>IF(V150&gt;=10,6,0)</f>
        <v>6</v>
      </c>
      <c r="X150" s="230">
        <v>14.5</v>
      </c>
      <c r="Y150" s="231">
        <v>7.25</v>
      </c>
      <c r="Z150" s="285"/>
      <c r="AA150" s="228">
        <f>IF(Y150&gt;Z150,(X150+Y150)/2,(Z150+X150)/2)</f>
        <v>10.875</v>
      </c>
      <c r="AB150" s="229">
        <f>IF(AA150&gt;=10,6,0)</f>
        <v>6</v>
      </c>
      <c r="AC150" s="232">
        <f>((Q150*2)+(V150*2)+(AA150*2))/6</f>
        <v>10.958333333333334</v>
      </c>
      <c r="AD150" s="233">
        <f>IF(AC150&gt;=10,17,R150+W150+AB150)</f>
        <v>17</v>
      </c>
      <c r="AE150" s="231">
        <v>11.5</v>
      </c>
      <c r="AF150" s="285"/>
      <c r="AG150" s="234">
        <f>IF(AE150&gt;AF150,AE150,AF150)</f>
        <v>11.5</v>
      </c>
      <c r="AH150" s="235">
        <f>IF(AG150&gt;=10,1,0)</f>
        <v>1</v>
      </c>
      <c r="AI150" s="230">
        <v>10.5</v>
      </c>
      <c r="AJ150" s="231">
        <v>7.75</v>
      </c>
      <c r="AK150" s="285">
        <v>9.75</v>
      </c>
      <c r="AL150" s="228">
        <f>IF(AJ150&gt;AK150,(AI150+AJ150)/2,(AK150+AI150)/2)</f>
        <v>10.125</v>
      </c>
      <c r="AM150" s="229">
        <f>IF(AL150&gt;=10,3,0)</f>
        <v>3</v>
      </c>
      <c r="AN150" s="230">
        <v>11</v>
      </c>
      <c r="AO150" s="231">
        <v>0</v>
      </c>
      <c r="AP150" s="285"/>
      <c r="AQ150" s="228">
        <f>IF(AO150&gt;AP150,(AN150+AO150)/2,(AP150+AN150)/2)</f>
        <v>5.5</v>
      </c>
      <c r="AR150" s="229">
        <f>IF(AQ150&gt;=10,3,0)</f>
        <v>0</v>
      </c>
      <c r="AS150" s="236">
        <f>(AG150+(AL150*2)+(AQ150*2))/5</f>
        <v>8.5500000000000007</v>
      </c>
      <c r="AT150" s="237">
        <f>IF(AS150&gt;=10,7,AR150+AM150+AH150)</f>
        <v>4</v>
      </c>
      <c r="AU150" s="230">
        <v>10</v>
      </c>
      <c r="AV150" s="231">
        <v>8</v>
      </c>
      <c r="AW150" s="285">
        <v>15</v>
      </c>
      <c r="AX150" s="228">
        <f>IF(AV150&gt;AW150,(AU150+AV150)/2,(AW150+AU150)/2)</f>
        <v>12.5</v>
      </c>
      <c r="AY150" s="229">
        <f>IF(AX150&gt;=10,4,0)</f>
        <v>4</v>
      </c>
      <c r="AZ150" s="231">
        <v>8.5</v>
      </c>
      <c r="BA150" s="285"/>
      <c r="BB150" s="234">
        <f>IF(AZ150&gt;BA150,AZ150,BA150)</f>
        <v>8.5</v>
      </c>
      <c r="BC150" s="235">
        <f>IF(BB150&gt;=10,1,0)</f>
        <v>0</v>
      </c>
      <c r="BD150" s="236">
        <f>(BB150+AX150)/2</f>
        <v>10.5</v>
      </c>
      <c r="BE150" s="237">
        <f>IF(BD150&gt;=10,5,BC150+AY150)</f>
        <v>5</v>
      </c>
      <c r="BF150" s="230">
        <v>11.5</v>
      </c>
      <c r="BG150" s="231">
        <v>10</v>
      </c>
      <c r="BH150" s="285"/>
      <c r="BI150" s="228">
        <f>IF(BG150&gt;BH150,(BF150+BG150)/2,(BH150+BF150)/2)</f>
        <v>10.75</v>
      </c>
      <c r="BJ150" s="229">
        <f>IF(BI150&gt;=10,1,0)</f>
        <v>1</v>
      </c>
      <c r="BK150" s="236">
        <f>BI150</f>
        <v>10.75</v>
      </c>
      <c r="BL150" s="237">
        <f>BJ150</f>
        <v>1</v>
      </c>
      <c r="BM150" s="239">
        <f>((Q150*2)+(V150*2)+(AA150*2)+AG150+(AL150*2)+(AQ150*2)+AX150+BB150+BI150)/14</f>
        <v>10.017857142857142</v>
      </c>
      <c r="BN150" s="240">
        <f>IF(BM150&gt;=10,30,BL150+BE150+AT150+AD150)</f>
        <v>30</v>
      </c>
      <c r="BO150" s="262">
        <v>14.75</v>
      </c>
      <c r="BP150" s="263">
        <v>5.75</v>
      </c>
      <c r="BQ150" s="140"/>
      <c r="BR150" s="228">
        <f>IF(BP150&gt;BQ150,(BO150+BP150)/2,(BQ150+BO150)/2)</f>
        <v>10.25</v>
      </c>
      <c r="BS150" s="229">
        <f>IF(BR150&gt;=10,6,0)</f>
        <v>6</v>
      </c>
      <c r="BT150" s="230">
        <v>17</v>
      </c>
      <c r="BU150" s="231">
        <v>12.25</v>
      </c>
      <c r="BV150" s="285"/>
      <c r="BW150" s="228">
        <f>IF(BU150&gt;BV150,(BT150+BU150)/2,(BV150+BT150)/2)</f>
        <v>14.625</v>
      </c>
      <c r="BX150" s="229">
        <f>IF(BW150&gt;=10,6,0)</f>
        <v>6</v>
      </c>
      <c r="BY150" s="230">
        <v>7.5</v>
      </c>
      <c r="BZ150" s="231">
        <v>0</v>
      </c>
      <c r="CA150" s="285"/>
      <c r="CB150" s="228">
        <f>IF(BZ150&gt;CA150,(BY150+BZ150)/2,(CA150+BY150)/2)</f>
        <v>3.75</v>
      </c>
      <c r="CC150" s="229">
        <f>IF(CB150&gt;=10,4,0)</f>
        <v>0</v>
      </c>
      <c r="CD150" s="297">
        <f>(CB150+(BW150*2)+(BR150*2))/5</f>
        <v>10.7</v>
      </c>
      <c r="CE150" s="233">
        <f>IF(CD150&gt;=10,16,CC150+BX150+BS150)</f>
        <v>16</v>
      </c>
      <c r="CF150" s="230">
        <v>7</v>
      </c>
      <c r="CG150" s="231">
        <v>7.75</v>
      </c>
      <c r="CH150" s="285"/>
      <c r="CI150" s="228">
        <f>IF(CG150&gt;CH150,(CF150+CG150)/2,(CH150+CF150)/2)</f>
        <v>7.375</v>
      </c>
      <c r="CJ150" s="229">
        <f>IF(CI150&gt;=10,5,0)</f>
        <v>0</v>
      </c>
      <c r="CK150" s="230">
        <v>14.5</v>
      </c>
      <c r="CL150" s="231">
        <v>10</v>
      </c>
      <c r="CM150" s="285"/>
      <c r="CN150" s="228">
        <f>IF(CL150&gt;CM150,(CK150+CL150)/2,(CM150+CK150)/2)</f>
        <v>12.25</v>
      </c>
      <c r="CO150" s="229">
        <f>IF(CN150&gt;=10,5,0)</f>
        <v>5</v>
      </c>
      <c r="CP150" s="232">
        <f>((CN150*2)+(CI150*2))/4</f>
        <v>9.8125</v>
      </c>
      <c r="CQ150" s="233">
        <f>IF(CP150&gt;=10,10,CO150+CJ150)</f>
        <v>5</v>
      </c>
      <c r="CR150" s="230">
        <v>15.5</v>
      </c>
      <c r="CS150" s="231">
        <v>4.25</v>
      </c>
      <c r="CT150" s="285">
        <v>8</v>
      </c>
      <c r="CU150" s="228">
        <f>IF(CS150&gt;CT150,(CR150+CS150)/2,(CT150+CR150)/2)</f>
        <v>11.75</v>
      </c>
      <c r="CV150" s="229">
        <f>IF(CU150&gt;=10,3,0)</f>
        <v>3</v>
      </c>
      <c r="CW150" s="232">
        <f>CU150</f>
        <v>11.75</v>
      </c>
      <c r="CX150" s="233">
        <f>CV150</f>
        <v>3</v>
      </c>
      <c r="CY150" s="231">
        <v>7</v>
      </c>
      <c r="CZ150" s="285"/>
      <c r="DA150" s="234">
        <f>IF(CY150&gt;CZ150,CY150,CZ150)</f>
        <v>7</v>
      </c>
      <c r="DB150" s="235">
        <f>IF(DA150&gt;=10,1,0)</f>
        <v>0</v>
      </c>
      <c r="DC150" s="232">
        <f>DA150</f>
        <v>7</v>
      </c>
      <c r="DD150" s="233">
        <f>DB150</f>
        <v>0</v>
      </c>
      <c r="DE150" s="65">
        <f>((CU150*2)+(CI150*2)+(CN150*2)+DA150+CB150+(BW150*2)+(BR150*2))/12</f>
        <v>10.270833333333334</v>
      </c>
      <c r="DF150" s="66">
        <f>IF(DE150&gt;=10,30,CX150+DD150+CQ150+CE150)</f>
        <v>30</v>
      </c>
      <c r="DG150" s="31">
        <f t="shared" ref="DG150:DG190" si="186">BM150</f>
        <v>10.017857142857142</v>
      </c>
      <c r="DH150" s="32">
        <f t="shared" ref="DH150:DH190" si="187">IF(DK150&gt;=10,30,BN150)</f>
        <v>30</v>
      </c>
      <c r="DI150" s="33">
        <f t="shared" ref="DI150:DI190" si="188">DE150</f>
        <v>10.270833333333334</v>
      </c>
      <c r="DJ150" s="34">
        <f t="shared" ref="DJ150:DJ190" si="189">IF(DK150&gt;=10,30,DF150)</f>
        <v>30</v>
      </c>
      <c r="DK150" s="67">
        <f t="shared" ref="DK150:DK190" si="190">(DI150+DG150)/2</f>
        <v>10.144345238095237</v>
      </c>
      <c r="DL150" s="35">
        <f t="shared" ref="DL150:DL190" si="191">IF(DK150&gt;=10,60,DJ150+DH150)</f>
        <v>60</v>
      </c>
      <c r="DM150" s="59">
        <f t="shared" ref="DM150:DM190" si="192">(M150+DL150)</f>
        <v>97</v>
      </c>
      <c r="DN150" s="43" t="str">
        <f>IF(DM150=120,"ناجح(ة) دورة2",IF(DM150&gt;=90,"ناجح(ة)بتأخير","راسب(ة)"))</f>
        <v>ناجح(ة)بتأخير</v>
      </c>
      <c r="DO150" s="44"/>
      <c r="DP150" s="50"/>
      <c r="DQ150" s="46"/>
    </row>
    <row r="151" spans="1:121" s="37" customFormat="1" ht="32.25" customHeight="1" thickBot="1">
      <c r="A151" s="49"/>
      <c r="B151" s="1">
        <f>B150+1</f>
        <v>2</v>
      </c>
      <c r="C151" s="249" t="s">
        <v>293</v>
      </c>
      <c r="D151" s="249" t="s">
        <v>294</v>
      </c>
      <c r="E151" s="47" t="s">
        <v>463</v>
      </c>
      <c r="F151" s="135">
        <v>34578</v>
      </c>
      <c r="G151" s="136" t="s">
        <v>110</v>
      </c>
      <c r="H151" s="131">
        <v>7.41</v>
      </c>
      <c r="I151" s="132">
        <v>23</v>
      </c>
      <c r="J151" s="133">
        <v>4.42</v>
      </c>
      <c r="K151" s="134">
        <v>13</v>
      </c>
      <c r="L151" s="53">
        <f t="shared" ref="L151:L190" si="193">(H151+J151)/2</f>
        <v>5.915</v>
      </c>
      <c r="M151" s="58">
        <f t="shared" ref="M151:M190" si="194">IF(L151&gt;=10,60,I151+K151)</f>
        <v>36</v>
      </c>
      <c r="N151" s="222">
        <v>11</v>
      </c>
      <c r="O151" s="223">
        <v>11</v>
      </c>
      <c r="P151" s="140"/>
      <c r="Q151" s="228">
        <f t="shared" ref="Q151:Q190" si="195">IF(O151&gt;P151,(N151+O151)/2,(P151+N151)/2)</f>
        <v>11</v>
      </c>
      <c r="R151" s="229">
        <f t="shared" ref="R151:R190" si="196">IF(Q151&gt;=10,5,0)</f>
        <v>5</v>
      </c>
      <c r="S151" s="241">
        <v>14.5</v>
      </c>
      <c r="T151" s="242">
        <v>6</v>
      </c>
      <c r="U151" s="285"/>
      <c r="V151" s="228">
        <f t="shared" ref="V151:V190" si="197">IF(T151&gt;U151,(S151+T151)/2,(U151+S151)/2)</f>
        <v>10.25</v>
      </c>
      <c r="W151" s="229">
        <f t="shared" ref="W151:W190" si="198">IF(V151&gt;=10,6,0)</f>
        <v>6</v>
      </c>
      <c r="X151" s="241">
        <v>0</v>
      </c>
      <c r="Y151" s="242">
        <v>4.75</v>
      </c>
      <c r="Z151" s="285"/>
      <c r="AA151" s="228">
        <f t="shared" ref="AA151:AA190" si="199">IF(Y151&gt;Z151,(X151+Y151)/2,(Z151+X151)/2)</f>
        <v>2.375</v>
      </c>
      <c r="AB151" s="229">
        <f t="shared" ref="AB151:AB190" si="200">IF(AA151&gt;=10,6,0)</f>
        <v>0</v>
      </c>
      <c r="AC151" s="232">
        <f t="shared" ref="AC151:AC190" si="201">((Q151*2)+(V151*2)+(AA151*2))/6</f>
        <v>7.875</v>
      </c>
      <c r="AD151" s="233">
        <f t="shared" ref="AD151:AD190" si="202">IF(AC151&gt;=10,17,R151+W151+AB151)</f>
        <v>11</v>
      </c>
      <c r="AE151" s="242">
        <v>7</v>
      </c>
      <c r="AF151" s="285"/>
      <c r="AG151" s="234">
        <f t="shared" ref="AG151:AG190" si="203">IF(AE151&gt;AF151,AE151,AF151)</f>
        <v>7</v>
      </c>
      <c r="AH151" s="235">
        <f t="shared" ref="AH151:AH190" si="204">IF(AG151&gt;=10,1,0)</f>
        <v>0</v>
      </c>
      <c r="AI151" s="241">
        <v>10.5</v>
      </c>
      <c r="AJ151" s="242">
        <v>10.5</v>
      </c>
      <c r="AK151" s="285"/>
      <c r="AL151" s="228">
        <f t="shared" ref="AL151:AL190" si="205">IF(AJ151&gt;AK151,(AI151+AJ151)/2,(AK151+AI151)/2)</f>
        <v>10.5</v>
      </c>
      <c r="AM151" s="229">
        <f t="shared" ref="AM151:AM190" si="206">IF(AL151&gt;=10,3,0)</f>
        <v>3</v>
      </c>
      <c r="AN151" s="241"/>
      <c r="AO151" s="242"/>
      <c r="AP151" s="285"/>
      <c r="AQ151" s="228">
        <f t="shared" ref="AQ151:AQ190" si="207">IF(AO151&gt;AP151,(AN151+AO151)/2,(AP151+AN151)/2)</f>
        <v>0</v>
      </c>
      <c r="AR151" s="229">
        <f t="shared" ref="AR151:AR190" si="208">IF(AQ151&gt;=10,3,0)</f>
        <v>0</v>
      </c>
      <c r="AS151" s="236">
        <f t="shared" ref="AS151:AS190" si="209">(AG151+(AL151*2)+(AQ151*2))/5</f>
        <v>5.6</v>
      </c>
      <c r="AT151" s="237">
        <f t="shared" ref="AT151:AT190" si="210">IF(AS151&gt;=10,7,AR151+AM151+AH151)</f>
        <v>3</v>
      </c>
      <c r="AU151" s="245">
        <v>10</v>
      </c>
      <c r="AV151" s="242">
        <v>10</v>
      </c>
      <c r="AW151" s="285"/>
      <c r="AX151" s="228">
        <f t="shared" ref="AX151:AX190" si="211">IF(AV151&gt;AW151,(AU151+AV151)/2,(AW151+AU151)/2)</f>
        <v>10</v>
      </c>
      <c r="AY151" s="229">
        <f t="shared" ref="AY151:AY190" si="212">IF(AX151&gt;=10,4,0)</f>
        <v>4</v>
      </c>
      <c r="AZ151" s="242">
        <v>11.5</v>
      </c>
      <c r="BA151" s="285"/>
      <c r="BB151" s="234">
        <f t="shared" ref="BB151:BB190" si="213">IF(AZ151&gt;BA151,AZ151,BA151)</f>
        <v>11.5</v>
      </c>
      <c r="BC151" s="235">
        <f t="shared" ref="BC151:BC190" si="214">IF(BB151&gt;=10,1,0)</f>
        <v>1</v>
      </c>
      <c r="BD151" s="236">
        <f t="shared" ref="BD151:BD190" si="215">(BB151+AX151)/2</f>
        <v>10.75</v>
      </c>
      <c r="BE151" s="237">
        <f t="shared" ref="BE151:BE190" si="216">IF(BD151&gt;=10,5,BC151+AY151)</f>
        <v>5</v>
      </c>
      <c r="BF151" s="241">
        <v>13.25</v>
      </c>
      <c r="BG151" s="242">
        <v>15</v>
      </c>
      <c r="BH151" s="285"/>
      <c r="BI151" s="228">
        <f t="shared" ref="BI151:BI190" si="217">IF(BG151&gt;BH151,(BF151+BG151)/2,(BH151+BF151)/2)</f>
        <v>14.125</v>
      </c>
      <c r="BJ151" s="229">
        <f t="shared" ref="BJ151:BJ190" si="218">IF(BI151&gt;=10,1,0)</f>
        <v>1</v>
      </c>
      <c r="BK151" s="236">
        <f t="shared" ref="BK151:BK190" si="219">BI151</f>
        <v>14.125</v>
      </c>
      <c r="BL151" s="237">
        <f t="shared" ref="BL151:BL190" si="220">BJ151</f>
        <v>1</v>
      </c>
      <c r="BM151" s="239">
        <f t="shared" ref="BM151:BM190" si="221">((Q151*2)+(V151*2)+(AA151*2)+AG151+(AL151*2)+(AQ151*2)+AX151+BB151+BI151)/14</f>
        <v>7.9196428571428568</v>
      </c>
      <c r="BN151" s="240">
        <f t="shared" ref="BN151:BN190" si="222">IF(BM151&gt;=10,30,BL151+BE151+AT151+AD151)</f>
        <v>20</v>
      </c>
      <c r="BO151" s="273"/>
      <c r="BP151" s="274"/>
      <c r="BQ151" s="140"/>
      <c r="BR151" s="228">
        <f t="shared" ref="BR151:BR190" si="223">IF(BP151&gt;BQ151,(BO151+BP151)/2,(BQ151+BO151)/2)</f>
        <v>0</v>
      </c>
      <c r="BS151" s="229">
        <f t="shared" ref="BS151:BS190" si="224">IF(BR151&gt;=10,6,0)</f>
        <v>0</v>
      </c>
      <c r="BT151" s="282"/>
      <c r="BU151" s="283"/>
      <c r="BV151" s="285"/>
      <c r="BW151" s="228">
        <f t="shared" ref="BW151:BW190" si="225">IF(BU151&gt;BV151,(BT151+BU151)/2,(BV151+BT151)/2)</f>
        <v>0</v>
      </c>
      <c r="BX151" s="229">
        <f t="shared" ref="BX151:BX190" si="226">IF(BW151&gt;=10,6,0)</f>
        <v>0</v>
      </c>
      <c r="BY151" s="282"/>
      <c r="BZ151" s="283"/>
      <c r="CA151" s="285"/>
      <c r="CB151" s="228">
        <f t="shared" ref="CB151:CB190" si="227">IF(BZ151&gt;CA151,(BY151+BZ151)/2,(CA151+BY151)/2)</f>
        <v>0</v>
      </c>
      <c r="CC151" s="229">
        <f t="shared" ref="CC151:CC190" si="228">IF(CB151&gt;=10,4,0)</f>
        <v>0</v>
      </c>
      <c r="CD151" s="297">
        <f t="shared" ref="CD151:CD190" si="229">(CB151+(BW151*2)+(BR151*2))/5</f>
        <v>0</v>
      </c>
      <c r="CE151" s="233">
        <f t="shared" ref="CE151:CE190" si="230">IF(CD151&gt;=10,16,CC151+BX151+BS151)</f>
        <v>0</v>
      </c>
      <c r="CF151" s="282"/>
      <c r="CG151" s="283"/>
      <c r="CH151" s="285"/>
      <c r="CI151" s="228">
        <f t="shared" ref="CI151:CI190" si="231">IF(CG151&gt;CH151,(CF151+CG151)/2,(CH151+CF151)/2)</f>
        <v>0</v>
      </c>
      <c r="CJ151" s="229">
        <f t="shared" ref="CJ151:CJ190" si="232">IF(CI151&gt;=10,5,0)</f>
        <v>0</v>
      </c>
      <c r="CK151" s="298"/>
      <c r="CL151" s="299"/>
      <c r="CM151" s="285"/>
      <c r="CN151" s="228">
        <f t="shared" ref="CN151:CN190" si="233">IF(CL151&gt;CM151,(CK151+CL151)/2,(CM151+CK151)/2)</f>
        <v>0</v>
      </c>
      <c r="CO151" s="229">
        <f t="shared" ref="CO151:CO190" si="234">IF(CN151&gt;=10,5,0)</f>
        <v>0</v>
      </c>
      <c r="CP151" s="232">
        <f t="shared" ref="CP151:CP190" si="235">((CN151*2)+(CI151*2))/4</f>
        <v>0</v>
      </c>
      <c r="CQ151" s="233">
        <f t="shared" ref="CQ151:CQ190" si="236">IF(CP151&gt;=10,10,CO151+CJ151)</f>
        <v>0</v>
      </c>
      <c r="CR151" s="298"/>
      <c r="CS151" s="299"/>
      <c r="CT151" s="285"/>
      <c r="CU151" s="228">
        <f t="shared" ref="CU151:CU190" si="237">IF(CS151&gt;CT151,(CR151+CS151)/2,(CT151+CR151)/2)</f>
        <v>0</v>
      </c>
      <c r="CV151" s="229">
        <f t="shared" ref="CV151:CV190" si="238">IF(CU151&gt;=10,3,0)</f>
        <v>0</v>
      </c>
      <c r="CW151" s="232">
        <f t="shared" ref="CW151:CW190" si="239">CU151</f>
        <v>0</v>
      </c>
      <c r="CX151" s="233">
        <f t="shared" ref="CX151:CX190" si="240">CV151</f>
        <v>0</v>
      </c>
      <c r="CY151" s="299"/>
      <c r="CZ151" s="285"/>
      <c r="DA151" s="234">
        <f t="shared" ref="DA151:DA190" si="241">IF(CY151&gt;CZ151,CY151,CZ151)</f>
        <v>0</v>
      </c>
      <c r="DB151" s="235">
        <f t="shared" ref="DB151:DB190" si="242">IF(DA151&gt;=10,1,0)</f>
        <v>0</v>
      </c>
      <c r="DC151" s="232">
        <f t="shared" ref="DC151:DC190" si="243">DA151</f>
        <v>0</v>
      </c>
      <c r="DD151" s="233">
        <f t="shared" ref="DD151:DD190" si="244">DB151</f>
        <v>0</v>
      </c>
      <c r="DE151" s="65">
        <f t="shared" ref="DE151:DE190" si="245">((CU151*2)+(CI151*2)+(CN151*2)+DA151+CB151+(BW151*2)+(BR151*2))/12</f>
        <v>0</v>
      </c>
      <c r="DF151" s="66">
        <f t="shared" ref="DF151:DF190" si="246">IF(DE151&gt;=10,30,CX151+DD151+CQ151+CE151)</f>
        <v>0</v>
      </c>
      <c r="DG151" s="31">
        <f t="shared" si="186"/>
        <v>7.9196428571428568</v>
      </c>
      <c r="DH151" s="32">
        <f t="shared" si="187"/>
        <v>20</v>
      </c>
      <c r="DI151" s="33">
        <f t="shared" si="188"/>
        <v>0</v>
      </c>
      <c r="DJ151" s="34">
        <f t="shared" si="189"/>
        <v>0</v>
      </c>
      <c r="DK151" s="67">
        <f t="shared" si="190"/>
        <v>3.9598214285714284</v>
      </c>
      <c r="DL151" s="35">
        <f t="shared" si="191"/>
        <v>20</v>
      </c>
      <c r="DM151" s="59">
        <f t="shared" si="192"/>
        <v>56</v>
      </c>
      <c r="DN151" s="43" t="s">
        <v>504</v>
      </c>
      <c r="DO151" s="44"/>
      <c r="DP151" s="50"/>
      <c r="DQ151" s="46"/>
    </row>
    <row r="152" spans="1:121" s="37" customFormat="1" ht="32.25" customHeight="1" thickBot="1">
      <c r="A152" s="49"/>
      <c r="B152" s="1">
        <f t="shared" ref="B152:B190" si="247">B151+1</f>
        <v>3</v>
      </c>
      <c r="C152" s="249" t="s">
        <v>295</v>
      </c>
      <c r="D152" s="249" t="s">
        <v>213</v>
      </c>
      <c r="E152" s="47" t="s">
        <v>464</v>
      </c>
      <c r="F152" s="135">
        <v>33706</v>
      </c>
      <c r="G152" s="136" t="s">
        <v>404</v>
      </c>
      <c r="H152" s="131">
        <v>5.69</v>
      </c>
      <c r="I152" s="132">
        <v>19</v>
      </c>
      <c r="J152" s="133">
        <v>5.67</v>
      </c>
      <c r="K152" s="134">
        <v>15</v>
      </c>
      <c r="L152" s="53">
        <f t="shared" si="193"/>
        <v>5.68</v>
      </c>
      <c r="M152" s="58">
        <f t="shared" si="194"/>
        <v>34</v>
      </c>
      <c r="N152" s="222"/>
      <c r="O152" s="223"/>
      <c r="P152" s="140"/>
      <c r="Q152" s="228">
        <f t="shared" si="195"/>
        <v>0</v>
      </c>
      <c r="R152" s="229">
        <f t="shared" si="196"/>
        <v>0</v>
      </c>
      <c r="S152" s="241"/>
      <c r="T152" s="242"/>
      <c r="U152" s="285"/>
      <c r="V152" s="228">
        <f t="shared" si="197"/>
        <v>0</v>
      </c>
      <c r="W152" s="229">
        <f t="shared" si="198"/>
        <v>0</v>
      </c>
      <c r="X152" s="241">
        <v>8</v>
      </c>
      <c r="Y152" s="242"/>
      <c r="Z152" s="285"/>
      <c r="AA152" s="228">
        <f t="shared" si="199"/>
        <v>4</v>
      </c>
      <c r="AB152" s="229">
        <f t="shared" si="200"/>
        <v>0</v>
      </c>
      <c r="AC152" s="232">
        <f t="shared" si="201"/>
        <v>1.3333333333333333</v>
      </c>
      <c r="AD152" s="233">
        <f t="shared" si="202"/>
        <v>0</v>
      </c>
      <c r="AE152" s="248"/>
      <c r="AF152" s="285"/>
      <c r="AG152" s="234">
        <f t="shared" si="203"/>
        <v>0</v>
      </c>
      <c r="AH152" s="235">
        <f t="shared" si="204"/>
        <v>0</v>
      </c>
      <c r="AI152" s="247"/>
      <c r="AJ152" s="248"/>
      <c r="AK152" s="285"/>
      <c r="AL152" s="228">
        <f t="shared" si="205"/>
        <v>0</v>
      </c>
      <c r="AM152" s="229">
        <f t="shared" si="206"/>
        <v>0</v>
      </c>
      <c r="AN152" s="247"/>
      <c r="AO152" s="248"/>
      <c r="AP152" s="285"/>
      <c r="AQ152" s="228">
        <f t="shared" si="207"/>
        <v>0</v>
      </c>
      <c r="AR152" s="229">
        <f t="shared" si="208"/>
        <v>0</v>
      </c>
      <c r="AS152" s="236">
        <f t="shared" si="209"/>
        <v>0</v>
      </c>
      <c r="AT152" s="237">
        <f t="shared" si="210"/>
        <v>0</v>
      </c>
      <c r="AU152" s="247"/>
      <c r="AV152" s="248"/>
      <c r="AW152" s="285"/>
      <c r="AX152" s="228">
        <f t="shared" si="211"/>
        <v>0</v>
      </c>
      <c r="AY152" s="229">
        <f t="shared" si="212"/>
        <v>0</v>
      </c>
      <c r="AZ152" s="242"/>
      <c r="BA152" s="285"/>
      <c r="BB152" s="234">
        <f t="shared" si="213"/>
        <v>0</v>
      </c>
      <c r="BC152" s="235">
        <f t="shared" si="214"/>
        <v>0</v>
      </c>
      <c r="BD152" s="236">
        <f t="shared" si="215"/>
        <v>0</v>
      </c>
      <c r="BE152" s="237">
        <f t="shared" si="216"/>
        <v>0</v>
      </c>
      <c r="BF152" s="247"/>
      <c r="BG152" s="248"/>
      <c r="BH152" s="285"/>
      <c r="BI152" s="228">
        <f t="shared" si="217"/>
        <v>0</v>
      </c>
      <c r="BJ152" s="229">
        <f t="shared" si="218"/>
        <v>0</v>
      </c>
      <c r="BK152" s="236">
        <f t="shared" si="219"/>
        <v>0</v>
      </c>
      <c r="BL152" s="237">
        <f t="shared" si="220"/>
        <v>0</v>
      </c>
      <c r="BM152" s="239">
        <f t="shared" si="221"/>
        <v>0.5714285714285714</v>
      </c>
      <c r="BN152" s="240">
        <f t="shared" si="222"/>
        <v>0</v>
      </c>
      <c r="BO152" s="271"/>
      <c r="BP152" s="272"/>
      <c r="BQ152" s="140"/>
      <c r="BR152" s="228">
        <f t="shared" si="223"/>
        <v>0</v>
      </c>
      <c r="BS152" s="229">
        <f t="shared" si="224"/>
        <v>0</v>
      </c>
      <c r="BT152" s="241">
        <v>14</v>
      </c>
      <c r="BU152" s="242">
        <v>6</v>
      </c>
      <c r="BV152" s="285"/>
      <c r="BW152" s="228">
        <f t="shared" si="225"/>
        <v>10</v>
      </c>
      <c r="BX152" s="229">
        <f t="shared" si="226"/>
        <v>6</v>
      </c>
      <c r="BY152" s="241">
        <v>5.5</v>
      </c>
      <c r="BZ152" s="242">
        <v>0</v>
      </c>
      <c r="CA152" s="285"/>
      <c r="CB152" s="228">
        <f t="shared" si="227"/>
        <v>2.75</v>
      </c>
      <c r="CC152" s="229">
        <f t="shared" si="228"/>
        <v>0</v>
      </c>
      <c r="CD152" s="297">
        <f t="shared" si="229"/>
        <v>4.55</v>
      </c>
      <c r="CE152" s="233">
        <f t="shared" si="230"/>
        <v>6</v>
      </c>
      <c r="CF152" s="241">
        <v>0</v>
      </c>
      <c r="CG152" s="242"/>
      <c r="CH152" s="285"/>
      <c r="CI152" s="228">
        <f t="shared" si="231"/>
        <v>0</v>
      </c>
      <c r="CJ152" s="229">
        <f t="shared" si="232"/>
        <v>0</v>
      </c>
      <c r="CK152" s="298"/>
      <c r="CL152" s="299"/>
      <c r="CM152" s="285"/>
      <c r="CN152" s="228">
        <f t="shared" si="233"/>
        <v>0</v>
      </c>
      <c r="CO152" s="229">
        <f t="shared" si="234"/>
        <v>0</v>
      </c>
      <c r="CP152" s="232">
        <f t="shared" si="235"/>
        <v>0</v>
      </c>
      <c r="CQ152" s="233">
        <f t="shared" si="236"/>
        <v>0</v>
      </c>
      <c r="CR152" s="298"/>
      <c r="CS152" s="299"/>
      <c r="CT152" s="285"/>
      <c r="CU152" s="228">
        <f t="shared" si="237"/>
        <v>0</v>
      </c>
      <c r="CV152" s="229">
        <f t="shared" si="238"/>
        <v>0</v>
      </c>
      <c r="CW152" s="232">
        <f t="shared" si="239"/>
        <v>0</v>
      </c>
      <c r="CX152" s="233">
        <f t="shared" si="240"/>
        <v>0</v>
      </c>
      <c r="CY152" s="299"/>
      <c r="CZ152" s="285"/>
      <c r="DA152" s="234">
        <f t="shared" si="241"/>
        <v>0</v>
      </c>
      <c r="DB152" s="235">
        <f t="shared" si="242"/>
        <v>0</v>
      </c>
      <c r="DC152" s="232">
        <f t="shared" si="243"/>
        <v>0</v>
      </c>
      <c r="DD152" s="233">
        <f t="shared" si="244"/>
        <v>0</v>
      </c>
      <c r="DE152" s="65">
        <f t="shared" si="245"/>
        <v>1.8958333333333333</v>
      </c>
      <c r="DF152" s="66">
        <f t="shared" si="246"/>
        <v>6</v>
      </c>
      <c r="DG152" s="31">
        <f t="shared" si="186"/>
        <v>0.5714285714285714</v>
      </c>
      <c r="DH152" s="32">
        <f t="shared" si="187"/>
        <v>0</v>
      </c>
      <c r="DI152" s="33">
        <f t="shared" si="188"/>
        <v>1.8958333333333333</v>
      </c>
      <c r="DJ152" s="34">
        <f t="shared" si="189"/>
        <v>6</v>
      </c>
      <c r="DK152" s="67">
        <f t="shared" si="190"/>
        <v>1.2336309523809523</v>
      </c>
      <c r="DL152" s="35">
        <f t="shared" si="191"/>
        <v>6</v>
      </c>
      <c r="DM152" s="59">
        <f t="shared" si="192"/>
        <v>40</v>
      </c>
      <c r="DN152" s="43" t="s">
        <v>505</v>
      </c>
      <c r="DP152" s="51"/>
      <c r="DQ152" s="46"/>
    </row>
    <row r="153" spans="1:121" s="37" customFormat="1" ht="32.25" customHeight="1" thickBot="1">
      <c r="A153" s="49"/>
      <c r="B153" s="1">
        <f t="shared" si="247"/>
        <v>4</v>
      </c>
      <c r="C153" s="249" t="s">
        <v>296</v>
      </c>
      <c r="D153" s="249" t="s">
        <v>297</v>
      </c>
      <c r="E153" s="47" t="s">
        <v>465</v>
      </c>
      <c r="F153" s="135">
        <v>35396</v>
      </c>
      <c r="G153" s="136" t="s">
        <v>110</v>
      </c>
      <c r="H153" s="131">
        <v>9.44</v>
      </c>
      <c r="I153" s="132">
        <v>21</v>
      </c>
      <c r="J153" s="133">
        <v>8.07</v>
      </c>
      <c r="K153" s="134">
        <v>12</v>
      </c>
      <c r="L153" s="53">
        <f t="shared" si="193"/>
        <v>8.754999999999999</v>
      </c>
      <c r="M153" s="58">
        <f t="shared" si="194"/>
        <v>33</v>
      </c>
      <c r="N153" s="222">
        <v>13</v>
      </c>
      <c r="O153" s="223">
        <v>8</v>
      </c>
      <c r="P153" s="140"/>
      <c r="Q153" s="228">
        <f t="shared" si="195"/>
        <v>10.5</v>
      </c>
      <c r="R153" s="229">
        <f t="shared" si="196"/>
        <v>5</v>
      </c>
      <c r="S153" s="241">
        <v>15.5</v>
      </c>
      <c r="T153" s="242">
        <v>7.25</v>
      </c>
      <c r="U153" s="285"/>
      <c r="V153" s="228">
        <f t="shared" si="197"/>
        <v>11.375</v>
      </c>
      <c r="W153" s="229">
        <f t="shared" si="198"/>
        <v>6</v>
      </c>
      <c r="X153" s="241">
        <v>11</v>
      </c>
      <c r="Y153" s="242">
        <v>6.75</v>
      </c>
      <c r="Z153" s="285"/>
      <c r="AA153" s="228">
        <f t="shared" si="199"/>
        <v>8.875</v>
      </c>
      <c r="AB153" s="229">
        <f t="shared" si="200"/>
        <v>0</v>
      </c>
      <c r="AC153" s="232">
        <f t="shared" si="201"/>
        <v>10.25</v>
      </c>
      <c r="AD153" s="233">
        <f t="shared" si="202"/>
        <v>17</v>
      </c>
      <c r="AE153" s="242">
        <v>10.5</v>
      </c>
      <c r="AF153" s="285"/>
      <c r="AG153" s="234">
        <f t="shared" si="203"/>
        <v>10.5</v>
      </c>
      <c r="AH153" s="235">
        <f t="shared" si="204"/>
        <v>1</v>
      </c>
      <c r="AI153" s="241">
        <v>8.25</v>
      </c>
      <c r="AJ153" s="242">
        <v>6.5</v>
      </c>
      <c r="AK153" s="285"/>
      <c r="AL153" s="228">
        <f t="shared" si="205"/>
        <v>7.375</v>
      </c>
      <c r="AM153" s="229">
        <f t="shared" si="206"/>
        <v>0</v>
      </c>
      <c r="AN153" s="241">
        <v>8.5</v>
      </c>
      <c r="AO153" s="242">
        <v>0.5</v>
      </c>
      <c r="AP153" s="285"/>
      <c r="AQ153" s="228">
        <f t="shared" si="207"/>
        <v>4.5</v>
      </c>
      <c r="AR153" s="229">
        <f t="shared" si="208"/>
        <v>0</v>
      </c>
      <c r="AS153" s="236">
        <f t="shared" si="209"/>
        <v>6.85</v>
      </c>
      <c r="AT153" s="237">
        <f t="shared" si="210"/>
        <v>1</v>
      </c>
      <c r="AU153" s="241">
        <v>4</v>
      </c>
      <c r="AV153" s="242">
        <v>1</v>
      </c>
      <c r="AW153" s="285"/>
      <c r="AX153" s="228">
        <f t="shared" si="211"/>
        <v>2.5</v>
      </c>
      <c r="AY153" s="229">
        <f t="shared" si="212"/>
        <v>0</v>
      </c>
      <c r="AZ153" s="242">
        <v>10</v>
      </c>
      <c r="BA153" s="285"/>
      <c r="BB153" s="234">
        <f t="shared" si="213"/>
        <v>10</v>
      </c>
      <c r="BC153" s="235">
        <f t="shared" si="214"/>
        <v>1</v>
      </c>
      <c r="BD153" s="236">
        <f t="shared" si="215"/>
        <v>6.25</v>
      </c>
      <c r="BE153" s="237">
        <f t="shared" si="216"/>
        <v>1</v>
      </c>
      <c r="BF153" s="241">
        <v>9.5</v>
      </c>
      <c r="BG153" s="242">
        <v>4.75</v>
      </c>
      <c r="BH153" s="285"/>
      <c r="BI153" s="228">
        <f t="shared" si="217"/>
        <v>7.125</v>
      </c>
      <c r="BJ153" s="229">
        <f t="shared" si="218"/>
        <v>0</v>
      </c>
      <c r="BK153" s="236">
        <f t="shared" si="219"/>
        <v>7.125</v>
      </c>
      <c r="BL153" s="237">
        <f t="shared" si="220"/>
        <v>0</v>
      </c>
      <c r="BM153" s="239">
        <f t="shared" si="221"/>
        <v>8.2410714285714288</v>
      </c>
      <c r="BN153" s="240">
        <f t="shared" si="222"/>
        <v>19</v>
      </c>
      <c r="BO153" s="271">
        <v>15.5</v>
      </c>
      <c r="BP153" s="272">
        <v>5.75</v>
      </c>
      <c r="BQ153" s="140"/>
      <c r="BR153" s="228">
        <f t="shared" si="223"/>
        <v>10.625</v>
      </c>
      <c r="BS153" s="229">
        <f t="shared" si="224"/>
        <v>6</v>
      </c>
      <c r="BT153" s="241">
        <v>15</v>
      </c>
      <c r="BU153" s="242">
        <v>12</v>
      </c>
      <c r="BV153" s="285"/>
      <c r="BW153" s="228">
        <f t="shared" si="225"/>
        <v>13.5</v>
      </c>
      <c r="BX153" s="229">
        <f t="shared" si="226"/>
        <v>6</v>
      </c>
      <c r="BY153" s="241">
        <v>14</v>
      </c>
      <c r="BZ153" s="242">
        <v>9.5</v>
      </c>
      <c r="CA153" s="285"/>
      <c r="CB153" s="228">
        <f t="shared" si="227"/>
        <v>11.75</v>
      </c>
      <c r="CC153" s="229">
        <f t="shared" si="228"/>
        <v>4</v>
      </c>
      <c r="CD153" s="297">
        <f t="shared" si="229"/>
        <v>12</v>
      </c>
      <c r="CE153" s="233">
        <f t="shared" si="230"/>
        <v>16</v>
      </c>
      <c r="CF153" s="241">
        <v>6</v>
      </c>
      <c r="CG153" s="242">
        <v>7.75</v>
      </c>
      <c r="CH153" s="285"/>
      <c r="CI153" s="228">
        <f t="shared" si="231"/>
        <v>6.875</v>
      </c>
      <c r="CJ153" s="229">
        <f t="shared" si="232"/>
        <v>0</v>
      </c>
      <c r="CK153" s="230">
        <v>13.5</v>
      </c>
      <c r="CL153" s="231">
        <v>5</v>
      </c>
      <c r="CM153" s="285"/>
      <c r="CN153" s="228">
        <f t="shared" si="233"/>
        <v>9.25</v>
      </c>
      <c r="CO153" s="229">
        <f t="shared" si="234"/>
        <v>0</v>
      </c>
      <c r="CP153" s="232">
        <f t="shared" si="235"/>
        <v>8.0625</v>
      </c>
      <c r="CQ153" s="233">
        <f t="shared" si="236"/>
        <v>0</v>
      </c>
      <c r="CR153" s="230">
        <v>8</v>
      </c>
      <c r="CS153" s="231">
        <v>2.75</v>
      </c>
      <c r="CT153" s="285"/>
      <c r="CU153" s="228">
        <f t="shared" si="237"/>
        <v>5.375</v>
      </c>
      <c r="CV153" s="229">
        <f t="shared" si="238"/>
        <v>0</v>
      </c>
      <c r="CW153" s="232">
        <f t="shared" si="239"/>
        <v>5.375</v>
      </c>
      <c r="CX153" s="233">
        <f t="shared" si="240"/>
        <v>0</v>
      </c>
      <c r="CY153" s="231">
        <v>10.5</v>
      </c>
      <c r="CZ153" s="285"/>
      <c r="DA153" s="234">
        <f t="shared" si="241"/>
        <v>10.5</v>
      </c>
      <c r="DB153" s="235">
        <f t="shared" si="242"/>
        <v>1</v>
      </c>
      <c r="DC153" s="232">
        <f t="shared" si="243"/>
        <v>10.5</v>
      </c>
      <c r="DD153" s="233">
        <f t="shared" si="244"/>
        <v>1</v>
      </c>
      <c r="DE153" s="65">
        <f t="shared" si="245"/>
        <v>9.4583333333333339</v>
      </c>
      <c r="DF153" s="66">
        <f t="shared" si="246"/>
        <v>17</v>
      </c>
      <c r="DG153" s="31">
        <f t="shared" si="186"/>
        <v>8.2410714285714288</v>
      </c>
      <c r="DH153" s="32">
        <f t="shared" si="187"/>
        <v>19</v>
      </c>
      <c r="DI153" s="33">
        <f t="shared" si="188"/>
        <v>9.4583333333333339</v>
      </c>
      <c r="DJ153" s="34">
        <f t="shared" si="189"/>
        <v>17</v>
      </c>
      <c r="DK153" s="67">
        <f t="shared" si="190"/>
        <v>8.8497023809523814</v>
      </c>
      <c r="DL153" s="35">
        <f t="shared" si="191"/>
        <v>36</v>
      </c>
      <c r="DM153" s="59">
        <f t="shared" si="192"/>
        <v>69</v>
      </c>
      <c r="DN153" s="43" t="str">
        <f t="shared" ref="DN153:DN190" si="248">IF(DM153=120,"ناجح(ة) دورة2",IF(DM153&gt;=90,"ناجح(ة)بتأخير","راسب(ة)"))</f>
        <v>راسب(ة)</v>
      </c>
      <c r="DO153" s="44"/>
      <c r="DP153" s="50"/>
      <c r="DQ153" s="46"/>
    </row>
    <row r="154" spans="1:121" s="37" customFormat="1" ht="32.25" customHeight="1" thickBot="1">
      <c r="A154" s="49"/>
      <c r="B154" s="1">
        <f t="shared" si="247"/>
        <v>5</v>
      </c>
      <c r="C154" s="249" t="s">
        <v>467</v>
      </c>
      <c r="D154" s="249" t="s">
        <v>298</v>
      </c>
      <c r="E154" s="47" t="s">
        <v>466</v>
      </c>
      <c r="F154" s="135">
        <v>34502</v>
      </c>
      <c r="G154" s="136" t="s">
        <v>110</v>
      </c>
      <c r="H154" s="131">
        <v>8.98</v>
      </c>
      <c r="I154" s="132">
        <v>15</v>
      </c>
      <c r="J154" s="133">
        <v>9.7799999999999994</v>
      </c>
      <c r="K154" s="134">
        <v>24</v>
      </c>
      <c r="L154" s="53">
        <f t="shared" si="193"/>
        <v>9.379999999999999</v>
      </c>
      <c r="M154" s="58">
        <f t="shared" si="194"/>
        <v>39</v>
      </c>
      <c r="N154" s="279">
        <v>15</v>
      </c>
      <c r="O154" s="280">
        <v>8</v>
      </c>
      <c r="P154" s="281"/>
      <c r="Q154" s="286">
        <f t="shared" si="195"/>
        <v>11.5</v>
      </c>
      <c r="R154" s="287">
        <f t="shared" si="196"/>
        <v>5</v>
      </c>
      <c r="S154" s="282">
        <v>12</v>
      </c>
      <c r="T154" s="283">
        <v>5.5</v>
      </c>
      <c r="U154" s="288"/>
      <c r="V154" s="286">
        <f t="shared" si="197"/>
        <v>8.75</v>
      </c>
      <c r="W154" s="287">
        <f t="shared" si="198"/>
        <v>0</v>
      </c>
      <c r="X154" s="282">
        <v>14.5</v>
      </c>
      <c r="Y154" s="283">
        <v>7</v>
      </c>
      <c r="Z154" s="288"/>
      <c r="AA154" s="286">
        <f t="shared" si="199"/>
        <v>10.75</v>
      </c>
      <c r="AB154" s="287">
        <f t="shared" si="200"/>
        <v>6</v>
      </c>
      <c r="AC154" s="289">
        <f t="shared" si="201"/>
        <v>10.333333333333334</v>
      </c>
      <c r="AD154" s="290">
        <f t="shared" si="202"/>
        <v>17</v>
      </c>
      <c r="AE154" s="283">
        <v>3</v>
      </c>
      <c r="AF154" s="288">
        <v>5</v>
      </c>
      <c r="AG154" s="291">
        <f t="shared" si="203"/>
        <v>5</v>
      </c>
      <c r="AH154" s="292">
        <f t="shared" si="204"/>
        <v>0</v>
      </c>
      <c r="AI154" s="282">
        <v>10.5</v>
      </c>
      <c r="AJ154" s="283">
        <v>7</v>
      </c>
      <c r="AK154" s="288"/>
      <c r="AL154" s="286">
        <f t="shared" si="205"/>
        <v>8.75</v>
      </c>
      <c r="AM154" s="287">
        <f t="shared" si="206"/>
        <v>0</v>
      </c>
      <c r="AN154" s="282">
        <v>8</v>
      </c>
      <c r="AO154" s="283">
        <v>0</v>
      </c>
      <c r="AP154" s="288"/>
      <c r="AQ154" s="286">
        <f t="shared" si="207"/>
        <v>4</v>
      </c>
      <c r="AR154" s="287">
        <f t="shared" si="208"/>
        <v>0</v>
      </c>
      <c r="AS154" s="293">
        <f t="shared" si="209"/>
        <v>6.1</v>
      </c>
      <c r="AT154" s="294">
        <f t="shared" si="210"/>
        <v>0</v>
      </c>
      <c r="AU154" s="282">
        <v>3</v>
      </c>
      <c r="AV154" s="283">
        <v>1</v>
      </c>
      <c r="AW154" s="288"/>
      <c r="AX154" s="286">
        <f t="shared" si="211"/>
        <v>2</v>
      </c>
      <c r="AY154" s="287">
        <f t="shared" si="212"/>
        <v>0</v>
      </c>
      <c r="AZ154" s="283">
        <v>1.5</v>
      </c>
      <c r="BA154" s="288">
        <v>7.5</v>
      </c>
      <c r="BB154" s="291">
        <f t="shared" si="213"/>
        <v>7.5</v>
      </c>
      <c r="BC154" s="292">
        <f t="shared" si="214"/>
        <v>0</v>
      </c>
      <c r="BD154" s="293">
        <f t="shared" si="215"/>
        <v>4.75</v>
      </c>
      <c r="BE154" s="294">
        <f t="shared" si="216"/>
        <v>0</v>
      </c>
      <c r="BF154" s="282">
        <v>9.75</v>
      </c>
      <c r="BG154" s="283">
        <v>2</v>
      </c>
      <c r="BH154" s="288"/>
      <c r="BI154" s="286">
        <f t="shared" si="217"/>
        <v>5.875</v>
      </c>
      <c r="BJ154" s="287">
        <f t="shared" si="218"/>
        <v>0</v>
      </c>
      <c r="BK154" s="293">
        <f t="shared" si="219"/>
        <v>5.875</v>
      </c>
      <c r="BL154" s="294">
        <f t="shared" si="220"/>
        <v>0</v>
      </c>
      <c r="BM154" s="295">
        <f t="shared" si="221"/>
        <v>7.7053571428571432</v>
      </c>
      <c r="BN154" s="296">
        <f t="shared" si="222"/>
        <v>17</v>
      </c>
      <c r="BO154" s="277">
        <v>0</v>
      </c>
      <c r="BP154" s="278">
        <v>0</v>
      </c>
      <c r="BQ154" s="284"/>
      <c r="BR154" s="307">
        <f t="shared" si="223"/>
        <v>0</v>
      </c>
      <c r="BS154" s="306">
        <f t="shared" si="224"/>
        <v>0</v>
      </c>
      <c r="BT154" s="252">
        <v>0</v>
      </c>
      <c r="BU154" s="253">
        <v>0</v>
      </c>
      <c r="BV154" s="288"/>
      <c r="BW154" s="307">
        <f t="shared" si="225"/>
        <v>0</v>
      </c>
      <c r="BX154" s="306">
        <f t="shared" si="226"/>
        <v>0</v>
      </c>
      <c r="BY154" s="252">
        <v>0</v>
      </c>
      <c r="BZ154" s="253">
        <v>0</v>
      </c>
      <c r="CA154" s="305"/>
      <c r="CB154" s="307">
        <v>0</v>
      </c>
      <c r="CC154" s="306">
        <f t="shared" si="228"/>
        <v>0</v>
      </c>
      <c r="CD154" s="308">
        <f t="shared" si="229"/>
        <v>0</v>
      </c>
      <c r="CE154" s="309">
        <f t="shared" si="230"/>
        <v>0</v>
      </c>
      <c r="CF154" s="252">
        <v>0</v>
      </c>
      <c r="CG154" s="253">
        <v>0</v>
      </c>
      <c r="CH154" s="305"/>
      <c r="CI154" s="307">
        <f t="shared" si="231"/>
        <v>0</v>
      </c>
      <c r="CJ154" s="306">
        <f t="shared" si="232"/>
        <v>0</v>
      </c>
      <c r="CK154" s="303">
        <v>0</v>
      </c>
      <c r="CL154" s="304">
        <v>0</v>
      </c>
      <c r="CM154" s="305"/>
      <c r="CN154" s="307">
        <f t="shared" si="233"/>
        <v>0</v>
      </c>
      <c r="CO154" s="306">
        <f t="shared" si="234"/>
        <v>0</v>
      </c>
      <c r="CP154" s="310">
        <f t="shared" si="235"/>
        <v>0</v>
      </c>
      <c r="CQ154" s="309">
        <f t="shared" si="236"/>
        <v>0</v>
      </c>
      <c r="CR154" s="303">
        <v>0</v>
      </c>
      <c r="CS154" s="304">
        <v>0</v>
      </c>
      <c r="CT154" s="305"/>
      <c r="CU154" s="307">
        <f t="shared" si="237"/>
        <v>0</v>
      </c>
      <c r="CV154" s="306">
        <f t="shared" si="238"/>
        <v>0</v>
      </c>
      <c r="CW154" s="310">
        <f t="shared" si="239"/>
        <v>0</v>
      </c>
      <c r="CX154" s="309">
        <f t="shared" si="240"/>
        <v>0</v>
      </c>
      <c r="CY154" s="304">
        <v>0</v>
      </c>
      <c r="CZ154" s="305">
        <v>0</v>
      </c>
      <c r="DA154" s="311">
        <v>0</v>
      </c>
      <c r="DB154" s="312">
        <f t="shared" si="242"/>
        <v>0</v>
      </c>
      <c r="DC154" s="310">
        <f t="shared" si="243"/>
        <v>0</v>
      </c>
      <c r="DD154" s="309">
        <f t="shared" si="244"/>
        <v>0</v>
      </c>
      <c r="DE154" s="313">
        <f t="shared" si="245"/>
        <v>0</v>
      </c>
      <c r="DF154" s="314">
        <f t="shared" si="246"/>
        <v>0</v>
      </c>
      <c r="DG154" s="315">
        <f t="shared" si="186"/>
        <v>7.7053571428571432</v>
      </c>
      <c r="DH154" s="316">
        <f t="shared" si="187"/>
        <v>17</v>
      </c>
      <c r="DI154" s="317">
        <f t="shared" si="188"/>
        <v>0</v>
      </c>
      <c r="DJ154" s="318">
        <f t="shared" si="189"/>
        <v>0</v>
      </c>
      <c r="DK154" s="319">
        <f t="shared" si="190"/>
        <v>3.8526785714285716</v>
      </c>
      <c r="DL154" s="320">
        <f t="shared" si="191"/>
        <v>17</v>
      </c>
      <c r="DM154" s="321">
        <f t="shared" si="192"/>
        <v>56</v>
      </c>
      <c r="DN154" s="43" t="s">
        <v>513</v>
      </c>
      <c r="DO154" s="44"/>
      <c r="DP154" s="50"/>
      <c r="DQ154" s="46"/>
    </row>
    <row r="155" spans="1:121" s="37" customFormat="1" ht="32.25" customHeight="1" thickBot="1">
      <c r="A155" s="49"/>
      <c r="B155" s="1">
        <f t="shared" si="247"/>
        <v>6</v>
      </c>
      <c r="C155" s="249" t="s">
        <v>299</v>
      </c>
      <c r="D155" s="249" t="s">
        <v>265</v>
      </c>
      <c r="E155" s="47" t="s">
        <v>468</v>
      </c>
      <c r="F155" s="135">
        <v>33896</v>
      </c>
      <c r="G155" s="136" t="s">
        <v>397</v>
      </c>
      <c r="H155" s="131">
        <v>8.25</v>
      </c>
      <c r="I155" s="132">
        <v>22</v>
      </c>
      <c r="J155" s="133">
        <v>9.8000000000000007</v>
      </c>
      <c r="K155" s="134">
        <v>21</v>
      </c>
      <c r="L155" s="53">
        <f t="shared" si="193"/>
        <v>9.0250000000000004</v>
      </c>
      <c r="M155" s="58">
        <f t="shared" si="194"/>
        <v>43</v>
      </c>
      <c r="N155" s="222">
        <v>12.5</v>
      </c>
      <c r="O155" s="223">
        <v>12.5</v>
      </c>
      <c r="P155" s="140"/>
      <c r="Q155" s="228">
        <f t="shared" si="195"/>
        <v>12.5</v>
      </c>
      <c r="R155" s="229">
        <f t="shared" si="196"/>
        <v>5</v>
      </c>
      <c r="S155" s="241">
        <v>11.63</v>
      </c>
      <c r="T155" s="242">
        <v>11.63</v>
      </c>
      <c r="U155" s="285"/>
      <c r="V155" s="228">
        <f t="shared" si="197"/>
        <v>11.63</v>
      </c>
      <c r="W155" s="229">
        <f t="shared" si="198"/>
        <v>6</v>
      </c>
      <c r="X155" s="245">
        <v>7.25</v>
      </c>
      <c r="Y155" s="246">
        <v>7.25</v>
      </c>
      <c r="Z155" s="285"/>
      <c r="AA155" s="228">
        <f t="shared" si="199"/>
        <v>7.25</v>
      </c>
      <c r="AB155" s="229">
        <f t="shared" si="200"/>
        <v>0</v>
      </c>
      <c r="AC155" s="232">
        <f t="shared" si="201"/>
        <v>10.46</v>
      </c>
      <c r="AD155" s="233">
        <f t="shared" si="202"/>
        <v>17</v>
      </c>
      <c r="AE155" s="242">
        <v>13</v>
      </c>
      <c r="AF155" s="285"/>
      <c r="AG155" s="234">
        <f t="shared" si="203"/>
        <v>13</v>
      </c>
      <c r="AH155" s="235">
        <f t="shared" si="204"/>
        <v>1</v>
      </c>
      <c r="AI155" s="247"/>
      <c r="AJ155" s="248"/>
      <c r="AK155" s="285"/>
      <c r="AL155" s="228">
        <f t="shared" si="205"/>
        <v>0</v>
      </c>
      <c r="AM155" s="229">
        <f t="shared" si="206"/>
        <v>0</v>
      </c>
      <c r="AN155" s="241">
        <v>8</v>
      </c>
      <c r="AO155" s="242"/>
      <c r="AP155" s="285"/>
      <c r="AQ155" s="228">
        <f t="shared" si="207"/>
        <v>4</v>
      </c>
      <c r="AR155" s="229">
        <f t="shared" si="208"/>
        <v>0</v>
      </c>
      <c r="AS155" s="236">
        <f t="shared" si="209"/>
        <v>4.2</v>
      </c>
      <c r="AT155" s="237">
        <f t="shared" si="210"/>
        <v>1</v>
      </c>
      <c r="AU155" s="241"/>
      <c r="AV155" s="242">
        <v>0</v>
      </c>
      <c r="AW155" s="285"/>
      <c r="AX155" s="228">
        <f t="shared" si="211"/>
        <v>0</v>
      </c>
      <c r="AY155" s="229">
        <f t="shared" si="212"/>
        <v>0</v>
      </c>
      <c r="AZ155" s="248"/>
      <c r="BA155" s="285"/>
      <c r="BB155" s="234">
        <f t="shared" si="213"/>
        <v>0</v>
      </c>
      <c r="BC155" s="235">
        <f t="shared" si="214"/>
        <v>0</v>
      </c>
      <c r="BD155" s="236">
        <f t="shared" si="215"/>
        <v>0</v>
      </c>
      <c r="BE155" s="237">
        <f t="shared" si="216"/>
        <v>0</v>
      </c>
      <c r="BF155" s="245">
        <v>10</v>
      </c>
      <c r="BG155" s="246">
        <v>10</v>
      </c>
      <c r="BH155" s="285"/>
      <c r="BI155" s="228">
        <f t="shared" si="217"/>
        <v>10</v>
      </c>
      <c r="BJ155" s="229">
        <f t="shared" si="218"/>
        <v>1</v>
      </c>
      <c r="BK155" s="236">
        <f t="shared" si="219"/>
        <v>10</v>
      </c>
      <c r="BL155" s="237">
        <f t="shared" si="220"/>
        <v>1</v>
      </c>
      <c r="BM155" s="239">
        <f t="shared" si="221"/>
        <v>6.6971428571428575</v>
      </c>
      <c r="BN155" s="240">
        <f t="shared" si="222"/>
        <v>19</v>
      </c>
      <c r="BO155" s="277">
        <v>15.25</v>
      </c>
      <c r="BP155" s="278">
        <v>15.25</v>
      </c>
      <c r="BQ155" s="140"/>
      <c r="BR155" s="228">
        <f t="shared" si="223"/>
        <v>15.25</v>
      </c>
      <c r="BS155" s="229">
        <f t="shared" si="224"/>
        <v>6</v>
      </c>
      <c r="BT155" s="252">
        <v>10.5</v>
      </c>
      <c r="BU155" s="253">
        <v>10.5</v>
      </c>
      <c r="BV155" s="285"/>
      <c r="BW155" s="228">
        <f t="shared" si="225"/>
        <v>10.5</v>
      </c>
      <c r="BX155" s="229">
        <f t="shared" si="226"/>
        <v>6</v>
      </c>
      <c r="BY155" s="252">
        <v>8</v>
      </c>
      <c r="BZ155" s="253">
        <v>6</v>
      </c>
      <c r="CA155" s="285"/>
      <c r="CB155" s="228">
        <f t="shared" si="227"/>
        <v>7</v>
      </c>
      <c r="CC155" s="229">
        <f t="shared" si="228"/>
        <v>0</v>
      </c>
      <c r="CD155" s="297">
        <f t="shared" si="229"/>
        <v>11.7</v>
      </c>
      <c r="CE155" s="233">
        <f t="shared" si="230"/>
        <v>16</v>
      </c>
      <c r="CF155" s="252">
        <v>1</v>
      </c>
      <c r="CG155" s="253">
        <v>6</v>
      </c>
      <c r="CH155" s="285"/>
      <c r="CI155" s="228">
        <f t="shared" si="231"/>
        <v>3.5</v>
      </c>
      <c r="CJ155" s="229">
        <f t="shared" si="232"/>
        <v>0</v>
      </c>
      <c r="CK155" s="230">
        <v>13.5</v>
      </c>
      <c r="CL155" s="231">
        <v>4</v>
      </c>
      <c r="CM155" s="285"/>
      <c r="CN155" s="228">
        <f t="shared" si="233"/>
        <v>8.75</v>
      </c>
      <c r="CO155" s="229">
        <f t="shared" si="234"/>
        <v>0</v>
      </c>
      <c r="CP155" s="232">
        <f t="shared" si="235"/>
        <v>6.125</v>
      </c>
      <c r="CQ155" s="233">
        <f t="shared" si="236"/>
        <v>0</v>
      </c>
      <c r="CR155" s="230">
        <v>6.75</v>
      </c>
      <c r="CS155" s="231"/>
      <c r="CT155" s="285"/>
      <c r="CU155" s="228">
        <f t="shared" si="237"/>
        <v>3.375</v>
      </c>
      <c r="CV155" s="229">
        <f t="shared" si="238"/>
        <v>0</v>
      </c>
      <c r="CW155" s="232">
        <f t="shared" si="239"/>
        <v>3.375</v>
      </c>
      <c r="CX155" s="233">
        <f t="shared" si="240"/>
        <v>0</v>
      </c>
      <c r="CY155" s="231">
        <v>12</v>
      </c>
      <c r="CZ155" s="285"/>
      <c r="DA155" s="234">
        <f t="shared" si="241"/>
        <v>12</v>
      </c>
      <c r="DB155" s="235">
        <f t="shared" si="242"/>
        <v>1</v>
      </c>
      <c r="DC155" s="232">
        <f t="shared" si="243"/>
        <v>12</v>
      </c>
      <c r="DD155" s="233">
        <f t="shared" si="244"/>
        <v>1</v>
      </c>
      <c r="DE155" s="65">
        <f t="shared" si="245"/>
        <v>8.4791666666666661</v>
      </c>
      <c r="DF155" s="66">
        <f t="shared" si="246"/>
        <v>17</v>
      </c>
      <c r="DG155" s="31">
        <f t="shared" si="186"/>
        <v>6.6971428571428575</v>
      </c>
      <c r="DH155" s="32">
        <f t="shared" si="187"/>
        <v>19</v>
      </c>
      <c r="DI155" s="33">
        <f t="shared" si="188"/>
        <v>8.4791666666666661</v>
      </c>
      <c r="DJ155" s="34">
        <f t="shared" si="189"/>
        <v>17</v>
      </c>
      <c r="DK155" s="67">
        <f t="shared" si="190"/>
        <v>7.5881547619047618</v>
      </c>
      <c r="DL155" s="35">
        <f t="shared" si="191"/>
        <v>36</v>
      </c>
      <c r="DM155" s="59">
        <f t="shared" si="192"/>
        <v>79</v>
      </c>
      <c r="DN155" s="43" t="str">
        <f t="shared" si="248"/>
        <v>راسب(ة)</v>
      </c>
      <c r="DO155" s="44"/>
      <c r="DP155" s="50"/>
      <c r="DQ155" s="46"/>
    </row>
    <row r="156" spans="1:121" s="37" customFormat="1" ht="32.25" customHeight="1" thickBot="1">
      <c r="A156" s="49"/>
      <c r="B156" s="1">
        <f t="shared" si="247"/>
        <v>7</v>
      </c>
      <c r="C156" s="249" t="s">
        <v>470</v>
      </c>
      <c r="D156" s="249" t="s">
        <v>227</v>
      </c>
      <c r="E156" s="137" t="s">
        <v>469</v>
      </c>
      <c r="F156" s="135">
        <v>34436</v>
      </c>
      <c r="G156" s="136" t="s">
        <v>110</v>
      </c>
      <c r="H156" s="131">
        <v>7.3</v>
      </c>
      <c r="I156" s="132">
        <v>15</v>
      </c>
      <c r="J156" s="133">
        <v>7.92</v>
      </c>
      <c r="K156" s="134">
        <v>15</v>
      </c>
      <c r="L156" s="53">
        <f t="shared" si="193"/>
        <v>7.6099999999999994</v>
      </c>
      <c r="M156" s="58">
        <f t="shared" si="194"/>
        <v>30</v>
      </c>
      <c r="N156" s="222">
        <v>13</v>
      </c>
      <c r="O156" s="223">
        <v>0</v>
      </c>
      <c r="P156" s="140"/>
      <c r="Q156" s="228">
        <f t="shared" si="195"/>
        <v>6.5</v>
      </c>
      <c r="R156" s="229">
        <f t="shared" si="196"/>
        <v>0</v>
      </c>
      <c r="S156" s="241">
        <v>13.5</v>
      </c>
      <c r="T156" s="242">
        <v>7</v>
      </c>
      <c r="U156" s="285"/>
      <c r="V156" s="228">
        <f t="shared" si="197"/>
        <v>10.25</v>
      </c>
      <c r="W156" s="229">
        <f t="shared" si="198"/>
        <v>6</v>
      </c>
      <c r="X156" s="241">
        <v>10</v>
      </c>
      <c r="Y156" s="242">
        <v>4.5</v>
      </c>
      <c r="Z156" s="285"/>
      <c r="AA156" s="228">
        <f t="shared" si="199"/>
        <v>7.25</v>
      </c>
      <c r="AB156" s="229">
        <f t="shared" si="200"/>
        <v>0</v>
      </c>
      <c r="AC156" s="232">
        <f t="shared" si="201"/>
        <v>8</v>
      </c>
      <c r="AD156" s="233">
        <f t="shared" si="202"/>
        <v>6</v>
      </c>
      <c r="AE156" s="242">
        <v>10.5</v>
      </c>
      <c r="AF156" s="285"/>
      <c r="AG156" s="234">
        <f t="shared" si="203"/>
        <v>10.5</v>
      </c>
      <c r="AH156" s="235">
        <f t="shared" si="204"/>
        <v>1</v>
      </c>
      <c r="AI156" s="241">
        <v>5.5</v>
      </c>
      <c r="AJ156" s="242">
        <v>5.5</v>
      </c>
      <c r="AK156" s="285"/>
      <c r="AL156" s="228">
        <f t="shared" si="205"/>
        <v>5.5</v>
      </c>
      <c r="AM156" s="229">
        <f t="shared" si="206"/>
        <v>0</v>
      </c>
      <c r="AN156" s="241">
        <v>14.5</v>
      </c>
      <c r="AO156" s="242">
        <v>7.25</v>
      </c>
      <c r="AP156" s="285"/>
      <c r="AQ156" s="228">
        <f t="shared" si="207"/>
        <v>10.875</v>
      </c>
      <c r="AR156" s="229">
        <f t="shared" si="208"/>
        <v>3</v>
      </c>
      <c r="AS156" s="236">
        <f t="shared" si="209"/>
        <v>8.65</v>
      </c>
      <c r="AT156" s="237">
        <f t="shared" si="210"/>
        <v>4</v>
      </c>
      <c r="AU156" s="241"/>
      <c r="AV156" s="242">
        <v>3</v>
      </c>
      <c r="AW156" s="285"/>
      <c r="AX156" s="228">
        <f t="shared" si="211"/>
        <v>1.5</v>
      </c>
      <c r="AY156" s="229">
        <f t="shared" si="212"/>
        <v>0</v>
      </c>
      <c r="AZ156" s="242">
        <v>0</v>
      </c>
      <c r="BA156" s="285"/>
      <c r="BB156" s="234">
        <f t="shared" si="213"/>
        <v>0</v>
      </c>
      <c r="BC156" s="235">
        <f t="shared" si="214"/>
        <v>0</v>
      </c>
      <c r="BD156" s="236">
        <f t="shared" si="215"/>
        <v>0.75</v>
      </c>
      <c r="BE156" s="237">
        <f t="shared" si="216"/>
        <v>0</v>
      </c>
      <c r="BF156" s="241">
        <v>11</v>
      </c>
      <c r="BG156" s="242">
        <v>11.25</v>
      </c>
      <c r="BH156" s="285"/>
      <c r="BI156" s="228">
        <f t="shared" si="217"/>
        <v>11.125</v>
      </c>
      <c r="BJ156" s="229">
        <f t="shared" si="218"/>
        <v>1</v>
      </c>
      <c r="BK156" s="236">
        <f t="shared" si="219"/>
        <v>11.125</v>
      </c>
      <c r="BL156" s="237">
        <f t="shared" si="220"/>
        <v>1</v>
      </c>
      <c r="BM156" s="239">
        <f t="shared" si="221"/>
        <v>7.4196428571428568</v>
      </c>
      <c r="BN156" s="240">
        <f t="shared" si="222"/>
        <v>11</v>
      </c>
      <c r="BO156" s="271">
        <v>6</v>
      </c>
      <c r="BP156" s="272">
        <v>1.75</v>
      </c>
      <c r="BQ156" s="140"/>
      <c r="BR156" s="228">
        <f t="shared" si="223"/>
        <v>3.875</v>
      </c>
      <c r="BS156" s="229">
        <f t="shared" si="224"/>
        <v>0</v>
      </c>
      <c r="BT156" s="241">
        <v>13</v>
      </c>
      <c r="BU156" s="242">
        <v>4</v>
      </c>
      <c r="BV156" s="285"/>
      <c r="BW156" s="228">
        <f t="shared" si="225"/>
        <v>8.5</v>
      </c>
      <c r="BX156" s="229">
        <f t="shared" si="226"/>
        <v>0</v>
      </c>
      <c r="BY156" s="241">
        <v>6</v>
      </c>
      <c r="BZ156" s="242">
        <v>0</v>
      </c>
      <c r="CA156" s="285"/>
      <c r="CB156" s="228">
        <f t="shared" si="227"/>
        <v>3</v>
      </c>
      <c r="CC156" s="229">
        <f t="shared" si="228"/>
        <v>0</v>
      </c>
      <c r="CD156" s="297">
        <f t="shared" si="229"/>
        <v>5.55</v>
      </c>
      <c r="CE156" s="233">
        <f t="shared" si="230"/>
        <v>0</v>
      </c>
      <c r="CF156" s="241">
        <v>3</v>
      </c>
      <c r="CG156" s="242">
        <v>6.25</v>
      </c>
      <c r="CH156" s="285"/>
      <c r="CI156" s="228">
        <f t="shared" si="231"/>
        <v>4.625</v>
      </c>
      <c r="CJ156" s="229">
        <f t="shared" si="232"/>
        <v>0</v>
      </c>
      <c r="CK156" s="230">
        <v>13</v>
      </c>
      <c r="CL156" s="231">
        <v>4</v>
      </c>
      <c r="CM156" s="285"/>
      <c r="CN156" s="228">
        <f t="shared" si="233"/>
        <v>8.5</v>
      </c>
      <c r="CO156" s="229">
        <f t="shared" si="234"/>
        <v>0</v>
      </c>
      <c r="CP156" s="232">
        <f t="shared" si="235"/>
        <v>6.5625</v>
      </c>
      <c r="CQ156" s="233">
        <f t="shared" si="236"/>
        <v>0</v>
      </c>
      <c r="CR156" s="230">
        <v>10.5</v>
      </c>
      <c r="CS156" s="231">
        <v>4</v>
      </c>
      <c r="CT156" s="285"/>
      <c r="CU156" s="228">
        <f t="shared" si="237"/>
        <v>7.25</v>
      </c>
      <c r="CV156" s="229">
        <f t="shared" si="238"/>
        <v>0</v>
      </c>
      <c r="CW156" s="232">
        <f t="shared" si="239"/>
        <v>7.25</v>
      </c>
      <c r="CX156" s="233">
        <f t="shared" si="240"/>
        <v>0</v>
      </c>
      <c r="CY156" s="231">
        <v>6</v>
      </c>
      <c r="CZ156" s="285"/>
      <c r="DA156" s="234">
        <f t="shared" si="241"/>
        <v>6</v>
      </c>
      <c r="DB156" s="235">
        <f t="shared" si="242"/>
        <v>0</v>
      </c>
      <c r="DC156" s="232">
        <f t="shared" si="243"/>
        <v>6</v>
      </c>
      <c r="DD156" s="233">
        <f t="shared" si="244"/>
        <v>0</v>
      </c>
      <c r="DE156" s="65">
        <f t="shared" si="245"/>
        <v>6.208333333333333</v>
      </c>
      <c r="DF156" s="66">
        <f t="shared" si="246"/>
        <v>0</v>
      </c>
      <c r="DG156" s="31">
        <f t="shared" si="186"/>
        <v>7.4196428571428568</v>
      </c>
      <c r="DH156" s="32">
        <f t="shared" si="187"/>
        <v>11</v>
      </c>
      <c r="DI156" s="33">
        <f t="shared" si="188"/>
        <v>6.208333333333333</v>
      </c>
      <c r="DJ156" s="34">
        <f t="shared" si="189"/>
        <v>0</v>
      </c>
      <c r="DK156" s="67">
        <f t="shared" si="190"/>
        <v>6.8139880952380949</v>
      </c>
      <c r="DL156" s="35">
        <f t="shared" si="191"/>
        <v>11</v>
      </c>
      <c r="DM156" s="59">
        <f t="shared" si="192"/>
        <v>41</v>
      </c>
      <c r="DN156" s="43" t="str">
        <f t="shared" si="248"/>
        <v>راسب(ة)</v>
      </c>
      <c r="DO156" s="44"/>
      <c r="DP156" s="50"/>
      <c r="DQ156" s="46"/>
    </row>
    <row r="157" spans="1:121" s="37" customFormat="1" ht="32.25" customHeight="1" thickBot="1">
      <c r="A157" s="49"/>
      <c r="B157" s="1">
        <f t="shared" si="247"/>
        <v>8</v>
      </c>
      <c r="C157" s="249" t="s">
        <v>300</v>
      </c>
      <c r="D157" s="249" t="s">
        <v>301</v>
      </c>
      <c r="E157" s="47" t="s">
        <v>471</v>
      </c>
      <c r="F157" s="135">
        <v>34963</v>
      </c>
      <c r="G157" s="136" t="s">
        <v>110</v>
      </c>
      <c r="H157" s="131">
        <v>10.14</v>
      </c>
      <c r="I157" s="132">
        <v>30</v>
      </c>
      <c r="J157" s="133">
        <v>10.07</v>
      </c>
      <c r="K157" s="134">
        <v>30</v>
      </c>
      <c r="L157" s="53">
        <f t="shared" si="193"/>
        <v>10.105</v>
      </c>
      <c r="M157" s="58">
        <f t="shared" si="194"/>
        <v>60</v>
      </c>
      <c r="N157" s="222">
        <v>13</v>
      </c>
      <c r="O157" s="223">
        <v>0</v>
      </c>
      <c r="P157" s="140"/>
      <c r="Q157" s="228">
        <f t="shared" si="195"/>
        <v>6.5</v>
      </c>
      <c r="R157" s="229">
        <f t="shared" si="196"/>
        <v>0</v>
      </c>
      <c r="S157" s="241">
        <v>11.5</v>
      </c>
      <c r="T157" s="242">
        <v>8.75</v>
      </c>
      <c r="U157" s="285"/>
      <c r="V157" s="228">
        <f t="shared" si="197"/>
        <v>10.125</v>
      </c>
      <c r="W157" s="229">
        <f t="shared" si="198"/>
        <v>6</v>
      </c>
      <c r="X157" s="245">
        <v>11</v>
      </c>
      <c r="Y157" s="246">
        <v>11</v>
      </c>
      <c r="Z157" s="285"/>
      <c r="AA157" s="228">
        <f t="shared" si="199"/>
        <v>11</v>
      </c>
      <c r="AB157" s="229">
        <f t="shared" si="200"/>
        <v>6</v>
      </c>
      <c r="AC157" s="232">
        <f t="shared" si="201"/>
        <v>9.2083333333333339</v>
      </c>
      <c r="AD157" s="233">
        <f t="shared" si="202"/>
        <v>12</v>
      </c>
      <c r="AE157" s="242">
        <v>7</v>
      </c>
      <c r="AF157" s="285"/>
      <c r="AG157" s="234">
        <f t="shared" si="203"/>
        <v>7</v>
      </c>
      <c r="AH157" s="235">
        <f t="shared" si="204"/>
        <v>0</v>
      </c>
      <c r="AI157" s="241">
        <v>15.25</v>
      </c>
      <c r="AJ157" s="242">
        <v>15.25</v>
      </c>
      <c r="AK157" s="285"/>
      <c r="AL157" s="228">
        <f t="shared" si="205"/>
        <v>15.25</v>
      </c>
      <c r="AM157" s="229">
        <f t="shared" si="206"/>
        <v>3</v>
      </c>
      <c r="AN157" s="241">
        <v>7.75</v>
      </c>
      <c r="AO157" s="242">
        <v>7.75</v>
      </c>
      <c r="AP157" s="285"/>
      <c r="AQ157" s="228">
        <f t="shared" si="207"/>
        <v>7.75</v>
      </c>
      <c r="AR157" s="229">
        <f t="shared" si="208"/>
        <v>0</v>
      </c>
      <c r="AS157" s="236">
        <f t="shared" si="209"/>
        <v>10.6</v>
      </c>
      <c r="AT157" s="237">
        <f t="shared" si="210"/>
        <v>7</v>
      </c>
      <c r="AU157" s="241">
        <v>1</v>
      </c>
      <c r="AV157" s="242">
        <v>1</v>
      </c>
      <c r="AW157" s="285">
        <v>8</v>
      </c>
      <c r="AX157" s="228">
        <f t="shared" si="211"/>
        <v>4.5</v>
      </c>
      <c r="AY157" s="229">
        <f t="shared" si="212"/>
        <v>0</v>
      </c>
      <c r="AZ157" s="242">
        <v>3</v>
      </c>
      <c r="BA157" s="285"/>
      <c r="BB157" s="234">
        <f t="shared" si="213"/>
        <v>3</v>
      </c>
      <c r="BC157" s="235">
        <f t="shared" si="214"/>
        <v>0</v>
      </c>
      <c r="BD157" s="236">
        <f t="shared" si="215"/>
        <v>3.75</v>
      </c>
      <c r="BE157" s="237">
        <f t="shared" si="216"/>
        <v>0</v>
      </c>
      <c r="BF157" s="245">
        <v>10.5</v>
      </c>
      <c r="BG157" s="246">
        <v>10.5</v>
      </c>
      <c r="BH157" s="285"/>
      <c r="BI157" s="228">
        <f t="shared" si="217"/>
        <v>10.5</v>
      </c>
      <c r="BJ157" s="229">
        <f t="shared" si="218"/>
        <v>1</v>
      </c>
      <c r="BK157" s="236">
        <f t="shared" si="219"/>
        <v>10.5</v>
      </c>
      <c r="BL157" s="237">
        <f t="shared" si="220"/>
        <v>1</v>
      </c>
      <c r="BM157" s="239">
        <f t="shared" si="221"/>
        <v>9.0178571428571423</v>
      </c>
      <c r="BN157" s="240">
        <f t="shared" si="222"/>
        <v>20</v>
      </c>
      <c r="BO157" s="271">
        <v>11.75</v>
      </c>
      <c r="BP157" s="272">
        <v>5</v>
      </c>
      <c r="BQ157" s="140"/>
      <c r="BR157" s="228">
        <f t="shared" si="223"/>
        <v>8.375</v>
      </c>
      <c r="BS157" s="229">
        <f t="shared" si="224"/>
        <v>0</v>
      </c>
      <c r="BT157" s="241">
        <v>15</v>
      </c>
      <c r="BU157" s="242">
        <v>5</v>
      </c>
      <c r="BV157" s="285"/>
      <c r="BW157" s="228">
        <f t="shared" si="225"/>
        <v>10</v>
      </c>
      <c r="BX157" s="229">
        <f t="shared" si="226"/>
        <v>6</v>
      </c>
      <c r="BY157" s="241">
        <v>12</v>
      </c>
      <c r="BZ157" s="242">
        <v>5</v>
      </c>
      <c r="CA157" s="285"/>
      <c r="CB157" s="228">
        <f t="shared" si="227"/>
        <v>8.5</v>
      </c>
      <c r="CC157" s="229">
        <f t="shared" si="228"/>
        <v>0</v>
      </c>
      <c r="CD157" s="297">
        <f t="shared" si="229"/>
        <v>9.0500000000000007</v>
      </c>
      <c r="CE157" s="233">
        <f t="shared" si="230"/>
        <v>6</v>
      </c>
      <c r="CF157" s="241">
        <v>7</v>
      </c>
      <c r="CG157" s="242">
        <v>7.5</v>
      </c>
      <c r="CH157" s="285"/>
      <c r="CI157" s="228">
        <f t="shared" si="231"/>
        <v>7.25</v>
      </c>
      <c r="CJ157" s="229">
        <f t="shared" si="232"/>
        <v>0</v>
      </c>
      <c r="CK157" s="230">
        <v>10</v>
      </c>
      <c r="CL157" s="231">
        <v>10</v>
      </c>
      <c r="CM157" s="285"/>
      <c r="CN157" s="228">
        <f t="shared" si="233"/>
        <v>10</v>
      </c>
      <c r="CO157" s="229">
        <f t="shared" si="234"/>
        <v>5</v>
      </c>
      <c r="CP157" s="232">
        <f t="shared" si="235"/>
        <v>8.625</v>
      </c>
      <c r="CQ157" s="233">
        <f t="shared" si="236"/>
        <v>5</v>
      </c>
      <c r="CR157" s="230">
        <v>15</v>
      </c>
      <c r="CS157" s="231">
        <v>4.25</v>
      </c>
      <c r="CT157" s="285"/>
      <c r="CU157" s="228">
        <f t="shared" si="237"/>
        <v>9.625</v>
      </c>
      <c r="CV157" s="229">
        <f t="shared" si="238"/>
        <v>0</v>
      </c>
      <c r="CW157" s="232">
        <f t="shared" si="239"/>
        <v>9.625</v>
      </c>
      <c r="CX157" s="233">
        <f t="shared" si="240"/>
        <v>0</v>
      </c>
      <c r="CY157" s="231">
        <v>5</v>
      </c>
      <c r="CZ157" s="285">
        <v>10</v>
      </c>
      <c r="DA157" s="234">
        <f t="shared" si="241"/>
        <v>10</v>
      </c>
      <c r="DB157" s="235">
        <f t="shared" si="242"/>
        <v>1</v>
      </c>
      <c r="DC157" s="232">
        <f t="shared" si="243"/>
        <v>10</v>
      </c>
      <c r="DD157" s="233">
        <f t="shared" si="244"/>
        <v>1</v>
      </c>
      <c r="DE157" s="65">
        <f t="shared" si="245"/>
        <v>9.0833333333333339</v>
      </c>
      <c r="DF157" s="66">
        <f t="shared" si="246"/>
        <v>12</v>
      </c>
      <c r="DG157" s="31">
        <f t="shared" si="186"/>
        <v>9.0178571428571423</v>
      </c>
      <c r="DH157" s="32">
        <f t="shared" si="187"/>
        <v>20</v>
      </c>
      <c r="DI157" s="33">
        <f t="shared" si="188"/>
        <v>9.0833333333333339</v>
      </c>
      <c r="DJ157" s="34">
        <f t="shared" si="189"/>
        <v>12</v>
      </c>
      <c r="DK157" s="67">
        <f t="shared" si="190"/>
        <v>9.0505952380952372</v>
      </c>
      <c r="DL157" s="35">
        <f t="shared" si="191"/>
        <v>32</v>
      </c>
      <c r="DM157" s="59">
        <f t="shared" si="192"/>
        <v>92</v>
      </c>
      <c r="DN157" s="43" t="str">
        <f t="shared" si="248"/>
        <v>ناجح(ة)بتأخير</v>
      </c>
      <c r="DO157" s="44"/>
      <c r="DP157" s="50"/>
      <c r="DQ157" s="46"/>
    </row>
    <row r="158" spans="1:121" s="37" customFormat="1" ht="32.25" customHeight="1" thickBot="1">
      <c r="A158" s="49"/>
      <c r="B158" s="1">
        <f t="shared" si="247"/>
        <v>9</v>
      </c>
      <c r="C158" s="249" t="s">
        <v>302</v>
      </c>
      <c r="D158" s="249" t="s">
        <v>303</v>
      </c>
      <c r="E158" s="47" t="s">
        <v>472</v>
      </c>
      <c r="F158" s="135">
        <v>34907</v>
      </c>
      <c r="G158" s="136" t="s">
        <v>110</v>
      </c>
      <c r="H158" s="131">
        <v>6.34</v>
      </c>
      <c r="I158" s="132">
        <v>16</v>
      </c>
      <c r="J158" s="133">
        <v>5.52</v>
      </c>
      <c r="K158" s="134">
        <v>15</v>
      </c>
      <c r="L158" s="53">
        <f t="shared" si="193"/>
        <v>5.93</v>
      </c>
      <c r="M158" s="58">
        <f t="shared" si="194"/>
        <v>31</v>
      </c>
      <c r="N158" s="224"/>
      <c r="O158" s="225"/>
      <c r="P158" s="140"/>
      <c r="Q158" s="228">
        <f t="shared" si="195"/>
        <v>0</v>
      </c>
      <c r="R158" s="229">
        <f t="shared" si="196"/>
        <v>0</v>
      </c>
      <c r="S158" s="247"/>
      <c r="T158" s="248"/>
      <c r="U158" s="285"/>
      <c r="V158" s="228">
        <f t="shared" si="197"/>
        <v>0</v>
      </c>
      <c r="W158" s="229">
        <f t="shared" si="198"/>
        <v>0</v>
      </c>
      <c r="X158" s="241"/>
      <c r="Y158" s="242"/>
      <c r="Z158" s="285"/>
      <c r="AA158" s="228">
        <f t="shared" si="199"/>
        <v>0</v>
      </c>
      <c r="AB158" s="229">
        <f t="shared" si="200"/>
        <v>0</v>
      </c>
      <c r="AC158" s="232">
        <f t="shared" si="201"/>
        <v>0</v>
      </c>
      <c r="AD158" s="233">
        <f t="shared" si="202"/>
        <v>0</v>
      </c>
      <c r="AE158" s="248"/>
      <c r="AF158" s="285"/>
      <c r="AG158" s="234">
        <f t="shared" si="203"/>
        <v>0</v>
      </c>
      <c r="AH158" s="235">
        <f t="shared" si="204"/>
        <v>0</v>
      </c>
      <c r="AI158" s="247"/>
      <c r="AJ158" s="248"/>
      <c r="AK158" s="285"/>
      <c r="AL158" s="228">
        <f t="shared" si="205"/>
        <v>0</v>
      </c>
      <c r="AM158" s="229">
        <f t="shared" si="206"/>
        <v>0</v>
      </c>
      <c r="AN158" s="247"/>
      <c r="AO158" s="248"/>
      <c r="AP158" s="285"/>
      <c r="AQ158" s="228">
        <f t="shared" si="207"/>
        <v>0</v>
      </c>
      <c r="AR158" s="229">
        <f t="shared" si="208"/>
        <v>0</v>
      </c>
      <c r="AS158" s="236">
        <f t="shared" si="209"/>
        <v>0</v>
      </c>
      <c r="AT158" s="237">
        <f t="shared" si="210"/>
        <v>0</v>
      </c>
      <c r="AU158" s="247"/>
      <c r="AV158" s="248"/>
      <c r="AW158" s="285"/>
      <c r="AX158" s="228">
        <f t="shared" si="211"/>
        <v>0</v>
      </c>
      <c r="AY158" s="229">
        <f t="shared" si="212"/>
        <v>0</v>
      </c>
      <c r="AZ158" s="248"/>
      <c r="BA158" s="285"/>
      <c r="BB158" s="234">
        <f t="shared" si="213"/>
        <v>0</v>
      </c>
      <c r="BC158" s="235">
        <f t="shared" si="214"/>
        <v>0</v>
      </c>
      <c r="BD158" s="236">
        <f t="shared" si="215"/>
        <v>0</v>
      </c>
      <c r="BE158" s="237">
        <f t="shared" si="216"/>
        <v>0</v>
      </c>
      <c r="BF158" s="247"/>
      <c r="BG158" s="248"/>
      <c r="BH158" s="285"/>
      <c r="BI158" s="228">
        <f t="shared" si="217"/>
        <v>0</v>
      </c>
      <c r="BJ158" s="229">
        <f t="shared" si="218"/>
        <v>0</v>
      </c>
      <c r="BK158" s="236">
        <f t="shared" si="219"/>
        <v>0</v>
      </c>
      <c r="BL158" s="237">
        <f t="shared" si="220"/>
        <v>0</v>
      </c>
      <c r="BM158" s="239">
        <f t="shared" si="221"/>
        <v>0</v>
      </c>
      <c r="BN158" s="240">
        <f t="shared" si="222"/>
        <v>0</v>
      </c>
      <c r="BO158" s="273"/>
      <c r="BP158" s="274"/>
      <c r="BQ158" s="140"/>
      <c r="BR158" s="228">
        <f t="shared" si="223"/>
        <v>0</v>
      </c>
      <c r="BS158" s="229">
        <f t="shared" si="224"/>
        <v>0</v>
      </c>
      <c r="BT158" s="241"/>
      <c r="BU158" s="242"/>
      <c r="BV158" s="285"/>
      <c r="BW158" s="228">
        <f t="shared" si="225"/>
        <v>0</v>
      </c>
      <c r="BX158" s="229">
        <f t="shared" si="226"/>
        <v>0</v>
      </c>
      <c r="BY158" s="241"/>
      <c r="BZ158" s="242"/>
      <c r="CA158" s="285"/>
      <c r="CB158" s="228">
        <f t="shared" si="227"/>
        <v>0</v>
      </c>
      <c r="CC158" s="229">
        <f t="shared" si="228"/>
        <v>0</v>
      </c>
      <c r="CD158" s="297">
        <f t="shared" si="229"/>
        <v>0</v>
      </c>
      <c r="CE158" s="233">
        <f t="shared" si="230"/>
        <v>0</v>
      </c>
      <c r="CF158" s="241">
        <v>0</v>
      </c>
      <c r="CG158" s="242"/>
      <c r="CH158" s="285"/>
      <c r="CI158" s="228">
        <f t="shared" si="231"/>
        <v>0</v>
      </c>
      <c r="CJ158" s="229">
        <f t="shared" si="232"/>
        <v>0</v>
      </c>
      <c r="CK158" s="230"/>
      <c r="CL158" s="231"/>
      <c r="CM158" s="285"/>
      <c r="CN158" s="228">
        <f t="shared" si="233"/>
        <v>0</v>
      </c>
      <c r="CO158" s="229">
        <f t="shared" si="234"/>
        <v>0</v>
      </c>
      <c r="CP158" s="232">
        <f t="shared" si="235"/>
        <v>0</v>
      </c>
      <c r="CQ158" s="233">
        <f t="shared" si="236"/>
        <v>0</v>
      </c>
      <c r="CR158" s="230"/>
      <c r="CS158" s="231"/>
      <c r="CT158" s="285"/>
      <c r="CU158" s="228">
        <f t="shared" si="237"/>
        <v>0</v>
      </c>
      <c r="CV158" s="229">
        <f t="shared" si="238"/>
        <v>0</v>
      </c>
      <c r="CW158" s="232">
        <f t="shared" si="239"/>
        <v>0</v>
      </c>
      <c r="CX158" s="233">
        <f t="shared" si="240"/>
        <v>0</v>
      </c>
      <c r="CY158" s="231"/>
      <c r="CZ158" s="285"/>
      <c r="DA158" s="234">
        <f t="shared" si="241"/>
        <v>0</v>
      </c>
      <c r="DB158" s="235">
        <f t="shared" si="242"/>
        <v>0</v>
      </c>
      <c r="DC158" s="232">
        <f t="shared" si="243"/>
        <v>0</v>
      </c>
      <c r="DD158" s="233">
        <f t="shared" si="244"/>
        <v>0</v>
      </c>
      <c r="DE158" s="65">
        <f t="shared" si="245"/>
        <v>0</v>
      </c>
      <c r="DF158" s="66">
        <f t="shared" si="246"/>
        <v>0</v>
      </c>
      <c r="DG158" s="31">
        <f t="shared" si="186"/>
        <v>0</v>
      </c>
      <c r="DH158" s="32">
        <f t="shared" si="187"/>
        <v>0</v>
      </c>
      <c r="DI158" s="33">
        <f t="shared" si="188"/>
        <v>0</v>
      </c>
      <c r="DJ158" s="34">
        <f t="shared" si="189"/>
        <v>0</v>
      </c>
      <c r="DK158" s="67">
        <f t="shared" si="190"/>
        <v>0</v>
      </c>
      <c r="DL158" s="35">
        <f t="shared" si="191"/>
        <v>0</v>
      </c>
      <c r="DM158" s="59">
        <f t="shared" si="192"/>
        <v>31</v>
      </c>
      <c r="DN158" s="43" t="s">
        <v>507</v>
      </c>
      <c r="DO158" s="44"/>
      <c r="DP158" s="50"/>
      <c r="DQ158" s="46"/>
    </row>
    <row r="159" spans="1:121" s="37" customFormat="1" ht="32.25" customHeight="1" thickBot="1">
      <c r="A159" s="49"/>
      <c r="B159" s="1">
        <f t="shared" si="247"/>
        <v>10</v>
      </c>
      <c r="C159" s="249" t="s">
        <v>304</v>
      </c>
      <c r="D159" s="249" t="s">
        <v>305</v>
      </c>
      <c r="E159" s="47" t="s">
        <v>473</v>
      </c>
      <c r="F159" s="135">
        <v>35321</v>
      </c>
      <c r="G159" s="136" t="s">
        <v>110</v>
      </c>
      <c r="H159" s="131">
        <v>6.91</v>
      </c>
      <c r="I159" s="132">
        <v>17</v>
      </c>
      <c r="J159" s="133">
        <v>8.27</v>
      </c>
      <c r="K159" s="134">
        <v>19</v>
      </c>
      <c r="L159" s="53">
        <f t="shared" si="193"/>
        <v>7.59</v>
      </c>
      <c r="M159" s="58">
        <f t="shared" si="194"/>
        <v>36</v>
      </c>
      <c r="N159" s="222">
        <v>13</v>
      </c>
      <c r="O159" s="223">
        <v>8</v>
      </c>
      <c r="P159" s="140"/>
      <c r="Q159" s="228">
        <f t="shared" si="195"/>
        <v>10.5</v>
      </c>
      <c r="R159" s="229">
        <f t="shared" si="196"/>
        <v>5</v>
      </c>
      <c r="S159" s="241">
        <v>12.5</v>
      </c>
      <c r="T159" s="242">
        <v>3.5</v>
      </c>
      <c r="U159" s="285"/>
      <c r="V159" s="228">
        <f t="shared" si="197"/>
        <v>8</v>
      </c>
      <c r="W159" s="229">
        <f t="shared" si="198"/>
        <v>0</v>
      </c>
      <c r="X159" s="241">
        <v>13.5</v>
      </c>
      <c r="Y159" s="242">
        <v>7</v>
      </c>
      <c r="Z159" s="285"/>
      <c r="AA159" s="228">
        <f t="shared" si="199"/>
        <v>10.25</v>
      </c>
      <c r="AB159" s="229">
        <f t="shared" si="200"/>
        <v>6</v>
      </c>
      <c r="AC159" s="232">
        <f t="shared" si="201"/>
        <v>9.5833333333333339</v>
      </c>
      <c r="AD159" s="233">
        <f t="shared" si="202"/>
        <v>11</v>
      </c>
      <c r="AE159" s="242">
        <v>9</v>
      </c>
      <c r="AF159" s="285"/>
      <c r="AG159" s="234">
        <f t="shared" si="203"/>
        <v>9</v>
      </c>
      <c r="AH159" s="235">
        <f t="shared" si="204"/>
        <v>0</v>
      </c>
      <c r="AI159" s="241">
        <v>9.25</v>
      </c>
      <c r="AJ159" s="242">
        <v>9.25</v>
      </c>
      <c r="AK159" s="285"/>
      <c r="AL159" s="228">
        <f t="shared" si="205"/>
        <v>9.25</v>
      </c>
      <c r="AM159" s="229">
        <f t="shared" si="206"/>
        <v>0</v>
      </c>
      <c r="AN159" s="241">
        <v>8.5</v>
      </c>
      <c r="AO159" s="242">
        <v>5</v>
      </c>
      <c r="AP159" s="285"/>
      <c r="AQ159" s="228">
        <f t="shared" si="207"/>
        <v>6.75</v>
      </c>
      <c r="AR159" s="229">
        <f t="shared" si="208"/>
        <v>0</v>
      </c>
      <c r="AS159" s="236">
        <f t="shared" si="209"/>
        <v>8.1999999999999993</v>
      </c>
      <c r="AT159" s="237">
        <f t="shared" si="210"/>
        <v>0</v>
      </c>
      <c r="AU159" s="241">
        <v>5</v>
      </c>
      <c r="AV159" s="242">
        <v>8</v>
      </c>
      <c r="AW159" s="285"/>
      <c r="AX159" s="228">
        <f t="shared" si="211"/>
        <v>6.5</v>
      </c>
      <c r="AY159" s="229">
        <f t="shared" si="212"/>
        <v>0</v>
      </c>
      <c r="AZ159" s="242">
        <v>18</v>
      </c>
      <c r="BA159" s="285"/>
      <c r="BB159" s="234">
        <f t="shared" si="213"/>
        <v>18</v>
      </c>
      <c r="BC159" s="235">
        <f t="shared" si="214"/>
        <v>1</v>
      </c>
      <c r="BD159" s="236">
        <f t="shared" si="215"/>
        <v>12.25</v>
      </c>
      <c r="BE159" s="237">
        <f t="shared" si="216"/>
        <v>5</v>
      </c>
      <c r="BF159" s="241">
        <v>16.5</v>
      </c>
      <c r="BG159" s="242">
        <v>15</v>
      </c>
      <c r="BH159" s="285"/>
      <c r="BI159" s="228">
        <f t="shared" si="217"/>
        <v>15.75</v>
      </c>
      <c r="BJ159" s="229">
        <f t="shared" si="218"/>
        <v>1</v>
      </c>
      <c r="BK159" s="236">
        <f t="shared" si="219"/>
        <v>15.75</v>
      </c>
      <c r="BL159" s="237">
        <f t="shared" si="220"/>
        <v>1</v>
      </c>
      <c r="BM159" s="239">
        <f t="shared" si="221"/>
        <v>9.9107142857142865</v>
      </c>
      <c r="BN159" s="240">
        <f t="shared" si="222"/>
        <v>17</v>
      </c>
      <c r="BO159" s="271">
        <v>14</v>
      </c>
      <c r="BP159" s="272">
        <v>4.5</v>
      </c>
      <c r="BQ159" s="140"/>
      <c r="BR159" s="228">
        <f t="shared" si="223"/>
        <v>9.25</v>
      </c>
      <c r="BS159" s="229">
        <f t="shared" si="224"/>
        <v>0</v>
      </c>
      <c r="BT159" s="241">
        <v>15.5</v>
      </c>
      <c r="BU159" s="242">
        <v>6.5</v>
      </c>
      <c r="BV159" s="285"/>
      <c r="BW159" s="228">
        <f t="shared" si="225"/>
        <v>11</v>
      </c>
      <c r="BX159" s="229">
        <f t="shared" si="226"/>
        <v>6</v>
      </c>
      <c r="BY159" s="241">
        <v>9</v>
      </c>
      <c r="BZ159" s="242">
        <v>5.25</v>
      </c>
      <c r="CA159" s="285"/>
      <c r="CB159" s="228">
        <f t="shared" si="227"/>
        <v>7.125</v>
      </c>
      <c r="CC159" s="229">
        <f t="shared" si="228"/>
        <v>0</v>
      </c>
      <c r="CD159" s="297">
        <f t="shared" si="229"/>
        <v>9.5250000000000004</v>
      </c>
      <c r="CE159" s="233">
        <f t="shared" si="230"/>
        <v>6</v>
      </c>
      <c r="CF159" s="241">
        <v>11</v>
      </c>
      <c r="CG159" s="242">
        <v>11.5</v>
      </c>
      <c r="CH159" s="285"/>
      <c r="CI159" s="228">
        <f t="shared" si="231"/>
        <v>11.25</v>
      </c>
      <c r="CJ159" s="229">
        <f t="shared" si="232"/>
        <v>5</v>
      </c>
      <c r="CK159" s="230">
        <v>12</v>
      </c>
      <c r="CL159" s="231">
        <v>5.5</v>
      </c>
      <c r="CM159" s="285"/>
      <c r="CN159" s="228">
        <f t="shared" si="233"/>
        <v>8.75</v>
      </c>
      <c r="CO159" s="229">
        <f t="shared" si="234"/>
        <v>0</v>
      </c>
      <c r="CP159" s="232">
        <f t="shared" si="235"/>
        <v>10</v>
      </c>
      <c r="CQ159" s="233">
        <f t="shared" si="236"/>
        <v>10</v>
      </c>
      <c r="CR159" s="230">
        <v>14</v>
      </c>
      <c r="CS159" s="231">
        <v>8.5</v>
      </c>
      <c r="CT159" s="285"/>
      <c r="CU159" s="228">
        <f t="shared" si="237"/>
        <v>11.25</v>
      </c>
      <c r="CV159" s="229">
        <f t="shared" si="238"/>
        <v>3</v>
      </c>
      <c r="CW159" s="232">
        <f t="shared" si="239"/>
        <v>11.25</v>
      </c>
      <c r="CX159" s="233">
        <f t="shared" si="240"/>
        <v>3</v>
      </c>
      <c r="CY159" s="231">
        <v>11</v>
      </c>
      <c r="CZ159" s="285"/>
      <c r="DA159" s="234">
        <f t="shared" si="241"/>
        <v>11</v>
      </c>
      <c r="DB159" s="235">
        <f t="shared" si="242"/>
        <v>1</v>
      </c>
      <c r="DC159" s="232">
        <f t="shared" si="243"/>
        <v>11</v>
      </c>
      <c r="DD159" s="233">
        <f t="shared" si="244"/>
        <v>1</v>
      </c>
      <c r="DE159" s="65">
        <f t="shared" si="245"/>
        <v>10.09375</v>
      </c>
      <c r="DF159" s="66">
        <f t="shared" si="246"/>
        <v>30</v>
      </c>
      <c r="DG159" s="31">
        <f t="shared" si="186"/>
        <v>9.9107142857142865</v>
      </c>
      <c r="DH159" s="32">
        <f t="shared" si="187"/>
        <v>30</v>
      </c>
      <c r="DI159" s="33">
        <f t="shared" si="188"/>
        <v>10.09375</v>
      </c>
      <c r="DJ159" s="34">
        <f t="shared" si="189"/>
        <v>30</v>
      </c>
      <c r="DK159" s="67">
        <f t="shared" si="190"/>
        <v>10.002232142857142</v>
      </c>
      <c r="DL159" s="35">
        <f t="shared" si="191"/>
        <v>60</v>
      </c>
      <c r="DM159" s="59">
        <f t="shared" si="192"/>
        <v>96</v>
      </c>
      <c r="DN159" s="43" t="str">
        <f t="shared" si="248"/>
        <v>ناجح(ة)بتأخير</v>
      </c>
      <c r="DO159" s="44"/>
      <c r="DP159" s="50"/>
      <c r="DQ159" s="46"/>
    </row>
    <row r="160" spans="1:121" s="37" customFormat="1" ht="32.25" customHeight="1" thickBot="1">
      <c r="A160" s="49"/>
      <c r="B160" s="1">
        <f t="shared" si="247"/>
        <v>11</v>
      </c>
      <c r="C160" s="249" t="s">
        <v>262</v>
      </c>
      <c r="D160" s="249" t="s">
        <v>306</v>
      </c>
      <c r="E160" s="47" t="s">
        <v>474</v>
      </c>
      <c r="F160" s="135">
        <v>35479</v>
      </c>
      <c r="G160" s="136" t="s">
        <v>442</v>
      </c>
      <c r="H160" s="131">
        <v>10.33</v>
      </c>
      <c r="I160" s="132">
        <v>30</v>
      </c>
      <c r="J160" s="133">
        <v>7.45</v>
      </c>
      <c r="K160" s="134">
        <v>16</v>
      </c>
      <c r="L160" s="53">
        <f t="shared" si="193"/>
        <v>8.89</v>
      </c>
      <c r="M160" s="58">
        <f t="shared" si="194"/>
        <v>46</v>
      </c>
      <c r="N160" s="222">
        <v>12.5</v>
      </c>
      <c r="O160" s="223">
        <v>12.5</v>
      </c>
      <c r="P160" s="140"/>
      <c r="Q160" s="228">
        <f t="shared" si="195"/>
        <v>12.5</v>
      </c>
      <c r="R160" s="229">
        <f t="shared" si="196"/>
        <v>5</v>
      </c>
      <c r="S160" s="241">
        <v>8.5</v>
      </c>
      <c r="T160" s="242">
        <v>8.5</v>
      </c>
      <c r="U160" s="285"/>
      <c r="V160" s="228">
        <f t="shared" si="197"/>
        <v>8.5</v>
      </c>
      <c r="W160" s="229">
        <f t="shared" si="198"/>
        <v>0</v>
      </c>
      <c r="X160" s="245">
        <v>9.75</v>
      </c>
      <c r="Y160" s="246">
        <v>9.75</v>
      </c>
      <c r="Z160" s="285"/>
      <c r="AA160" s="228">
        <f t="shared" si="199"/>
        <v>9.75</v>
      </c>
      <c r="AB160" s="229">
        <f t="shared" si="200"/>
        <v>0</v>
      </c>
      <c r="AC160" s="232">
        <f t="shared" si="201"/>
        <v>10.25</v>
      </c>
      <c r="AD160" s="233">
        <f t="shared" si="202"/>
        <v>17</v>
      </c>
      <c r="AE160" s="242">
        <v>10</v>
      </c>
      <c r="AF160" s="285"/>
      <c r="AG160" s="234">
        <f t="shared" si="203"/>
        <v>10</v>
      </c>
      <c r="AH160" s="235">
        <f t="shared" si="204"/>
        <v>1</v>
      </c>
      <c r="AI160" s="241">
        <v>0.25</v>
      </c>
      <c r="AJ160" s="242">
        <v>0.25</v>
      </c>
      <c r="AK160" s="285"/>
      <c r="AL160" s="228">
        <f t="shared" si="205"/>
        <v>0.25</v>
      </c>
      <c r="AM160" s="229">
        <f t="shared" si="206"/>
        <v>0</v>
      </c>
      <c r="AN160" s="241">
        <v>10</v>
      </c>
      <c r="AO160" s="242">
        <v>0.5</v>
      </c>
      <c r="AP160" s="285"/>
      <c r="AQ160" s="228">
        <f t="shared" si="207"/>
        <v>5.25</v>
      </c>
      <c r="AR160" s="229">
        <f t="shared" si="208"/>
        <v>0</v>
      </c>
      <c r="AS160" s="236">
        <f t="shared" si="209"/>
        <v>4.2</v>
      </c>
      <c r="AT160" s="237">
        <f t="shared" si="210"/>
        <v>1</v>
      </c>
      <c r="AU160" s="241">
        <v>10</v>
      </c>
      <c r="AV160" s="242">
        <v>4</v>
      </c>
      <c r="AW160" s="285"/>
      <c r="AX160" s="228">
        <f t="shared" si="211"/>
        <v>7</v>
      </c>
      <c r="AY160" s="229">
        <f t="shared" si="212"/>
        <v>0</v>
      </c>
      <c r="AZ160" s="242">
        <v>10</v>
      </c>
      <c r="BA160" s="285"/>
      <c r="BB160" s="234">
        <f t="shared" si="213"/>
        <v>10</v>
      </c>
      <c r="BC160" s="235">
        <f t="shared" si="214"/>
        <v>1</v>
      </c>
      <c r="BD160" s="236">
        <f t="shared" si="215"/>
        <v>8.5</v>
      </c>
      <c r="BE160" s="237">
        <f t="shared" si="216"/>
        <v>1</v>
      </c>
      <c r="BF160" s="245">
        <v>10.88</v>
      </c>
      <c r="BG160" s="246">
        <v>10.88</v>
      </c>
      <c r="BH160" s="285"/>
      <c r="BI160" s="228">
        <f t="shared" si="217"/>
        <v>10.88</v>
      </c>
      <c r="BJ160" s="229">
        <f t="shared" si="218"/>
        <v>1</v>
      </c>
      <c r="BK160" s="236">
        <f t="shared" si="219"/>
        <v>10.88</v>
      </c>
      <c r="BL160" s="237">
        <f t="shared" si="220"/>
        <v>1</v>
      </c>
      <c r="BM160" s="239">
        <f t="shared" si="221"/>
        <v>7.8842857142857143</v>
      </c>
      <c r="BN160" s="240">
        <f t="shared" si="222"/>
        <v>20</v>
      </c>
      <c r="BO160" s="277">
        <v>14</v>
      </c>
      <c r="BP160" s="278">
        <v>0.5</v>
      </c>
      <c r="BQ160" s="284">
        <v>12</v>
      </c>
      <c r="BR160" s="228">
        <f t="shared" si="223"/>
        <v>13</v>
      </c>
      <c r="BS160" s="229">
        <f t="shared" si="224"/>
        <v>6</v>
      </c>
      <c r="BT160" s="252">
        <v>13.5</v>
      </c>
      <c r="BU160" s="253">
        <v>13.5</v>
      </c>
      <c r="BV160" s="305"/>
      <c r="BW160" s="228">
        <f t="shared" si="225"/>
        <v>13.5</v>
      </c>
      <c r="BX160" s="229">
        <f t="shared" si="226"/>
        <v>6</v>
      </c>
      <c r="BY160" s="252">
        <v>4.5</v>
      </c>
      <c r="BZ160" s="253">
        <v>9</v>
      </c>
      <c r="CA160" s="285"/>
      <c r="CB160" s="228">
        <f t="shared" si="227"/>
        <v>6.75</v>
      </c>
      <c r="CC160" s="229">
        <f t="shared" si="228"/>
        <v>0</v>
      </c>
      <c r="CD160" s="297">
        <f t="shared" si="229"/>
        <v>11.95</v>
      </c>
      <c r="CE160" s="233">
        <f t="shared" si="230"/>
        <v>16</v>
      </c>
      <c r="CF160" s="252">
        <v>11</v>
      </c>
      <c r="CG160" s="253">
        <v>11</v>
      </c>
      <c r="CH160" s="285"/>
      <c r="CI160" s="228">
        <f t="shared" si="231"/>
        <v>11</v>
      </c>
      <c r="CJ160" s="229">
        <f t="shared" si="232"/>
        <v>5</v>
      </c>
      <c r="CK160" s="230">
        <v>12</v>
      </c>
      <c r="CL160" s="231">
        <v>4</v>
      </c>
      <c r="CM160" s="285"/>
      <c r="CN160" s="228">
        <f t="shared" si="233"/>
        <v>8</v>
      </c>
      <c r="CO160" s="229">
        <f t="shared" si="234"/>
        <v>0</v>
      </c>
      <c r="CP160" s="232">
        <f t="shared" si="235"/>
        <v>9.5</v>
      </c>
      <c r="CQ160" s="233">
        <f t="shared" si="236"/>
        <v>5</v>
      </c>
      <c r="CR160" s="230">
        <v>10.5</v>
      </c>
      <c r="CS160" s="231">
        <v>10.5</v>
      </c>
      <c r="CT160" s="285"/>
      <c r="CU160" s="228">
        <f t="shared" si="237"/>
        <v>10.5</v>
      </c>
      <c r="CV160" s="229">
        <f t="shared" si="238"/>
        <v>3</v>
      </c>
      <c r="CW160" s="232">
        <f t="shared" si="239"/>
        <v>10.5</v>
      </c>
      <c r="CX160" s="233">
        <f t="shared" si="240"/>
        <v>3</v>
      </c>
      <c r="CY160" s="231">
        <v>11</v>
      </c>
      <c r="CZ160" s="285"/>
      <c r="DA160" s="234">
        <f t="shared" si="241"/>
        <v>11</v>
      </c>
      <c r="DB160" s="235">
        <f t="shared" si="242"/>
        <v>1</v>
      </c>
      <c r="DC160" s="232">
        <f t="shared" si="243"/>
        <v>11</v>
      </c>
      <c r="DD160" s="233">
        <f t="shared" si="244"/>
        <v>1</v>
      </c>
      <c r="DE160" s="65">
        <f t="shared" si="245"/>
        <v>10.8125</v>
      </c>
      <c r="DF160" s="66">
        <f t="shared" si="246"/>
        <v>30</v>
      </c>
      <c r="DG160" s="31">
        <f t="shared" si="186"/>
        <v>7.8842857142857143</v>
      </c>
      <c r="DH160" s="32">
        <f t="shared" si="187"/>
        <v>20</v>
      </c>
      <c r="DI160" s="33">
        <f t="shared" si="188"/>
        <v>10.8125</v>
      </c>
      <c r="DJ160" s="34">
        <f t="shared" si="189"/>
        <v>30</v>
      </c>
      <c r="DK160" s="67">
        <f t="shared" si="190"/>
        <v>9.3483928571428567</v>
      </c>
      <c r="DL160" s="35">
        <f t="shared" si="191"/>
        <v>50</v>
      </c>
      <c r="DM160" s="59">
        <f t="shared" si="192"/>
        <v>96</v>
      </c>
      <c r="DN160" s="43" t="str">
        <f t="shared" si="248"/>
        <v>ناجح(ة)بتأخير</v>
      </c>
      <c r="DO160" s="44"/>
      <c r="DP160" s="51"/>
      <c r="DQ160" s="46"/>
    </row>
    <row r="161" spans="1:121" s="37" customFormat="1" ht="32.25" customHeight="1" thickBot="1">
      <c r="A161" s="49"/>
      <c r="B161" s="1">
        <f t="shared" si="247"/>
        <v>12</v>
      </c>
      <c r="C161" s="249" t="s">
        <v>307</v>
      </c>
      <c r="D161" s="249" t="s">
        <v>308</v>
      </c>
      <c r="E161" s="47" t="s">
        <v>475</v>
      </c>
      <c r="F161" s="135">
        <v>34125</v>
      </c>
      <c r="G161" s="52" t="s">
        <v>476</v>
      </c>
      <c r="H161" s="131">
        <v>7.19</v>
      </c>
      <c r="I161" s="132">
        <v>11</v>
      </c>
      <c r="J161" s="133">
        <v>7.72</v>
      </c>
      <c r="K161" s="134">
        <v>19</v>
      </c>
      <c r="L161" s="53">
        <f t="shared" si="193"/>
        <v>7.4550000000000001</v>
      </c>
      <c r="M161" s="58">
        <f t="shared" si="194"/>
        <v>30</v>
      </c>
      <c r="N161" s="222"/>
      <c r="O161" s="223"/>
      <c r="P161" s="140"/>
      <c r="Q161" s="228">
        <f t="shared" si="195"/>
        <v>0</v>
      </c>
      <c r="R161" s="229">
        <f t="shared" si="196"/>
        <v>0</v>
      </c>
      <c r="S161" s="241">
        <v>10</v>
      </c>
      <c r="T161" s="242">
        <v>5</v>
      </c>
      <c r="U161" s="285"/>
      <c r="V161" s="228">
        <f t="shared" si="197"/>
        <v>7.5</v>
      </c>
      <c r="W161" s="229">
        <f t="shared" si="198"/>
        <v>0</v>
      </c>
      <c r="X161" s="241">
        <v>8</v>
      </c>
      <c r="Y161" s="242">
        <v>2.25</v>
      </c>
      <c r="Z161" s="285"/>
      <c r="AA161" s="228">
        <f t="shared" si="199"/>
        <v>5.125</v>
      </c>
      <c r="AB161" s="229">
        <f t="shared" si="200"/>
        <v>0</v>
      </c>
      <c r="AC161" s="232">
        <f t="shared" si="201"/>
        <v>4.208333333333333</v>
      </c>
      <c r="AD161" s="233">
        <f t="shared" si="202"/>
        <v>0</v>
      </c>
      <c r="AE161" s="242">
        <v>8.5</v>
      </c>
      <c r="AF161" s="285"/>
      <c r="AG161" s="234">
        <f t="shared" si="203"/>
        <v>8.5</v>
      </c>
      <c r="AH161" s="235">
        <f t="shared" si="204"/>
        <v>0</v>
      </c>
      <c r="AI161" s="241">
        <v>4.75</v>
      </c>
      <c r="AJ161" s="242">
        <v>1.75</v>
      </c>
      <c r="AK161" s="285"/>
      <c r="AL161" s="228">
        <f t="shared" si="205"/>
        <v>3.25</v>
      </c>
      <c r="AM161" s="229">
        <f t="shared" si="206"/>
        <v>0</v>
      </c>
      <c r="AN161" s="241">
        <v>8.75</v>
      </c>
      <c r="AO161" s="242"/>
      <c r="AP161" s="285"/>
      <c r="AQ161" s="228">
        <f t="shared" si="207"/>
        <v>4.375</v>
      </c>
      <c r="AR161" s="229">
        <f t="shared" si="208"/>
        <v>0</v>
      </c>
      <c r="AS161" s="236">
        <f t="shared" si="209"/>
        <v>4.75</v>
      </c>
      <c r="AT161" s="237">
        <f t="shared" si="210"/>
        <v>0</v>
      </c>
      <c r="AU161" s="241">
        <v>6</v>
      </c>
      <c r="AV161" s="242">
        <v>2</v>
      </c>
      <c r="AW161" s="285"/>
      <c r="AX161" s="228">
        <f t="shared" si="211"/>
        <v>4</v>
      </c>
      <c r="AY161" s="229">
        <f t="shared" si="212"/>
        <v>0</v>
      </c>
      <c r="AZ161" s="242">
        <v>0</v>
      </c>
      <c r="BA161" s="285"/>
      <c r="BB161" s="234">
        <f t="shared" si="213"/>
        <v>0</v>
      </c>
      <c r="BC161" s="235">
        <f t="shared" si="214"/>
        <v>0</v>
      </c>
      <c r="BD161" s="236">
        <f t="shared" si="215"/>
        <v>2</v>
      </c>
      <c r="BE161" s="237">
        <f t="shared" si="216"/>
        <v>0</v>
      </c>
      <c r="BF161" s="241">
        <v>7.75</v>
      </c>
      <c r="BG161" s="242"/>
      <c r="BH161" s="285"/>
      <c r="BI161" s="228">
        <f t="shared" si="217"/>
        <v>3.875</v>
      </c>
      <c r="BJ161" s="229">
        <f t="shared" si="218"/>
        <v>0</v>
      </c>
      <c r="BK161" s="236">
        <f t="shared" si="219"/>
        <v>3.875</v>
      </c>
      <c r="BL161" s="237">
        <f t="shared" si="220"/>
        <v>0</v>
      </c>
      <c r="BM161" s="239">
        <f t="shared" si="221"/>
        <v>4.0625</v>
      </c>
      <c r="BN161" s="240">
        <f t="shared" si="222"/>
        <v>0</v>
      </c>
      <c r="BO161" s="271"/>
      <c r="BP161" s="274"/>
      <c r="BQ161" s="140"/>
      <c r="BR161" s="228">
        <f t="shared" si="223"/>
        <v>0</v>
      </c>
      <c r="BS161" s="229">
        <f t="shared" si="224"/>
        <v>0</v>
      </c>
      <c r="BT161" s="241"/>
      <c r="BU161" s="242"/>
      <c r="BV161" s="285"/>
      <c r="BW161" s="228">
        <f t="shared" si="225"/>
        <v>0</v>
      </c>
      <c r="BX161" s="229">
        <f t="shared" si="226"/>
        <v>0</v>
      </c>
      <c r="BY161" s="241"/>
      <c r="BZ161" s="242"/>
      <c r="CA161" s="285"/>
      <c r="CB161" s="228">
        <f t="shared" si="227"/>
        <v>0</v>
      </c>
      <c r="CC161" s="229">
        <f t="shared" si="228"/>
        <v>0</v>
      </c>
      <c r="CD161" s="297">
        <f t="shared" si="229"/>
        <v>0</v>
      </c>
      <c r="CE161" s="233">
        <f t="shared" si="230"/>
        <v>0</v>
      </c>
      <c r="CF161" s="241">
        <v>0</v>
      </c>
      <c r="CG161" s="242"/>
      <c r="CH161" s="285"/>
      <c r="CI161" s="228">
        <f t="shared" si="231"/>
        <v>0</v>
      </c>
      <c r="CJ161" s="229">
        <f t="shared" si="232"/>
        <v>0</v>
      </c>
      <c r="CK161" s="230"/>
      <c r="CL161" s="231"/>
      <c r="CM161" s="285"/>
      <c r="CN161" s="228">
        <f t="shared" si="233"/>
        <v>0</v>
      </c>
      <c r="CO161" s="229">
        <f t="shared" si="234"/>
        <v>0</v>
      </c>
      <c r="CP161" s="232">
        <f t="shared" si="235"/>
        <v>0</v>
      </c>
      <c r="CQ161" s="233">
        <f t="shared" si="236"/>
        <v>0</v>
      </c>
      <c r="CR161" s="230">
        <v>1.25</v>
      </c>
      <c r="CS161" s="231"/>
      <c r="CT161" s="285"/>
      <c r="CU161" s="228">
        <f t="shared" si="237"/>
        <v>0.625</v>
      </c>
      <c r="CV161" s="229">
        <f t="shared" si="238"/>
        <v>0</v>
      </c>
      <c r="CW161" s="232">
        <f t="shared" si="239"/>
        <v>0.625</v>
      </c>
      <c r="CX161" s="233">
        <f t="shared" si="240"/>
        <v>0</v>
      </c>
      <c r="CY161" s="231"/>
      <c r="CZ161" s="285"/>
      <c r="DA161" s="234">
        <f t="shared" si="241"/>
        <v>0</v>
      </c>
      <c r="DB161" s="235">
        <f t="shared" si="242"/>
        <v>0</v>
      </c>
      <c r="DC161" s="232">
        <f t="shared" si="243"/>
        <v>0</v>
      </c>
      <c r="DD161" s="233">
        <f t="shared" si="244"/>
        <v>0</v>
      </c>
      <c r="DE161" s="65">
        <f t="shared" si="245"/>
        <v>0.10416666666666667</v>
      </c>
      <c r="DF161" s="66">
        <f t="shared" si="246"/>
        <v>0</v>
      </c>
      <c r="DG161" s="31">
        <f t="shared" si="186"/>
        <v>4.0625</v>
      </c>
      <c r="DH161" s="32">
        <f t="shared" si="187"/>
        <v>0</v>
      </c>
      <c r="DI161" s="33">
        <f t="shared" si="188"/>
        <v>0.10416666666666667</v>
      </c>
      <c r="DJ161" s="34">
        <f t="shared" si="189"/>
        <v>0</v>
      </c>
      <c r="DK161" s="67">
        <f t="shared" si="190"/>
        <v>2.0833333333333335</v>
      </c>
      <c r="DL161" s="35">
        <f t="shared" si="191"/>
        <v>0</v>
      </c>
      <c r="DM161" s="59">
        <f t="shared" si="192"/>
        <v>30</v>
      </c>
      <c r="DN161" s="43" t="s">
        <v>505</v>
      </c>
      <c r="DO161" s="44"/>
      <c r="DP161" s="50"/>
      <c r="DQ161" s="46"/>
    </row>
    <row r="162" spans="1:121" s="37" customFormat="1" ht="32.25" customHeight="1" thickBot="1">
      <c r="A162" s="49"/>
      <c r="B162" s="1">
        <f t="shared" si="247"/>
        <v>13</v>
      </c>
      <c r="C162" s="249" t="s">
        <v>309</v>
      </c>
      <c r="D162" s="249" t="s">
        <v>203</v>
      </c>
      <c r="E162" s="47" t="s">
        <v>477</v>
      </c>
      <c r="F162" s="135">
        <v>34562</v>
      </c>
      <c r="G162" s="136" t="s">
        <v>110</v>
      </c>
      <c r="H162" s="131">
        <v>7.88</v>
      </c>
      <c r="I162" s="132">
        <v>17</v>
      </c>
      <c r="J162" s="133">
        <v>9.5</v>
      </c>
      <c r="K162" s="134">
        <v>24</v>
      </c>
      <c r="L162" s="53">
        <f t="shared" si="193"/>
        <v>8.69</v>
      </c>
      <c r="M162" s="58">
        <f t="shared" si="194"/>
        <v>41</v>
      </c>
      <c r="N162" s="222">
        <v>13</v>
      </c>
      <c r="O162" s="223">
        <v>8</v>
      </c>
      <c r="P162" s="140"/>
      <c r="Q162" s="228">
        <f t="shared" si="195"/>
        <v>10.5</v>
      </c>
      <c r="R162" s="229">
        <f t="shared" si="196"/>
        <v>5</v>
      </c>
      <c r="S162" s="241">
        <v>10</v>
      </c>
      <c r="T162" s="242"/>
      <c r="U162" s="285">
        <v>14</v>
      </c>
      <c r="V162" s="228">
        <f t="shared" si="197"/>
        <v>12</v>
      </c>
      <c r="W162" s="229">
        <f t="shared" si="198"/>
        <v>6</v>
      </c>
      <c r="X162" s="245">
        <v>10.5</v>
      </c>
      <c r="Y162" s="246">
        <v>10.5</v>
      </c>
      <c r="Z162" s="285"/>
      <c r="AA162" s="228">
        <f t="shared" si="199"/>
        <v>10.5</v>
      </c>
      <c r="AB162" s="229">
        <f t="shared" si="200"/>
        <v>6</v>
      </c>
      <c r="AC162" s="232">
        <f t="shared" si="201"/>
        <v>11</v>
      </c>
      <c r="AD162" s="233">
        <f t="shared" si="202"/>
        <v>17</v>
      </c>
      <c r="AE162" s="242">
        <v>10</v>
      </c>
      <c r="AF162" s="285"/>
      <c r="AG162" s="234">
        <f t="shared" si="203"/>
        <v>10</v>
      </c>
      <c r="AH162" s="235">
        <f t="shared" si="204"/>
        <v>1</v>
      </c>
      <c r="AI162" s="241">
        <v>0</v>
      </c>
      <c r="AJ162" s="242">
        <v>0</v>
      </c>
      <c r="AK162" s="285"/>
      <c r="AL162" s="228">
        <f t="shared" si="205"/>
        <v>0</v>
      </c>
      <c r="AM162" s="229">
        <f t="shared" si="206"/>
        <v>0</v>
      </c>
      <c r="AN162" s="241">
        <v>5</v>
      </c>
      <c r="AO162" s="242">
        <v>0</v>
      </c>
      <c r="AP162" s="285"/>
      <c r="AQ162" s="228">
        <f t="shared" si="207"/>
        <v>2.5</v>
      </c>
      <c r="AR162" s="229">
        <f t="shared" si="208"/>
        <v>0</v>
      </c>
      <c r="AS162" s="236">
        <f t="shared" si="209"/>
        <v>3</v>
      </c>
      <c r="AT162" s="237">
        <f t="shared" si="210"/>
        <v>1</v>
      </c>
      <c r="AU162" s="245">
        <v>15.75</v>
      </c>
      <c r="AV162" s="242">
        <v>15.75</v>
      </c>
      <c r="AW162" s="285"/>
      <c r="AX162" s="228">
        <f t="shared" si="211"/>
        <v>15.75</v>
      </c>
      <c r="AY162" s="229">
        <f t="shared" si="212"/>
        <v>4</v>
      </c>
      <c r="AZ162" s="242">
        <v>8</v>
      </c>
      <c r="BA162" s="285"/>
      <c r="BB162" s="234">
        <f t="shared" si="213"/>
        <v>8</v>
      </c>
      <c r="BC162" s="235">
        <f t="shared" si="214"/>
        <v>0</v>
      </c>
      <c r="BD162" s="236">
        <f t="shared" si="215"/>
        <v>11.875</v>
      </c>
      <c r="BE162" s="237">
        <f t="shared" si="216"/>
        <v>5</v>
      </c>
      <c r="BF162" s="245">
        <v>10.5</v>
      </c>
      <c r="BG162" s="246">
        <v>10.5</v>
      </c>
      <c r="BH162" s="285"/>
      <c r="BI162" s="228">
        <f t="shared" si="217"/>
        <v>10.5</v>
      </c>
      <c r="BJ162" s="229">
        <f t="shared" si="218"/>
        <v>1</v>
      </c>
      <c r="BK162" s="236">
        <f t="shared" si="219"/>
        <v>10.5</v>
      </c>
      <c r="BL162" s="237">
        <f t="shared" si="220"/>
        <v>1</v>
      </c>
      <c r="BM162" s="239">
        <f t="shared" si="221"/>
        <v>8.2321428571428577</v>
      </c>
      <c r="BN162" s="240">
        <f t="shared" si="222"/>
        <v>24</v>
      </c>
      <c r="BO162" s="271">
        <v>10.5</v>
      </c>
      <c r="BP162" s="272">
        <v>10.5</v>
      </c>
      <c r="BQ162" s="140"/>
      <c r="BR162" s="228">
        <f t="shared" si="223"/>
        <v>10.5</v>
      </c>
      <c r="BS162" s="229">
        <f t="shared" si="224"/>
        <v>6</v>
      </c>
      <c r="BT162" s="241">
        <v>13</v>
      </c>
      <c r="BU162" s="242">
        <v>12</v>
      </c>
      <c r="BV162" s="285"/>
      <c r="BW162" s="228">
        <f t="shared" si="225"/>
        <v>12.5</v>
      </c>
      <c r="BX162" s="229">
        <f t="shared" si="226"/>
        <v>6</v>
      </c>
      <c r="BY162" s="241">
        <v>4</v>
      </c>
      <c r="BZ162" s="242">
        <v>4</v>
      </c>
      <c r="CA162" s="285"/>
      <c r="CB162" s="228">
        <f t="shared" si="227"/>
        <v>4</v>
      </c>
      <c r="CC162" s="229">
        <f t="shared" si="228"/>
        <v>0</v>
      </c>
      <c r="CD162" s="297">
        <f t="shared" si="229"/>
        <v>10</v>
      </c>
      <c r="CE162" s="233">
        <f t="shared" si="230"/>
        <v>16</v>
      </c>
      <c r="CF162" s="241">
        <v>9</v>
      </c>
      <c r="CG162" s="242">
        <v>10</v>
      </c>
      <c r="CH162" s="285"/>
      <c r="CI162" s="228">
        <f t="shared" si="231"/>
        <v>9.5</v>
      </c>
      <c r="CJ162" s="229">
        <f t="shared" si="232"/>
        <v>0</v>
      </c>
      <c r="CK162" s="230">
        <v>10</v>
      </c>
      <c r="CL162" s="231">
        <v>0</v>
      </c>
      <c r="CM162" s="285"/>
      <c r="CN162" s="228">
        <f t="shared" si="233"/>
        <v>5</v>
      </c>
      <c r="CO162" s="229">
        <f t="shared" si="234"/>
        <v>0</v>
      </c>
      <c r="CP162" s="232">
        <f t="shared" si="235"/>
        <v>7.25</v>
      </c>
      <c r="CQ162" s="233">
        <f t="shared" si="236"/>
        <v>0</v>
      </c>
      <c r="CR162" s="230"/>
      <c r="CS162" s="231">
        <v>0</v>
      </c>
      <c r="CT162" s="285"/>
      <c r="CU162" s="228">
        <f t="shared" si="237"/>
        <v>0</v>
      </c>
      <c r="CV162" s="229">
        <f t="shared" si="238"/>
        <v>0</v>
      </c>
      <c r="CW162" s="232">
        <f t="shared" si="239"/>
        <v>0</v>
      </c>
      <c r="CX162" s="233">
        <f t="shared" si="240"/>
        <v>0</v>
      </c>
      <c r="CY162" s="231">
        <v>6</v>
      </c>
      <c r="CZ162" s="285"/>
      <c r="DA162" s="234">
        <f t="shared" si="241"/>
        <v>6</v>
      </c>
      <c r="DB162" s="235">
        <f t="shared" si="242"/>
        <v>0</v>
      </c>
      <c r="DC162" s="232">
        <f t="shared" si="243"/>
        <v>6</v>
      </c>
      <c r="DD162" s="233">
        <f t="shared" si="244"/>
        <v>0</v>
      </c>
      <c r="DE162" s="65">
        <f t="shared" si="245"/>
        <v>7.083333333333333</v>
      </c>
      <c r="DF162" s="66">
        <f t="shared" si="246"/>
        <v>16</v>
      </c>
      <c r="DG162" s="31">
        <f t="shared" si="186"/>
        <v>8.2321428571428577</v>
      </c>
      <c r="DH162" s="32">
        <f t="shared" si="187"/>
        <v>24</v>
      </c>
      <c r="DI162" s="33">
        <f t="shared" si="188"/>
        <v>7.083333333333333</v>
      </c>
      <c r="DJ162" s="34">
        <f t="shared" si="189"/>
        <v>16</v>
      </c>
      <c r="DK162" s="67">
        <f t="shared" si="190"/>
        <v>7.6577380952380949</v>
      </c>
      <c r="DL162" s="35">
        <f t="shared" si="191"/>
        <v>40</v>
      </c>
      <c r="DM162" s="59">
        <f t="shared" si="192"/>
        <v>81</v>
      </c>
      <c r="DN162" s="43" t="str">
        <f t="shared" si="248"/>
        <v>راسب(ة)</v>
      </c>
      <c r="DO162" s="44"/>
      <c r="DP162" s="50"/>
      <c r="DQ162" s="46"/>
    </row>
    <row r="163" spans="1:121" s="37" customFormat="1" ht="32.25" customHeight="1" thickBot="1">
      <c r="A163" s="49"/>
      <c r="B163" s="1">
        <f t="shared" si="247"/>
        <v>14</v>
      </c>
      <c r="C163" s="249" t="s">
        <v>310</v>
      </c>
      <c r="D163" s="249" t="s">
        <v>311</v>
      </c>
      <c r="E163" s="47" t="s">
        <v>478</v>
      </c>
      <c r="F163" s="135">
        <v>34174</v>
      </c>
      <c r="G163" s="136" t="s">
        <v>110</v>
      </c>
      <c r="H163" s="131">
        <v>7.66</v>
      </c>
      <c r="I163" s="132">
        <v>20</v>
      </c>
      <c r="J163" s="133">
        <v>6.32</v>
      </c>
      <c r="K163" s="134">
        <v>17</v>
      </c>
      <c r="L163" s="53">
        <f t="shared" si="193"/>
        <v>6.99</v>
      </c>
      <c r="M163" s="58">
        <f t="shared" si="194"/>
        <v>37</v>
      </c>
      <c r="N163" s="222"/>
      <c r="O163" s="223">
        <v>8</v>
      </c>
      <c r="P163" s="140"/>
      <c r="Q163" s="228">
        <f t="shared" si="195"/>
        <v>4</v>
      </c>
      <c r="R163" s="229">
        <f t="shared" si="196"/>
        <v>0</v>
      </c>
      <c r="S163" s="241">
        <v>10</v>
      </c>
      <c r="T163" s="242">
        <v>4.5</v>
      </c>
      <c r="U163" s="285"/>
      <c r="V163" s="228">
        <f t="shared" si="197"/>
        <v>7.25</v>
      </c>
      <c r="W163" s="229">
        <f t="shared" si="198"/>
        <v>0</v>
      </c>
      <c r="X163" s="241">
        <v>11.5</v>
      </c>
      <c r="Y163" s="242">
        <v>1.25</v>
      </c>
      <c r="Z163" s="285"/>
      <c r="AA163" s="228">
        <f t="shared" si="199"/>
        <v>6.375</v>
      </c>
      <c r="AB163" s="229">
        <f t="shared" si="200"/>
        <v>0</v>
      </c>
      <c r="AC163" s="232">
        <f t="shared" si="201"/>
        <v>5.875</v>
      </c>
      <c r="AD163" s="233">
        <f t="shared" si="202"/>
        <v>0</v>
      </c>
      <c r="AE163" s="242">
        <v>9</v>
      </c>
      <c r="AF163" s="285"/>
      <c r="AG163" s="234">
        <f t="shared" si="203"/>
        <v>9</v>
      </c>
      <c r="AH163" s="235">
        <f t="shared" si="204"/>
        <v>0</v>
      </c>
      <c r="AI163" s="241">
        <v>1.5</v>
      </c>
      <c r="AJ163" s="242">
        <v>1.5</v>
      </c>
      <c r="AK163" s="285"/>
      <c r="AL163" s="228">
        <f t="shared" si="205"/>
        <v>1.5</v>
      </c>
      <c r="AM163" s="229">
        <f t="shared" si="206"/>
        <v>0</v>
      </c>
      <c r="AN163" s="241">
        <v>6</v>
      </c>
      <c r="AO163" s="242">
        <v>0.5</v>
      </c>
      <c r="AP163" s="285"/>
      <c r="AQ163" s="228">
        <f t="shared" si="207"/>
        <v>3.25</v>
      </c>
      <c r="AR163" s="229">
        <f t="shared" si="208"/>
        <v>0</v>
      </c>
      <c r="AS163" s="236">
        <f t="shared" si="209"/>
        <v>3.7</v>
      </c>
      <c r="AT163" s="237">
        <f t="shared" si="210"/>
        <v>0</v>
      </c>
      <c r="AU163" s="241">
        <v>2</v>
      </c>
      <c r="AV163" s="242">
        <v>4</v>
      </c>
      <c r="AW163" s="285"/>
      <c r="AX163" s="228">
        <f t="shared" si="211"/>
        <v>3</v>
      </c>
      <c r="AY163" s="229">
        <f t="shared" si="212"/>
        <v>0</v>
      </c>
      <c r="AZ163" s="242">
        <v>0</v>
      </c>
      <c r="BA163" s="285"/>
      <c r="BB163" s="234">
        <f t="shared" si="213"/>
        <v>0</v>
      </c>
      <c r="BC163" s="235">
        <f t="shared" si="214"/>
        <v>0</v>
      </c>
      <c r="BD163" s="236">
        <f t="shared" si="215"/>
        <v>1.5</v>
      </c>
      <c r="BE163" s="237">
        <f t="shared" si="216"/>
        <v>0</v>
      </c>
      <c r="BF163" s="241"/>
      <c r="BG163" s="242">
        <v>2.5</v>
      </c>
      <c r="BH163" s="285"/>
      <c r="BI163" s="228">
        <f t="shared" si="217"/>
        <v>1.25</v>
      </c>
      <c r="BJ163" s="229">
        <f t="shared" si="218"/>
        <v>0</v>
      </c>
      <c r="BK163" s="236">
        <f t="shared" si="219"/>
        <v>1.25</v>
      </c>
      <c r="BL163" s="237">
        <f t="shared" si="220"/>
        <v>0</v>
      </c>
      <c r="BM163" s="239">
        <f t="shared" si="221"/>
        <v>4.1428571428571432</v>
      </c>
      <c r="BN163" s="240">
        <f t="shared" si="222"/>
        <v>0</v>
      </c>
      <c r="BO163" s="271">
        <v>1.5</v>
      </c>
      <c r="BP163" s="272">
        <v>3.25</v>
      </c>
      <c r="BQ163" s="140"/>
      <c r="BR163" s="228">
        <f t="shared" si="223"/>
        <v>2.375</v>
      </c>
      <c r="BS163" s="229">
        <f t="shared" si="224"/>
        <v>0</v>
      </c>
      <c r="BT163" s="241"/>
      <c r="BU163" s="242">
        <v>3</v>
      </c>
      <c r="BV163" s="285"/>
      <c r="BW163" s="228">
        <f t="shared" si="225"/>
        <v>1.5</v>
      </c>
      <c r="BX163" s="229">
        <f t="shared" si="226"/>
        <v>0</v>
      </c>
      <c r="BY163" s="241"/>
      <c r="BZ163" s="242">
        <v>2</v>
      </c>
      <c r="CA163" s="285"/>
      <c r="CB163" s="228">
        <f t="shared" si="227"/>
        <v>1</v>
      </c>
      <c r="CC163" s="229">
        <f t="shared" si="228"/>
        <v>0</v>
      </c>
      <c r="CD163" s="297">
        <f t="shared" si="229"/>
        <v>1.75</v>
      </c>
      <c r="CE163" s="233">
        <f t="shared" si="230"/>
        <v>0</v>
      </c>
      <c r="CF163" s="241">
        <v>10.25</v>
      </c>
      <c r="CG163" s="242">
        <v>10.25</v>
      </c>
      <c r="CH163" s="285"/>
      <c r="CI163" s="228">
        <f t="shared" si="231"/>
        <v>10.25</v>
      </c>
      <c r="CJ163" s="229">
        <f t="shared" si="232"/>
        <v>5</v>
      </c>
      <c r="CK163" s="230"/>
      <c r="CL163" s="231"/>
      <c r="CM163" s="285"/>
      <c r="CN163" s="228">
        <f t="shared" si="233"/>
        <v>0</v>
      </c>
      <c r="CO163" s="229">
        <f t="shared" si="234"/>
        <v>0</v>
      </c>
      <c r="CP163" s="232">
        <f t="shared" si="235"/>
        <v>5.125</v>
      </c>
      <c r="CQ163" s="233">
        <f t="shared" si="236"/>
        <v>5</v>
      </c>
      <c r="CR163" s="230"/>
      <c r="CS163" s="231"/>
      <c r="CT163" s="285"/>
      <c r="CU163" s="228">
        <f t="shared" si="237"/>
        <v>0</v>
      </c>
      <c r="CV163" s="229">
        <f t="shared" si="238"/>
        <v>0</v>
      </c>
      <c r="CW163" s="232">
        <f t="shared" si="239"/>
        <v>0</v>
      </c>
      <c r="CX163" s="233">
        <f t="shared" si="240"/>
        <v>0</v>
      </c>
      <c r="CY163" s="231">
        <v>5</v>
      </c>
      <c r="CZ163" s="285"/>
      <c r="DA163" s="234">
        <f t="shared" si="241"/>
        <v>5</v>
      </c>
      <c r="DB163" s="235">
        <f t="shared" si="242"/>
        <v>0</v>
      </c>
      <c r="DC163" s="232">
        <f t="shared" si="243"/>
        <v>5</v>
      </c>
      <c r="DD163" s="233">
        <f t="shared" si="244"/>
        <v>0</v>
      </c>
      <c r="DE163" s="65">
        <f t="shared" si="245"/>
        <v>2.8541666666666665</v>
      </c>
      <c r="DF163" s="66">
        <f t="shared" si="246"/>
        <v>5</v>
      </c>
      <c r="DG163" s="31">
        <f t="shared" si="186"/>
        <v>4.1428571428571432</v>
      </c>
      <c r="DH163" s="32">
        <f t="shared" si="187"/>
        <v>0</v>
      </c>
      <c r="DI163" s="33">
        <f t="shared" si="188"/>
        <v>2.8541666666666665</v>
      </c>
      <c r="DJ163" s="34">
        <f t="shared" si="189"/>
        <v>5</v>
      </c>
      <c r="DK163" s="67">
        <f t="shared" si="190"/>
        <v>3.4985119047619051</v>
      </c>
      <c r="DL163" s="35">
        <f t="shared" si="191"/>
        <v>5</v>
      </c>
      <c r="DM163" s="59">
        <f t="shared" si="192"/>
        <v>42</v>
      </c>
      <c r="DN163" s="43" t="str">
        <f t="shared" si="248"/>
        <v>راسب(ة)</v>
      </c>
      <c r="DO163" s="44"/>
      <c r="DP163" s="50"/>
      <c r="DQ163" s="46"/>
    </row>
    <row r="164" spans="1:121" s="37" customFormat="1" ht="32.25" customHeight="1" thickBot="1">
      <c r="A164" s="49"/>
      <c r="B164" s="1">
        <f t="shared" si="247"/>
        <v>15</v>
      </c>
      <c r="C164" s="249" t="s">
        <v>312</v>
      </c>
      <c r="D164" s="249" t="s">
        <v>313</v>
      </c>
      <c r="E164" s="47" t="s">
        <v>479</v>
      </c>
      <c r="F164" s="135">
        <v>34430</v>
      </c>
      <c r="G164" s="136" t="s">
        <v>110</v>
      </c>
      <c r="H164" s="131">
        <v>8.81</v>
      </c>
      <c r="I164" s="132">
        <v>16</v>
      </c>
      <c r="J164" s="133">
        <v>7.2</v>
      </c>
      <c r="K164" s="134">
        <v>16</v>
      </c>
      <c r="L164" s="53">
        <f t="shared" si="193"/>
        <v>8.0050000000000008</v>
      </c>
      <c r="M164" s="58">
        <f t="shared" si="194"/>
        <v>32</v>
      </c>
      <c r="N164" s="222">
        <v>13</v>
      </c>
      <c r="O164" s="223">
        <v>8</v>
      </c>
      <c r="P164" s="140"/>
      <c r="Q164" s="228">
        <f t="shared" si="195"/>
        <v>10.5</v>
      </c>
      <c r="R164" s="229">
        <f t="shared" si="196"/>
        <v>5</v>
      </c>
      <c r="S164" s="241">
        <v>12.5</v>
      </c>
      <c r="T164" s="242">
        <v>4</v>
      </c>
      <c r="U164" s="285"/>
      <c r="V164" s="228">
        <f t="shared" si="197"/>
        <v>8.25</v>
      </c>
      <c r="W164" s="229">
        <f t="shared" si="198"/>
        <v>0</v>
      </c>
      <c r="X164" s="241">
        <v>10</v>
      </c>
      <c r="Y164" s="242">
        <v>5</v>
      </c>
      <c r="Z164" s="285"/>
      <c r="AA164" s="228">
        <f t="shared" si="199"/>
        <v>7.5</v>
      </c>
      <c r="AB164" s="229">
        <f t="shared" si="200"/>
        <v>0</v>
      </c>
      <c r="AC164" s="232">
        <f t="shared" si="201"/>
        <v>8.75</v>
      </c>
      <c r="AD164" s="233">
        <f t="shared" si="202"/>
        <v>5</v>
      </c>
      <c r="AE164" s="242">
        <v>10.5</v>
      </c>
      <c r="AF164" s="285"/>
      <c r="AG164" s="234">
        <f t="shared" si="203"/>
        <v>10.5</v>
      </c>
      <c r="AH164" s="235">
        <f t="shared" si="204"/>
        <v>1</v>
      </c>
      <c r="AI164" s="241">
        <v>2</v>
      </c>
      <c r="AJ164" s="242">
        <v>2</v>
      </c>
      <c r="AK164" s="285"/>
      <c r="AL164" s="228">
        <f t="shared" si="205"/>
        <v>2</v>
      </c>
      <c r="AM164" s="229">
        <f t="shared" si="206"/>
        <v>0</v>
      </c>
      <c r="AN164" s="241">
        <v>9</v>
      </c>
      <c r="AO164" s="242">
        <v>0</v>
      </c>
      <c r="AP164" s="285"/>
      <c r="AQ164" s="228">
        <f t="shared" si="207"/>
        <v>4.5</v>
      </c>
      <c r="AR164" s="229">
        <f t="shared" si="208"/>
        <v>0</v>
      </c>
      <c r="AS164" s="236">
        <f t="shared" si="209"/>
        <v>4.7</v>
      </c>
      <c r="AT164" s="237">
        <f t="shared" si="210"/>
        <v>1</v>
      </c>
      <c r="AU164" s="241">
        <v>6</v>
      </c>
      <c r="AV164" s="242">
        <v>2</v>
      </c>
      <c r="AW164" s="285"/>
      <c r="AX164" s="228">
        <f t="shared" si="211"/>
        <v>4</v>
      </c>
      <c r="AY164" s="229">
        <f t="shared" si="212"/>
        <v>0</v>
      </c>
      <c r="AZ164" s="242">
        <v>6.5</v>
      </c>
      <c r="BA164" s="285"/>
      <c r="BB164" s="234">
        <f t="shared" si="213"/>
        <v>6.5</v>
      </c>
      <c r="BC164" s="235">
        <f t="shared" si="214"/>
        <v>0</v>
      </c>
      <c r="BD164" s="236">
        <f t="shared" si="215"/>
        <v>5.25</v>
      </c>
      <c r="BE164" s="237">
        <f t="shared" si="216"/>
        <v>0</v>
      </c>
      <c r="BF164" s="241">
        <v>8.5</v>
      </c>
      <c r="BG164" s="242">
        <v>7.5</v>
      </c>
      <c r="BH164" s="285"/>
      <c r="BI164" s="228">
        <f t="shared" si="217"/>
        <v>8</v>
      </c>
      <c r="BJ164" s="229">
        <f t="shared" si="218"/>
        <v>0</v>
      </c>
      <c r="BK164" s="236">
        <f t="shared" si="219"/>
        <v>8</v>
      </c>
      <c r="BL164" s="237">
        <f t="shared" si="220"/>
        <v>0</v>
      </c>
      <c r="BM164" s="239">
        <f t="shared" si="221"/>
        <v>6.75</v>
      </c>
      <c r="BN164" s="240">
        <f t="shared" si="222"/>
        <v>6</v>
      </c>
      <c r="BO164" s="277">
        <v>14.25</v>
      </c>
      <c r="BP164" s="278">
        <v>5.25</v>
      </c>
      <c r="BQ164" s="140"/>
      <c r="BR164" s="228">
        <f t="shared" si="223"/>
        <v>9.75</v>
      </c>
      <c r="BS164" s="229">
        <f t="shared" si="224"/>
        <v>0</v>
      </c>
      <c r="BT164" s="252">
        <v>16.5</v>
      </c>
      <c r="BU164" s="253">
        <v>6</v>
      </c>
      <c r="BV164" s="285"/>
      <c r="BW164" s="228">
        <f t="shared" si="225"/>
        <v>11.25</v>
      </c>
      <c r="BX164" s="229">
        <f t="shared" si="226"/>
        <v>6</v>
      </c>
      <c r="BY164" s="252">
        <v>12.5</v>
      </c>
      <c r="BZ164" s="253">
        <v>3.25</v>
      </c>
      <c r="CA164" s="285"/>
      <c r="CB164" s="228">
        <f t="shared" si="227"/>
        <v>7.875</v>
      </c>
      <c r="CC164" s="229">
        <f t="shared" si="228"/>
        <v>0</v>
      </c>
      <c r="CD164" s="297">
        <f t="shared" si="229"/>
        <v>9.9749999999999996</v>
      </c>
      <c r="CE164" s="233">
        <f t="shared" si="230"/>
        <v>6</v>
      </c>
      <c r="CF164" s="241">
        <v>4</v>
      </c>
      <c r="CG164" s="242">
        <v>4</v>
      </c>
      <c r="CH164" s="285"/>
      <c r="CI164" s="228">
        <f t="shared" si="231"/>
        <v>4</v>
      </c>
      <c r="CJ164" s="229">
        <f t="shared" si="232"/>
        <v>0</v>
      </c>
      <c r="CK164" s="230">
        <v>13.5</v>
      </c>
      <c r="CL164" s="231">
        <v>6.5</v>
      </c>
      <c r="CM164" s="285"/>
      <c r="CN164" s="228">
        <f t="shared" si="233"/>
        <v>10</v>
      </c>
      <c r="CO164" s="229">
        <f t="shared" si="234"/>
        <v>5</v>
      </c>
      <c r="CP164" s="232">
        <f t="shared" si="235"/>
        <v>7</v>
      </c>
      <c r="CQ164" s="233">
        <f t="shared" si="236"/>
        <v>5</v>
      </c>
      <c r="CR164" s="230">
        <v>5.25</v>
      </c>
      <c r="CS164" s="231">
        <v>0.5</v>
      </c>
      <c r="CT164" s="285"/>
      <c r="CU164" s="228">
        <f t="shared" si="237"/>
        <v>2.875</v>
      </c>
      <c r="CV164" s="229">
        <f t="shared" si="238"/>
        <v>0</v>
      </c>
      <c r="CW164" s="232">
        <f t="shared" si="239"/>
        <v>2.875</v>
      </c>
      <c r="CX164" s="233">
        <f t="shared" si="240"/>
        <v>0</v>
      </c>
      <c r="CY164" s="231">
        <v>8</v>
      </c>
      <c r="CZ164" s="285"/>
      <c r="DA164" s="234">
        <f t="shared" si="241"/>
        <v>8</v>
      </c>
      <c r="DB164" s="235">
        <f t="shared" si="242"/>
        <v>0</v>
      </c>
      <c r="DC164" s="232">
        <f t="shared" si="243"/>
        <v>8</v>
      </c>
      <c r="DD164" s="233">
        <f t="shared" si="244"/>
        <v>0</v>
      </c>
      <c r="DE164" s="65">
        <f t="shared" si="245"/>
        <v>7.635416666666667</v>
      </c>
      <c r="DF164" s="66">
        <f t="shared" si="246"/>
        <v>11</v>
      </c>
      <c r="DG164" s="31">
        <f t="shared" si="186"/>
        <v>6.75</v>
      </c>
      <c r="DH164" s="32">
        <f t="shared" si="187"/>
        <v>6</v>
      </c>
      <c r="DI164" s="33">
        <f t="shared" si="188"/>
        <v>7.635416666666667</v>
      </c>
      <c r="DJ164" s="34">
        <f t="shared" si="189"/>
        <v>11</v>
      </c>
      <c r="DK164" s="67">
        <f t="shared" si="190"/>
        <v>7.1927083333333339</v>
      </c>
      <c r="DL164" s="35">
        <f t="shared" si="191"/>
        <v>17</v>
      </c>
      <c r="DM164" s="59">
        <f t="shared" si="192"/>
        <v>49</v>
      </c>
      <c r="DN164" s="43" t="str">
        <f t="shared" si="248"/>
        <v>راسب(ة)</v>
      </c>
      <c r="DO164" s="44"/>
      <c r="DP164" s="50"/>
      <c r="DQ164" s="46"/>
    </row>
    <row r="165" spans="1:121" s="37" customFormat="1" ht="32.25" customHeight="1" thickBot="1">
      <c r="A165" s="49"/>
      <c r="B165" s="1">
        <f t="shared" si="247"/>
        <v>16</v>
      </c>
      <c r="C165" s="249" t="s">
        <v>314</v>
      </c>
      <c r="D165" s="249" t="s">
        <v>315</v>
      </c>
      <c r="E165" s="47" t="s">
        <v>480</v>
      </c>
      <c r="F165" s="135">
        <v>34865</v>
      </c>
      <c r="G165" s="136" t="s">
        <v>110</v>
      </c>
      <c r="H165" s="131">
        <v>7.31</v>
      </c>
      <c r="I165" s="132">
        <v>20</v>
      </c>
      <c r="J165" s="133">
        <v>6.2</v>
      </c>
      <c r="K165" s="134">
        <v>13</v>
      </c>
      <c r="L165" s="53">
        <f t="shared" si="193"/>
        <v>6.7549999999999999</v>
      </c>
      <c r="M165" s="58">
        <f t="shared" si="194"/>
        <v>33</v>
      </c>
      <c r="N165" s="224"/>
      <c r="O165" s="225"/>
      <c r="P165" s="140"/>
      <c r="Q165" s="228">
        <f t="shared" si="195"/>
        <v>0</v>
      </c>
      <c r="R165" s="229">
        <f t="shared" si="196"/>
        <v>0</v>
      </c>
      <c r="S165" s="247"/>
      <c r="T165" s="248"/>
      <c r="U165" s="285"/>
      <c r="V165" s="228">
        <f t="shared" si="197"/>
        <v>0</v>
      </c>
      <c r="W165" s="229">
        <f t="shared" si="198"/>
        <v>0</v>
      </c>
      <c r="X165" s="241">
        <v>0</v>
      </c>
      <c r="Y165" s="242"/>
      <c r="Z165" s="285"/>
      <c r="AA165" s="228">
        <f t="shared" si="199"/>
        <v>0</v>
      </c>
      <c r="AB165" s="229">
        <f t="shared" si="200"/>
        <v>0</v>
      </c>
      <c r="AC165" s="232">
        <f t="shared" si="201"/>
        <v>0</v>
      </c>
      <c r="AD165" s="233">
        <f t="shared" si="202"/>
        <v>0</v>
      </c>
      <c r="AE165" s="248"/>
      <c r="AF165" s="285"/>
      <c r="AG165" s="234">
        <f t="shared" si="203"/>
        <v>0</v>
      </c>
      <c r="AH165" s="235">
        <f t="shared" si="204"/>
        <v>0</v>
      </c>
      <c r="AI165" s="247"/>
      <c r="AJ165" s="248"/>
      <c r="AK165" s="285"/>
      <c r="AL165" s="228">
        <f t="shared" si="205"/>
        <v>0</v>
      </c>
      <c r="AM165" s="229">
        <f t="shared" si="206"/>
        <v>0</v>
      </c>
      <c r="AN165" s="247"/>
      <c r="AO165" s="248"/>
      <c r="AP165" s="285"/>
      <c r="AQ165" s="228">
        <f t="shared" si="207"/>
        <v>0</v>
      </c>
      <c r="AR165" s="229">
        <f t="shared" si="208"/>
        <v>0</v>
      </c>
      <c r="AS165" s="236">
        <f t="shared" si="209"/>
        <v>0</v>
      </c>
      <c r="AT165" s="237">
        <f t="shared" si="210"/>
        <v>0</v>
      </c>
      <c r="AU165" s="247"/>
      <c r="AV165" s="248"/>
      <c r="AW165" s="285"/>
      <c r="AX165" s="228">
        <f t="shared" si="211"/>
        <v>0</v>
      </c>
      <c r="AY165" s="229">
        <f t="shared" si="212"/>
        <v>0</v>
      </c>
      <c r="AZ165" s="248"/>
      <c r="BA165" s="285"/>
      <c r="BB165" s="234">
        <f t="shared" si="213"/>
        <v>0</v>
      </c>
      <c r="BC165" s="235">
        <f t="shared" si="214"/>
        <v>0</v>
      </c>
      <c r="BD165" s="236">
        <f t="shared" si="215"/>
        <v>0</v>
      </c>
      <c r="BE165" s="237">
        <f t="shared" si="216"/>
        <v>0</v>
      </c>
      <c r="BF165" s="247"/>
      <c r="BG165" s="248"/>
      <c r="BH165" s="285"/>
      <c r="BI165" s="228">
        <f t="shared" si="217"/>
        <v>0</v>
      </c>
      <c r="BJ165" s="229">
        <f t="shared" si="218"/>
        <v>0</v>
      </c>
      <c r="BK165" s="236">
        <f t="shared" si="219"/>
        <v>0</v>
      </c>
      <c r="BL165" s="237">
        <f t="shared" si="220"/>
        <v>0</v>
      </c>
      <c r="BM165" s="239">
        <f t="shared" si="221"/>
        <v>0</v>
      </c>
      <c r="BN165" s="240">
        <f t="shared" si="222"/>
        <v>0</v>
      </c>
      <c r="BO165" s="273"/>
      <c r="BP165" s="274"/>
      <c r="BQ165" s="281"/>
      <c r="BR165" s="286">
        <f t="shared" si="223"/>
        <v>0</v>
      </c>
      <c r="BS165" s="287">
        <f t="shared" si="224"/>
        <v>0</v>
      </c>
      <c r="BT165" s="282"/>
      <c r="BU165" s="283"/>
      <c r="BV165" s="288"/>
      <c r="BW165" s="286">
        <f t="shared" si="225"/>
        <v>0</v>
      </c>
      <c r="BX165" s="287">
        <f t="shared" si="226"/>
        <v>0</v>
      </c>
      <c r="BY165" s="282"/>
      <c r="BZ165" s="283"/>
      <c r="CA165" s="288"/>
      <c r="CB165" s="286">
        <f t="shared" si="227"/>
        <v>0</v>
      </c>
      <c r="CC165" s="287">
        <f t="shared" si="228"/>
        <v>0</v>
      </c>
      <c r="CD165" s="302">
        <f t="shared" si="229"/>
        <v>0</v>
      </c>
      <c r="CE165" s="290">
        <f t="shared" si="230"/>
        <v>0</v>
      </c>
      <c r="CF165" s="282">
        <v>0</v>
      </c>
      <c r="CG165" s="283"/>
      <c r="CH165" s="288"/>
      <c r="CI165" s="286">
        <f t="shared" si="231"/>
        <v>0</v>
      </c>
      <c r="CJ165" s="287">
        <f t="shared" si="232"/>
        <v>0</v>
      </c>
      <c r="CK165" s="298"/>
      <c r="CL165" s="299"/>
      <c r="CM165" s="288"/>
      <c r="CN165" s="286">
        <f t="shared" si="233"/>
        <v>0</v>
      </c>
      <c r="CO165" s="287">
        <f t="shared" si="234"/>
        <v>0</v>
      </c>
      <c r="CP165" s="289">
        <f t="shared" si="235"/>
        <v>0</v>
      </c>
      <c r="CQ165" s="290">
        <f t="shared" si="236"/>
        <v>0</v>
      </c>
      <c r="CR165" s="298"/>
      <c r="CS165" s="299"/>
      <c r="CT165" s="288"/>
      <c r="CU165" s="286">
        <f t="shared" si="237"/>
        <v>0</v>
      </c>
      <c r="CV165" s="287">
        <f t="shared" si="238"/>
        <v>0</v>
      </c>
      <c r="CW165" s="232">
        <f t="shared" si="239"/>
        <v>0</v>
      </c>
      <c r="CX165" s="233">
        <f t="shared" si="240"/>
        <v>0</v>
      </c>
      <c r="CY165" s="231"/>
      <c r="CZ165" s="285"/>
      <c r="DA165" s="234">
        <f t="shared" si="241"/>
        <v>0</v>
      </c>
      <c r="DB165" s="235">
        <f t="shared" si="242"/>
        <v>0</v>
      </c>
      <c r="DC165" s="232">
        <f t="shared" si="243"/>
        <v>0</v>
      </c>
      <c r="DD165" s="233">
        <f t="shared" si="244"/>
        <v>0</v>
      </c>
      <c r="DE165" s="65">
        <f t="shared" si="245"/>
        <v>0</v>
      </c>
      <c r="DF165" s="66">
        <f t="shared" si="246"/>
        <v>0</v>
      </c>
      <c r="DG165" s="31">
        <f t="shared" si="186"/>
        <v>0</v>
      </c>
      <c r="DH165" s="32">
        <f t="shared" si="187"/>
        <v>0</v>
      </c>
      <c r="DI165" s="33">
        <f t="shared" si="188"/>
        <v>0</v>
      </c>
      <c r="DJ165" s="34">
        <f t="shared" si="189"/>
        <v>0</v>
      </c>
      <c r="DK165" s="67">
        <f t="shared" si="190"/>
        <v>0</v>
      </c>
      <c r="DL165" s="35">
        <f t="shared" si="191"/>
        <v>0</v>
      </c>
      <c r="DM165" s="59">
        <f t="shared" si="192"/>
        <v>33</v>
      </c>
      <c r="DN165" s="43" t="s">
        <v>504</v>
      </c>
      <c r="DO165" s="44"/>
      <c r="DP165" s="50"/>
      <c r="DQ165" s="46"/>
    </row>
    <row r="166" spans="1:121" s="37" customFormat="1" ht="32.25" customHeight="1" thickBot="1">
      <c r="A166" s="49"/>
      <c r="B166" s="1">
        <f t="shared" si="247"/>
        <v>17</v>
      </c>
      <c r="C166" s="249" t="s">
        <v>316</v>
      </c>
      <c r="D166" s="249" t="s">
        <v>317</v>
      </c>
      <c r="E166" s="47" t="s">
        <v>481</v>
      </c>
      <c r="F166" s="135">
        <v>34504</v>
      </c>
      <c r="G166" s="136" t="s">
        <v>110</v>
      </c>
      <c r="H166" s="131">
        <v>7.72</v>
      </c>
      <c r="I166" s="132">
        <v>20</v>
      </c>
      <c r="J166" s="133">
        <v>7.6</v>
      </c>
      <c r="K166" s="134">
        <v>20</v>
      </c>
      <c r="L166" s="53">
        <f t="shared" si="193"/>
        <v>7.66</v>
      </c>
      <c r="M166" s="58">
        <f t="shared" si="194"/>
        <v>40</v>
      </c>
      <c r="N166" s="222">
        <v>11.5</v>
      </c>
      <c r="O166" s="223">
        <v>11.5</v>
      </c>
      <c r="P166" s="140"/>
      <c r="Q166" s="228">
        <f t="shared" si="195"/>
        <v>11.5</v>
      </c>
      <c r="R166" s="229">
        <f t="shared" si="196"/>
        <v>5</v>
      </c>
      <c r="S166" s="241">
        <v>10</v>
      </c>
      <c r="T166" s="242">
        <v>4.5</v>
      </c>
      <c r="U166" s="285"/>
      <c r="V166" s="228">
        <f t="shared" si="197"/>
        <v>7.25</v>
      </c>
      <c r="W166" s="229">
        <f t="shared" si="198"/>
        <v>0</v>
      </c>
      <c r="X166" s="241">
        <v>8</v>
      </c>
      <c r="Y166" s="242">
        <v>1</v>
      </c>
      <c r="Z166" s="285"/>
      <c r="AA166" s="228">
        <f t="shared" si="199"/>
        <v>4.5</v>
      </c>
      <c r="AB166" s="229">
        <f t="shared" si="200"/>
        <v>0</v>
      </c>
      <c r="AC166" s="232">
        <f t="shared" si="201"/>
        <v>7.75</v>
      </c>
      <c r="AD166" s="233">
        <f t="shared" si="202"/>
        <v>5</v>
      </c>
      <c r="AE166" s="242">
        <v>8</v>
      </c>
      <c r="AF166" s="285"/>
      <c r="AG166" s="234">
        <f t="shared" si="203"/>
        <v>8</v>
      </c>
      <c r="AH166" s="235">
        <f t="shared" si="204"/>
        <v>0</v>
      </c>
      <c r="AI166" s="241">
        <v>0</v>
      </c>
      <c r="AJ166" s="242">
        <v>0</v>
      </c>
      <c r="AK166" s="285"/>
      <c r="AL166" s="228">
        <f t="shared" si="205"/>
        <v>0</v>
      </c>
      <c r="AM166" s="229">
        <f t="shared" si="206"/>
        <v>0</v>
      </c>
      <c r="AN166" s="241">
        <v>8.5</v>
      </c>
      <c r="AO166" s="242">
        <v>0</v>
      </c>
      <c r="AP166" s="285"/>
      <c r="AQ166" s="228">
        <f t="shared" si="207"/>
        <v>4.25</v>
      </c>
      <c r="AR166" s="229">
        <f t="shared" si="208"/>
        <v>0</v>
      </c>
      <c r="AS166" s="236">
        <f t="shared" si="209"/>
        <v>3.3</v>
      </c>
      <c r="AT166" s="237">
        <f t="shared" si="210"/>
        <v>0</v>
      </c>
      <c r="AU166" s="241"/>
      <c r="AV166" s="242">
        <v>1</v>
      </c>
      <c r="AW166" s="285"/>
      <c r="AX166" s="228">
        <f t="shared" si="211"/>
        <v>0.5</v>
      </c>
      <c r="AY166" s="229">
        <f t="shared" si="212"/>
        <v>0</v>
      </c>
      <c r="AZ166" s="242">
        <v>0</v>
      </c>
      <c r="BA166" s="285"/>
      <c r="BB166" s="234">
        <f t="shared" si="213"/>
        <v>0</v>
      </c>
      <c r="BC166" s="235">
        <f t="shared" si="214"/>
        <v>0</v>
      </c>
      <c r="BD166" s="236">
        <f t="shared" si="215"/>
        <v>0.25</v>
      </c>
      <c r="BE166" s="237">
        <f t="shared" si="216"/>
        <v>0</v>
      </c>
      <c r="BF166" s="245">
        <v>12.75</v>
      </c>
      <c r="BG166" s="246">
        <v>12.75</v>
      </c>
      <c r="BH166" s="285"/>
      <c r="BI166" s="228">
        <f t="shared" si="217"/>
        <v>12.75</v>
      </c>
      <c r="BJ166" s="229">
        <f t="shared" si="218"/>
        <v>1</v>
      </c>
      <c r="BK166" s="236">
        <f t="shared" si="219"/>
        <v>12.75</v>
      </c>
      <c r="BL166" s="237">
        <f t="shared" si="220"/>
        <v>1</v>
      </c>
      <c r="BM166" s="239">
        <f t="shared" si="221"/>
        <v>5.4464285714285712</v>
      </c>
      <c r="BN166" s="240">
        <f t="shared" si="222"/>
        <v>6</v>
      </c>
      <c r="BO166" s="271">
        <v>1.75</v>
      </c>
      <c r="BP166" s="272">
        <v>1.5</v>
      </c>
      <c r="BQ166" s="140"/>
      <c r="BR166" s="228">
        <f t="shared" si="223"/>
        <v>1.625</v>
      </c>
      <c r="BS166" s="229">
        <f t="shared" si="224"/>
        <v>0</v>
      </c>
      <c r="BT166" s="241">
        <v>10</v>
      </c>
      <c r="BU166" s="242">
        <v>10</v>
      </c>
      <c r="BV166" s="285"/>
      <c r="BW166" s="228">
        <f t="shared" si="225"/>
        <v>10</v>
      </c>
      <c r="BX166" s="229">
        <f t="shared" si="226"/>
        <v>6</v>
      </c>
      <c r="BY166" s="241"/>
      <c r="BZ166" s="242"/>
      <c r="CA166" s="285"/>
      <c r="CB166" s="228">
        <f t="shared" si="227"/>
        <v>0</v>
      </c>
      <c r="CC166" s="229">
        <f t="shared" si="228"/>
        <v>0</v>
      </c>
      <c r="CD166" s="297">
        <f t="shared" si="229"/>
        <v>4.6500000000000004</v>
      </c>
      <c r="CE166" s="233">
        <f t="shared" si="230"/>
        <v>6</v>
      </c>
      <c r="CF166" s="241">
        <v>0</v>
      </c>
      <c r="CG166" s="242">
        <v>3</v>
      </c>
      <c r="CH166" s="285"/>
      <c r="CI166" s="228">
        <f t="shared" si="231"/>
        <v>1.5</v>
      </c>
      <c r="CJ166" s="229">
        <f t="shared" si="232"/>
        <v>0</v>
      </c>
      <c r="CK166" s="230">
        <v>10</v>
      </c>
      <c r="CL166" s="231">
        <v>0</v>
      </c>
      <c r="CM166" s="285"/>
      <c r="CN166" s="228">
        <f t="shared" si="233"/>
        <v>5</v>
      </c>
      <c r="CO166" s="229">
        <f t="shared" si="234"/>
        <v>0</v>
      </c>
      <c r="CP166" s="232">
        <f t="shared" si="235"/>
        <v>3.25</v>
      </c>
      <c r="CQ166" s="233">
        <f t="shared" si="236"/>
        <v>0</v>
      </c>
      <c r="CR166" s="230">
        <v>4.25</v>
      </c>
      <c r="CS166" s="231">
        <v>0</v>
      </c>
      <c r="CT166" s="285"/>
      <c r="CU166" s="228">
        <f t="shared" si="237"/>
        <v>2.125</v>
      </c>
      <c r="CV166" s="229">
        <f t="shared" si="238"/>
        <v>0</v>
      </c>
      <c r="CW166" s="232">
        <f t="shared" si="239"/>
        <v>2.125</v>
      </c>
      <c r="CX166" s="233">
        <f t="shared" si="240"/>
        <v>0</v>
      </c>
      <c r="CY166" s="231">
        <v>2</v>
      </c>
      <c r="CZ166" s="285"/>
      <c r="DA166" s="234">
        <f t="shared" si="241"/>
        <v>2</v>
      </c>
      <c r="DB166" s="235">
        <f t="shared" si="242"/>
        <v>0</v>
      </c>
      <c r="DC166" s="232">
        <f t="shared" si="243"/>
        <v>2</v>
      </c>
      <c r="DD166" s="233">
        <f t="shared" si="244"/>
        <v>0</v>
      </c>
      <c r="DE166" s="65">
        <f t="shared" si="245"/>
        <v>3.5416666666666665</v>
      </c>
      <c r="DF166" s="66">
        <f t="shared" si="246"/>
        <v>6</v>
      </c>
      <c r="DG166" s="31">
        <f t="shared" si="186"/>
        <v>5.4464285714285712</v>
      </c>
      <c r="DH166" s="32">
        <f t="shared" si="187"/>
        <v>6</v>
      </c>
      <c r="DI166" s="33">
        <f t="shared" si="188"/>
        <v>3.5416666666666665</v>
      </c>
      <c r="DJ166" s="34">
        <f t="shared" si="189"/>
        <v>6</v>
      </c>
      <c r="DK166" s="67">
        <f t="shared" si="190"/>
        <v>4.4940476190476186</v>
      </c>
      <c r="DL166" s="35">
        <f t="shared" si="191"/>
        <v>12</v>
      </c>
      <c r="DM166" s="59">
        <f t="shared" si="192"/>
        <v>52</v>
      </c>
      <c r="DN166" s="43" t="str">
        <f t="shared" si="248"/>
        <v>راسب(ة)</v>
      </c>
      <c r="DP166" s="51"/>
      <c r="DQ166" s="46"/>
    </row>
    <row r="167" spans="1:121" s="37" customFormat="1" ht="32.25" customHeight="1" thickBot="1">
      <c r="A167" s="49"/>
      <c r="B167" s="1">
        <f t="shared" si="247"/>
        <v>18</v>
      </c>
      <c r="C167" s="249" t="s">
        <v>318</v>
      </c>
      <c r="D167" s="249" t="s">
        <v>319</v>
      </c>
      <c r="E167" s="47" t="s">
        <v>482</v>
      </c>
      <c r="F167" s="135">
        <v>35761</v>
      </c>
      <c r="G167" s="136" t="s">
        <v>110</v>
      </c>
      <c r="H167" s="131">
        <v>10</v>
      </c>
      <c r="I167" s="132">
        <v>30</v>
      </c>
      <c r="J167" s="133">
        <v>10</v>
      </c>
      <c r="K167" s="134">
        <v>30</v>
      </c>
      <c r="L167" s="53">
        <f t="shared" si="193"/>
        <v>10</v>
      </c>
      <c r="M167" s="58">
        <f t="shared" si="194"/>
        <v>60</v>
      </c>
      <c r="N167" s="222">
        <v>15</v>
      </c>
      <c r="O167" s="223">
        <v>8</v>
      </c>
      <c r="P167" s="140"/>
      <c r="Q167" s="228">
        <f t="shared" si="195"/>
        <v>11.5</v>
      </c>
      <c r="R167" s="229">
        <f t="shared" si="196"/>
        <v>5</v>
      </c>
      <c r="S167" s="241">
        <v>10</v>
      </c>
      <c r="T167" s="242">
        <v>6</v>
      </c>
      <c r="U167" s="285"/>
      <c r="V167" s="228">
        <f t="shared" si="197"/>
        <v>8</v>
      </c>
      <c r="W167" s="229">
        <f t="shared" si="198"/>
        <v>0</v>
      </c>
      <c r="X167" s="241">
        <v>11</v>
      </c>
      <c r="Y167" s="242">
        <v>4.75</v>
      </c>
      <c r="Z167" s="285"/>
      <c r="AA167" s="228">
        <f t="shared" si="199"/>
        <v>7.875</v>
      </c>
      <c r="AB167" s="229">
        <f t="shared" si="200"/>
        <v>0</v>
      </c>
      <c r="AC167" s="232">
        <f t="shared" si="201"/>
        <v>9.125</v>
      </c>
      <c r="AD167" s="233">
        <f t="shared" si="202"/>
        <v>5</v>
      </c>
      <c r="AE167" s="242">
        <v>7.5</v>
      </c>
      <c r="AF167" s="285"/>
      <c r="AG167" s="234">
        <f t="shared" si="203"/>
        <v>7.5</v>
      </c>
      <c r="AH167" s="235">
        <f t="shared" si="204"/>
        <v>0</v>
      </c>
      <c r="AI167" s="241">
        <v>1</v>
      </c>
      <c r="AJ167" s="242">
        <v>1.5</v>
      </c>
      <c r="AK167" s="285"/>
      <c r="AL167" s="228">
        <f t="shared" si="205"/>
        <v>1.25</v>
      </c>
      <c r="AM167" s="229">
        <f t="shared" si="206"/>
        <v>0</v>
      </c>
      <c r="AN167" s="241">
        <v>9.5</v>
      </c>
      <c r="AO167" s="242">
        <v>3</v>
      </c>
      <c r="AP167" s="285"/>
      <c r="AQ167" s="228">
        <f t="shared" si="207"/>
        <v>6.25</v>
      </c>
      <c r="AR167" s="229">
        <f t="shared" si="208"/>
        <v>0</v>
      </c>
      <c r="AS167" s="236">
        <f t="shared" si="209"/>
        <v>4.5</v>
      </c>
      <c r="AT167" s="237">
        <f t="shared" si="210"/>
        <v>0</v>
      </c>
      <c r="AU167" s="241">
        <v>1</v>
      </c>
      <c r="AV167" s="242">
        <v>2</v>
      </c>
      <c r="AW167" s="285"/>
      <c r="AX167" s="228">
        <f t="shared" si="211"/>
        <v>1.5</v>
      </c>
      <c r="AY167" s="229">
        <f t="shared" si="212"/>
        <v>0</v>
      </c>
      <c r="AZ167" s="242">
        <v>0</v>
      </c>
      <c r="BA167" s="285"/>
      <c r="BB167" s="234">
        <f t="shared" si="213"/>
        <v>0</v>
      </c>
      <c r="BC167" s="235">
        <f t="shared" si="214"/>
        <v>0</v>
      </c>
      <c r="BD167" s="236">
        <f t="shared" si="215"/>
        <v>0.75</v>
      </c>
      <c r="BE167" s="237">
        <f t="shared" si="216"/>
        <v>0</v>
      </c>
      <c r="BF167" s="241">
        <v>12.75</v>
      </c>
      <c r="BG167" s="242">
        <v>8.75</v>
      </c>
      <c r="BH167" s="285"/>
      <c r="BI167" s="228">
        <f t="shared" si="217"/>
        <v>10.75</v>
      </c>
      <c r="BJ167" s="229">
        <f t="shared" si="218"/>
        <v>1</v>
      </c>
      <c r="BK167" s="236">
        <f t="shared" si="219"/>
        <v>10.75</v>
      </c>
      <c r="BL167" s="237">
        <f t="shared" si="220"/>
        <v>1</v>
      </c>
      <c r="BM167" s="239">
        <f t="shared" si="221"/>
        <v>6.3928571428571432</v>
      </c>
      <c r="BN167" s="240">
        <f t="shared" si="222"/>
        <v>6</v>
      </c>
      <c r="BO167" s="277">
        <v>15.5</v>
      </c>
      <c r="BP167" s="278">
        <v>3.75</v>
      </c>
      <c r="BQ167" s="140">
        <v>6</v>
      </c>
      <c r="BR167" s="228">
        <f t="shared" si="223"/>
        <v>10.75</v>
      </c>
      <c r="BS167" s="229">
        <f t="shared" si="224"/>
        <v>6</v>
      </c>
      <c r="BT167" s="252">
        <v>12.5</v>
      </c>
      <c r="BU167" s="253">
        <v>3</v>
      </c>
      <c r="BV167" s="285">
        <v>5</v>
      </c>
      <c r="BW167" s="228">
        <f t="shared" si="225"/>
        <v>8.75</v>
      </c>
      <c r="BX167" s="229">
        <f t="shared" si="226"/>
        <v>0</v>
      </c>
      <c r="BY167" s="252">
        <v>6</v>
      </c>
      <c r="BZ167" s="253">
        <v>0</v>
      </c>
      <c r="CA167" s="305">
        <v>7</v>
      </c>
      <c r="CB167" s="228">
        <f t="shared" si="227"/>
        <v>6.5</v>
      </c>
      <c r="CC167" s="229">
        <f t="shared" si="228"/>
        <v>0</v>
      </c>
      <c r="CD167" s="297">
        <f t="shared" si="229"/>
        <v>9.1</v>
      </c>
      <c r="CE167" s="233">
        <f t="shared" si="230"/>
        <v>6</v>
      </c>
      <c r="CF167" s="252">
        <v>0</v>
      </c>
      <c r="CG167" s="253">
        <v>3.5</v>
      </c>
      <c r="CH167" s="285"/>
      <c r="CI167" s="228">
        <f t="shared" si="231"/>
        <v>1.75</v>
      </c>
      <c r="CJ167" s="229">
        <f t="shared" si="232"/>
        <v>0</v>
      </c>
      <c r="CK167" s="230">
        <v>12</v>
      </c>
      <c r="CL167" s="231">
        <v>4.5</v>
      </c>
      <c r="CM167" s="285"/>
      <c r="CN167" s="228">
        <f t="shared" si="233"/>
        <v>8.25</v>
      </c>
      <c r="CO167" s="229">
        <f t="shared" si="234"/>
        <v>0</v>
      </c>
      <c r="CP167" s="232">
        <f t="shared" si="235"/>
        <v>5</v>
      </c>
      <c r="CQ167" s="233">
        <f t="shared" si="236"/>
        <v>0</v>
      </c>
      <c r="CR167" s="230">
        <v>6.25</v>
      </c>
      <c r="CS167" s="231">
        <v>0.25</v>
      </c>
      <c r="CT167" s="285">
        <v>1.5</v>
      </c>
      <c r="CU167" s="228">
        <f t="shared" si="237"/>
        <v>3.875</v>
      </c>
      <c r="CV167" s="229">
        <f t="shared" si="238"/>
        <v>0</v>
      </c>
      <c r="CW167" s="232">
        <f t="shared" si="239"/>
        <v>3.875</v>
      </c>
      <c r="CX167" s="233">
        <f t="shared" si="240"/>
        <v>0</v>
      </c>
      <c r="CY167" s="231">
        <v>7</v>
      </c>
      <c r="CZ167" s="285">
        <v>12.5</v>
      </c>
      <c r="DA167" s="234">
        <f t="shared" si="241"/>
        <v>12.5</v>
      </c>
      <c r="DB167" s="235">
        <f t="shared" si="242"/>
        <v>1</v>
      </c>
      <c r="DC167" s="232">
        <f t="shared" si="243"/>
        <v>12.5</v>
      </c>
      <c r="DD167" s="233">
        <f t="shared" si="244"/>
        <v>1</v>
      </c>
      <c r="DE167" s="65">
        <f t="shared" si="245"/>
        <v>7.145833333333333</v>
      </c>
      <c r="DF167" s="66">
        <f t="shared" si="246"/>
        <v>7</v>
      </c>
      <c r="DG167" s="31">
        <f t="shared" si="186"/>
        <v>6.3928571428571432</v>
      </c>
      <c r="DH167" s="32">
        <f t="shared" si="187"/>
        <v>6</v>
      </c>
      <c r="DI167" s="33">
        <f t="shared" si="188"/>
        <v>7.145833333333333</v>
      </c>
      <c r="DJ167" s="34">
        <f t="shared" si="189"/>
        <v>7</v>
      </c>
      <c r="DK167" s="67">
        <f t="shared" si="190"/>
        <v>6.7693452380952381</v>
      </c>
      <c r="DL167" s="35">
        <f t="shared" si="191"/>
        <v>13</v>
      </c>
      <c r="DM167" s="59">
        <f t="shared" si="192"/>
        <v>73</v>
      </c>
      <c r="DN167" s="43" t="str">
        <f t="shared" si="248"/>
        <v>راسب(ة)</v>
      </c>
      <c r="DP167" s="51"/>
      <c r="DQ167" s="46"/>
    </row>
    <row r="168" spans="1:121" s="37" customFormat="1" ht="32.25" customHeight="1" thickBot="1">
      <c r="A168" s="49"/>
      <c r="B168" s="1">
        <f t="shared" si="247"/>
        <v>19</v>
      </c>
      <c r="C168" s="249" t="s">
        <v>320</v>
      </c>
      <c r="D168" s="249" t="s">
        <v>321</v>
      </c>
      <c r="E168" s="137" t="s">
        <v>483</v>
      </c>
      <c r="F168" s="135">
        <v>34806</v>
      </c>
      <c r="G168" s="136" t="s">
        <v>484</v>
      </c>
      <c r="H168" s="131">
        <v>10</v>
      </c>
      <c r="I168" s="132">
        <v>30</v>
      </c>
      <c r="J168" s="133">
        <v>10.02</v>
      </c>
      <c r="K168" s="134">
        <v>30</v>
      </c>
      <c r="L168" s="53">
        <f t="shared" si="193"/>
        <v>10.01</v>
      </c>
      <c r="M168" s="58">
        <f t="shared" si="194"/>
        <v>60</v>
      </c>
      <c r="N168" s="222">
        <v>13</v>
      </c>
      <c r="O168" s="223">
        <v>8</v>
      </c>
      <c r="P168" s="140"/>
      <c r="Q168" s="228">
        <f t="shared" si="195"/>
        <v>10.5</v>
      </c>
      <c r="R168" s="229">
        <f t="shared" si="196"/>
        <v>5</v>
      </c>
      <c r="S168" s="241">
        <v>10.5</v>
      </c>
      <c r="T168" s="242">
        <v>9.5</v>
      </c>
      <c r="U168" s="285"/>
      <c r="V168" s="228">
        <f t="shared" si="197"/>
        <v>10</v>
      </c>
      <c r="W168" s="229">
        <f t="shared" si="198"/>
        <v>6</v>
      </c>
      <c r="X168" s="241">
        <v>11.5</v>
      </c>
      <c r="Y168" s="242">
        <v>3.75</v>
      </c>
      <c r="Z168" s="285">
        <v>10.5</v>
      </c>
      <c r="AA168" s="228">
        <f t="shared" si="199"/>
        <v>11</v>
      </c>
      <c r="AB168" s="229">
        <f t="shared" si="200"/>
        <v>6</v>
      </c>
      <c r="AC168" s="232">
        <f t="shared" si="201"/>
        <v>10.5</v>
      </c>
      <c r="AD168" s="233">
        <f t="shared" si="202"/>
        <v>17</v>
      </c>
      <c r="AE168" s="242">
        <v>10</v>
      </c>
      <c r="AF168" s="285"/>
      <c r="AG168" s="234">
        <f t="shared" si="203"/>
        <v>10</v>
      </c>
      <c r="AH168" s="235">
        <f t="shared" si="204"/>
        <v>1</v>
      </c>
      <c r="AI168" s="241">
        <v>6</v>
      </c>
      <c r="AJ168" s="242">
        <v>0.5</v>
      </c>
      <c r="AK168" s="285">
        <v>6</v>
      </c>
      <c r="AL168" s="228">
        <f t="shared" si="205"/>
        <v>6</v>
      </c>
      <c r="AM168" s="229">
        <f t="shared" si="206"/>
        <v>0</v>
      </c>
      <c r="AN168" s="241">
        <v>8</v>
      </c>
      <c r="AO168" s="242">
        <v>0</v>
      </c>
      <c r="AP168" s="285"/>
      <c r="AQ168" s="228">
        <f t="shared" si="207"/>
        <v>4</v>
      </c>
      <c r="AR168" s="229">
        <f t="shared" si="208"/>
        <v>0</v>
      </c>
      <c r="AS168" s="236">
        <f t="shared" si="209"/>
        <v>6</v>
      </c>
      <c r="AT168" s="237">
        <f t="shared" si="210"/>
        <v>1</v>
      </c>
      <c r="AU168" s="241">
        <v>4</v>
      </c>
      <c r="AV168" s="242">
        <v>4</v>
      </c>
      <c r="AW168" s="285"/>
      <c r="AX168" s="228">
        <f t="shared" si="211"/>
        <v>4</v>
      </c>
      <c r="AY168" s="229">
        <f t="shared" si="212"/>
        <v>0</v>
      </c>
      <c r="AZ168" s="242">
        <v>6.5</v>
      </c>
      <c r="BA168" s="285"/>
      <c r="BB168" s="234">
        <f t="shared" si="213"/>
        <v>6.5</v>
      </c>
      <c r="BC168" s="235">
        <f t="shared" si="214"/>
        <v>0</v>
      </c>
      <c r="BD168" s="236">
        <f t="shared" si="215"/>
        <v>5.25</v>
      </c>
      <c r="BE168" s="237">
        <f t="shared" si="216"/>
        <v>0</v>
      </c>
      <c r="BF168" s="241">
        <v>10.5</v>
      </c>
      <c r="BG168" s="242">
        <v>7</v>
      </c>
      <c r="BH168" s="285"/>
      <c r="BI168" s="228">
        <f t="shared" si="217"/>
        <v>8.75</v>
      </c>
      <c r="BJ168" s="229">
        <f t="shared" si="218"/>
        <v>0</v>
      </c>
      <c r="BK168" s="236">
        <f t="shared" si="219"/>
        <v>8.75</v>
      </c>
      <c r="BL168" s="237">
        <f t="shared" si="220"/>
        <v>0</v>
      </c>
      <c r="BM168" s="239">
        <f t="shared" si="221"/>
        <v>8.0178571428571423</v>
      </c>
      <c r="BN168" s="240">
        <f t="shared" si="222"/>
        <v>18</v>
      </c>
      <c r="BO168" s="273"/>
      <c r="BP168" s="274"/>
      <c r="BQ168" s="140"/>
      <c r="BR168" s="228">
        <f t="shared" si="223"/>
        <v>0</v>
      </c>
      <c r="BS168" s="229">
        <f t="shared" si="224"/>
        <v>0</v>
      </c>
      <c r="BT168" s="252">
        <v>14</v>
      </c>
      <c r="BU168" s="253">
        <v>11.5</v>
      </c>
      <c r="BV168" s="285"/>
      <c r="BW168" s="228">
        <f t="shared" si="225"/>
        <v>12.75</v>
      </c>
      <c r="BX168" s="229">
        <f t="shared" si="226"/>
        <v>6</v>
      </c>
      <c r="BY168" s="282"/>
      <c r="BZ168" s="283"/>
      <c r="CA168" s="285"/>
      <c r="CB168" s="228">
        <f t="shared" si="227"/>
        <v>0</v>
      </c>
      <c r="CC168" s="229">
        <f t="shared" si="228"/>
        <v>0</v>
      </c>
      <c r="CD168" s="297">
        <f t="shared" si="229"/>
        <v>5.0999999999999996</v>
      </c>
      <c r="CE168" s="233">
        <f t="shared" si="230"/>
        <v>6</v>
      </c>
      <c r="CF168" s="282"/>
      <c r="CG168" s="283"/>
      <c r="CH168" s="285"/>
      <c r="CI168" s="228">
        <f t="shared" si="231"/>
        <v>0</v>
      </c>
      <c r="CJ168" s="229">
        <f t="shared" si="232"/>
        <v>0</v>
      </c>
      <c r="CK168" s="230">
        <v>10</v>
      </c>
      <c r="CL168" s="231">
        <v>0</v>
      </c>
      <c r="CM168" s="285"/>
      <c r="CN168" s="228">
        <f t="shared" si="233"/>
        <v>5</v>
      </c>
      <c r="CO168" s="229">
        <f t="shared" si="234"/>
        <v>0</v>
      </c>
      <c r="CP168" s="232">
        <f t="shared" si="235"/>
        <v>2.5</v>
      </c>
      <c r="CQ168" s="233">
        <f t="shared" si="236"/>
        <v>0</v>
      </c>
      <c r="CR168" s="230">
        <v>6.75</v>
      </c>
      <c r="CS168" s="231">
        <v>1.25</v>
      </c>
      <c r="CT168" s="285"/>
      <c r="CU168" s="228">
        <f t="shared" si="237"/>
        <v>4</v>
      </c>
      <c r="CV168" s="229">
        <f t="shared" si="238"/>
        <v>0</v>
      </c>
      <c r="CW168" s="232">
        <f t="shared" si="239"/>
        <v>4</v>
      </c>
      <c r="CX168" s="233">
        <f t="shared" si="240"/>
        <v>0</v>
      </c>
      <c r="CY168" s="231">
        <v>12</v>
      </c>
      <c r="CZ168" s="285"/>
      <c r="DA168" s="234">
        <f t="shared" si="241"/>
        <v>12</v>
      </c>
      <c r="DB168" s="235">
        <f t="shared" si="242"/>
        <v>1</v>
      </c>
      <c r="DC168" s="232">
        <f t="shared" si="243"/>
        <v>12</v>
      </c>
      <c r="DD168" s="233">
        <f t="shared" si="244"/>
        <v>1</v>
      </c>
      <c r="DE168" s="65">
        <f t="shared" si="245"/>
        <v>4.625</v>
      </c>
      <c r="DF168" s="66">
        <f t="shared" si="246"/>
        <v>7</v>
      </c>
      <c r="DG168" s="31">
        <f t="shared" si="186"/>
        <v>8.0178571428571423</v>
      </c>
      <c r="DH168" s="32">
        <f t="shared" si="187"/>
        <v>18</v>
      </c>
      <c r="DI168" s="33">
        <f t="shared" si="188"/>
        <v>4.625</v>
      </c>
      <c r="DJ168" s="34">
        <f t="shared" si="189"/>
        <v>7</v>
      </c>
      <c r="DK168" s="67">
        <f t="shared" si="190"/>
        <v>6.3214285714285712</v>
      </c>
      <c r="DL168" s="35">
        <f t="shared" si="191"/>
        <v>25</v>
      </c>
      <c r="DM168" s="59">
        <f t="shared" si="192"/>
        <v>85</v>
      </c>
      <c r="DN168" s="43" t="str">
        <f t="shared" si="248"/>
        <v>راسب(ة)</v>
      </c>
      <c r="DO168" s="44"/>
      <c r="DP168" s="50"/>
      <c r="DQ168" s="46"/>
    </row>
    <row r="169" spans="1:121" s="37" customFormat="1" ht="32.25" customHeight="1" thickBot="1">
      <c r="A169" s="49"/>
      <c r="B169" s="1">
        <f t="shared" si="247"/>
        <v>20</v>
      </c>
      <c r="C169" s="249" t="s">
        <v>322</v>
      </c>
      <c r="D169" s="249" t="s">
        <v>323</v>
      </c>
      <c r="E169" s="47" t="s">
        <v>485</v>
      </c>
      <c r="F169" s="135">
        <v>35358</v>
      </c>
      <c r="G169" s="136" t="s">
        <v>402</v>
      </c>
      <c r="H169" s="131">
        <v>9.91</v>
      </c>
      <c r="I169" s="132">
        <v>30</v>
      </c>
      <c r="J169" s="133">
        <v>10.1</v>
      </c>
      <c r="K169" s="134">
        <v>30</v>
      </c>
      <c r="L169" s="53">
        <f t="shared" si="193"/>
        <v>10.004999999999999</v>
      </c>
      <c r="M169" s="58">
        <f t="shared" si="194"/>
        <v>60</v>
      </c>
      <c r="N169" s="224"/>
      <c r="O169" s="225"/>
      <c r="P169" s="140"/>
      <c r="Q169" s="228">
        <f t="shared" si="195"/>
        <v>0</v>
      </c>
      <c r="R169" s="229">
        <f t="shared" si="196"/>
        <v>0</v>
      </c>
      <c r="S169" s="247"/>
      <c r="T169" s="248"/>
      <c r="U169" s="285"/>
      <c r="V169" s="228">
        <f t="shared" si="197"/>
        <v>0</v>
      </c>
      <c r="W169" s="229">
        <f t="shared" si="198"/>
        <v>0</v>
      </c>
      <c r="X169" s="241">
        <v>0</v>
      </c>
      <c r="Y169" s="242"/>
      <c r="Z169" s="285"/>
      <c r="AA169" s="228">
        <f t="shared" si="199"/>
        <v>0</v>
      </c>
      <c r="AB169" s="229">
        <f t="shared" si="200"/>
        <v>0</v>
      </c>
      <c r="AC169" s="232">
        <f t="shared" si="201"/>
        <v>0</v>
      </c>
      <c r="AD169" s="233">
        <f t="shared" si="202"/>
        <v>0</v>
      </c>
      <c r="AE169" s="248"/>
      <c r="AF169" s="285"/>
      <c r="AG169" s="234">
        <f t="shared" si="203"/>
        <v>0</v>
      </c>
      <c r="AH169" s="235">
        <f t="shared" si="204"/>
        <v>0</v>
      </c>
      <c r="AI169" s="247"/>
      <c r="AJ169" s="248"/>
      <c r="AK169" s="285"/>
      <c r="AL169" s="228">
        <f t="shared" si="205"/>
        <v>0</v>
      </c>
      <c r="AM169" s="229">
        <f t="shared" si="206"/>
        <v>0</v>
      </c>
      <c r="AN169" s="247"/>
      <c r="AO169" s="248"/>
      <c r="AP169" s="285"/>
      <c r="AQ169" s="228">
        <f t="shared" si="207"/>
        <v>0</v>
      </c>
      <c r="AR169" s="229">
        <f t="shared" si="208"/>
        <v>0</v>
      </c>
      <c r="AS169" s="236">
        <f t="shared" si="209"/>
        <v>0</v>
      </c>
      <c r="AT169" s="237">
        <f t="shared" si="210"/>
        <v>0</v>
      </c>
      <c r="AU169" s="247"/>
      <c r="AV169" s="248"/>
      <c r="AW169" s="285"/>
      <c r="AX169" s="228">
        <f t="shared" si="211"/>
        <v>0</v>
      </c>
      <c r="AY169" s="229">
        <f t="shared" si="212"/>
        <v>0</v>
      </c>
      <c r="AZ169" s="242"/>
      <c r="BA169" s="285"/>
      <c r="BB169" s="234">
        <f t="shared" si="213"/>
        <v>0</v>
      </c>
      <c r="BC169" s="235">
        <f t="shared" si="214"/>
        <v>0</v>
      </c>
      <c r="BD169" s="236">
        <f t="shared" si="215"/>
        <v>0</v>
      </c>
      <c r="BE169" s="237">
        <f t="shared" si="216"/>
        <v>0</v>
      </c>
      <c r="BF169" s="247"/>
      <c r="BG169" s="248"/>
      <c r="BH169" s="285"/>
      <c r="BI169" s="228">
        <f t="shared" si="217"/>
        <v>0</v>
      </c>
      <c r="BJ169" s="229">
        <f t="shared" si="218"/>
        <v>0</v>
      </c>
      <c r="BK169" s="236">
        <f t="shared" si="219"/>
        <v>0</v>
      </c>
      <c r="BL169" s="237">
        <f t="shared" si="220"/>
        <v>0</v>
      </c>
      <c r="BM169" s="239">
        <f t="shared" si="221"/>
        <v>0</v>
      </c>
      <c r="BN169" s="240">
        <f t="shared" si="222"/>
        <v>0</v>
      </c>
      <c r="BO169" s="271"/>
      <c r="BP169" s="272"/>
      <c r="BQ169" s="140"/>
      <c r="BR169" s="228">
        <f t="shared" si="223"/>
        <v>0</v>
      </c>
      <c r="BS169" s="229">
        <f t="shared" si="224"/>
        <v>0</v>
      </c>
      <c r="BT169" s="241"/>
      <c r="BU169" s="242"/>
      <c r="BV169" s="285"/>
      <c r="BW169" s="228">
        <f t="shared" si="225"/>
        <v>0</v>
      </c>
      <c r="BX169" s="229">
        <f t="shared" si="226"/>
        <v>0</v>
      </c>
      <c r="BY169" s="241"/>
      <c r="BZ169" s="242"/>
      <c r="CA169" s="285"/>
      <c r="CB169" s="228">
        <f t="shared" si="227"/>
        <v>0</v>
      </c>
      <c r="CC169" s="229">
        <f t="shared" si="228"/>
        <v>0</v>
      </c>
      <c r="CD169" s="297">
        <f t="shared" si="229"/>
        <v>0</v>
      </c>
      <c r="CE169" s="233">
        <f t="shared" si="230"/>
        <v>0</v>
      </c>
      <c r="CF169" s="241">
        <v>0</v>
      </c>
      <c r="CG169" s="242"/>
      <c r="CH169" s="285"/>
      <c r="CI169" s="228">
        <f t="shared" si="231"/>
        <v>0</v>
      </c>
      <c r="CJ169" s="229">
        <f t="shared" si="232"/>
        <v>0</v>
      </c>
      <c r="CK169" s="230"/>
      <c r="CL169" s="231"/>
      <c r="CM169" s="285"/>
      <c r="CN169" s="228">
        <f t="shared" si="233"/>
        <v>0</v>
      </c>
      <c r="CO169" s="229">
        <f t="shared" si="234"/>
        <v>0</v>
      </c>
      <c r="CP169" s="232">
        <f t="shared" si="235"/>
        <v>0</v>
      </c>
      <c r="CQ169" s="233">
        <f t="shared" si="236"/>
        <v>0</v>
      </c>
      <c r="CR169" s="230"/>
      <c r="CS169" s="231"/>
      <c r="CT169" s="285"/>
      <c r="CU169" s="228">
        <f t="shared" si="237"/>
        <v>0</v>
      </c>
      <c r="CV169" s="229">
        <f t="shared" si="238"/>
        <v>0</v>
      </c>
      <c r="CW169" s="232">
        <f t="shared" si="239"/>
        <v>0</v>
      </c>
      <c r="CX169" s="233">
        <f t="shared" si="240"/>
        <v>0</v>
      </c>
      <c r="CY169" s="231"/>
      <c r="CZ169" s="285"/>
      <c r="DA169" s="234">
        <f t="shared" si="241"/>
        <v>0</v>
      </c>
      <c r="DB169" s="235">
        <f t="shared" si="242"/>
        <v>0</v>
      </c>
      <c r="DC169" s="232">
        <f t="shared" si="243"/>
        <v>0</v>
      </c>
      <c r="DD169" s="233">
        <f t="shared" si="244"/>
        <v>0</v>
      </c>
      <c r="DE169" s="65">
        <f t="shared" si="245"/>
        <v>0</v>
      </c>
      <c r="DF169" s="66">
        <f t="shared" si="246"/>
        <v>0</v>
      </c>
      <c r="DG169" s="31">
        <f t="shared" si="186"/>
        <v>0</v>
      </c>
      <c r="DH169" s="32">
        <f t="shared" si="187"/>
        <v>0</v>
      </c>
      <c r="DI169" s="33">
        <f t="shared" si="188"/>
        <v>0</v>
      </c>
      <c r="DJ169" s="34">
        <f t="shared" si="189"/>
        <v>0</v>
      </c>
      <c r="DK169" s="67">
        <f t="shared" si="190"/>
        <v>0</v>
      </c>
      <c r="DL169" s="35">
        <f t="shared" si="191"/>
        <v>0</v>
      </c>
      <c r="DM169" s="59">
        <f t="shared" si="192"/>
        <v>60</v>
      </c>
      <c r="DN169" s="43" t="s">
        <v>505</v>
      </c>
      <c r="DO169" s="44"/>
      <c r="DP169" s="50"/>
      <c r="DQ169" s="46"/>
    </row>
    <row r="170" spans="1:121" s="37" customFormat="1" ht="32.25" customHeight="1" thickBot="1">
      <c r="A170" s="49"/>
      <c r="B170" s="1">
        <f t="shared" si="247"/>
        <v>21</v>
      </c>
      <c r="C170" s="249" t="s">
        <v>324</v>
      </c>
      <c r="D170" s="249" t="s">
        <v>487</v>
      </c>
      <c r="E170" s="47" t="s">
        <v>486</v>
      </c>
      <c r="F170" s="135">
        <v>35272</v>
      </c>
      <c r="G170" s="52" t="s">
        <v>427</v>
      </c>
      <c r="H170" s="131">
        <v>4.08</v>
      </c>
      <c r="I170" s="132">
        <v>11</v>
      </c>
      <c r="J170" s="133">
        <v>6.38</v>
      </c>
      <c r="K170" s="134">
        <v>20</v>
      </c>
      <c r="L170" s="53">
        <f t="shared" si="193"/>
        <v>5.23</v>
      </c>
      <c r="M170" s="58">
        <f t="shared" si="194"/>
        <v>31</v>
      </c>
      <c r="N170" s="222"/>
      <c r="O170" s="223">
        <v>8</v>
      </c>
      <c r="P170" s="140"/>
      <c r="Q170" s="228">
        <f t="shared" si="195"/>
        <v>4</v>
      </c>
      <c r="R170" s="229">
        <f t="shared" si="196"/>
        <v>0</v>
      </c>
      <c r="S170" s="241">
        <v>10.5</v>
      </c>
      <c r="T170" s="242"/>
      <c r="U170" s="285"/>
      <c r="V170" s="228">
        <f t="shared" si="197"/>
        <v>5.25</v>
      </c>
      <c r="W170" s="229">
        <f t="shared" si="198"/>
        <v>0</v>
      </c>
      <c r="X170" s="241">
        <v>10</v>
      </c>
      <c r="Y170" s="242">
        <v>6</v>
      </c>
      <c r="Z170" s="285"/>
      <c r="AA170" s="228">
        <f t="shared" si="199"/>
        <v>8</v>
      </c>
      <c r="AB170" s="229">
        <f t="shared" si="200"/>
        <v>0</v>
      </c>
      <c r="AC170" s="232">
        <f t="shared" si="201"/>
        <v>5.75</v>
      </c>
      <c r="AD170" s="233">
        <f t="shared" si="202"/>
        <v>0</v>
      </c>
      <c r="AE170" s="242">
        <v>6.5</v>
      </c>
      <c r="AF170" s="285"/>
      <c r="AG170" s="234">
        <f t="shared" si="203"/>
        <v>6.5</v>
      </c>
      <c r="AH170" s="235">
        <f t="shared" si="204"/>
        <v>0</v>
      </c>
      <c r="AI170" s="241">
        <v>2</v>
      </c>
      <c r="AJ170" s="242">
        <v>0.5</v>
      </c>
      <c r="AK170" s="285"/>
      <c r="AL170" s="228">
        <f t="shared" si="205"/>
        <v>1.25</v>
      </c>
      <c r="AM170" s="229">
        <f t="shared" si="206"/>
        <v>0</v>
      </c>
      <c r="AN170" s="241">
        <v>8.75</v>
      </c>
      <c r="AO170" s="242">
        <v>2</v>
      </c>
      <c r="AP170" s="285"/>
      <c r="AQ170" s="228">
        <f t="shared" si="207"/>
        <v>5.375</v>
      </c>
      <c r="AR170" s="229">
        <f t="shared" si="208"/>
        <v>0</v>
      </c>
      <c r="AS170" s="236">
        <f t="shared" si="209"/>
        <v>3.95</v>
      </c>
      <c r="AT170" s="237">
        <f t="shared" si="210"/>
        <v>0</v>
      </c>
      <c r="AU170" s="241"/>
      <c r="AV170" s="242">
        <v>1</v>
      </c>
      <c r="AW170" s="285"/>
      <c r="AX170" s="228">
        <f t="shared" si="211"/>
        <v>0.5</v>
      </c>
      <c r="AY170" s="229">
        <f t="shared" si="212"/>
        <v>0</v>
      </c>
      <c r="AZ170" s="242">
        <v>3.5</v>
      </c>
      <c r="BA170" s="285"/>
      <c r="BB170" s="234">
        <f t="shared" si="213"/>
        <v>3.5</v>
      </c>
      <c r="BC170" s="235">
        <f t="shared" si="214"/>
        <v>0</v>
      </c>
      <c r="BD170" s="236">
        <f t="shared" si="215"/>
        <v>2</v>
      </c>
      <c r="BE170" s="237">
        <f t="shared" si="216"/>
        <v>0</v>
      </c>
      <c r="BF170" s="241">
        <v>5</v>
      </c>
      <c r="BG170" s="242">
        <v>3.25</v>
      </c>
      <c r="BH170" s="285"/>
      <c r="BI170" s="228">
        <f t="shared" si="217"/>
        <v>4.125</v>
      </c>
      <c r="BJ170" s="229">
        <f t="shared" si="218"/>
        <v>0</v>
      </c>
      <c r="BK170" s="236">
        <f t="shared" si="219"/>
        <v>4.125</v>
      </c>
      <c r="BL170" s="237">
        <f t="shared" si="220"/>
        <v>0</v>
      </c>
      <c r="BM170" s="239">
        <f t="shared" si="221"/>
        <v>4.4553571428571432</v>
      </c>
      <c r="BN170" s="240">
        <f t="shared" si="222"/>
        <v>0</v>
      </c>
      <c r="BO170" s="277">
        <v>2</v>
      </c>
      <c r="BP170" s="278">
        <v>6.5</v>
      </c>
      <c r="BQ170" s="140"/>
      <c r="BR170" s="228">
        <f t="shared" si="223"/>
        <v>4.25</v>
      </c>
      <c r="BS170" s="229">
        <f t="shared" si="224"/>
        <v>0</v>
      </c>
      <c r="BT170" s="252">
        <v>4.5</v>
      </c>
      <c r="BU170" s="253">
        <v>15.5</v>
      </c>
      <c r="BV170" s="285"/>
      <c r="BW170" s="228">
        <f t="shared" si="225"/>
        <v>10</v>
      </c>
      <c r="BX170" s="229">
        <f t="shared" si="226"/>
        <v>6</v>
      </c>
      <c r="BY170" s="252">
        <v>6.5</v>
      </c>
      <c r="BZ170" s="253">
        <v>0</v>
      </c>
      <c r="CA170" s="285"/>
      <c r="CB170" s="228">
        <f t="shared" si="227"/>
        <v>3.25</v>
      </c>
      <c r="CC170" s="229">
        <f t="shared" si="228"/>
        <v>0</v>
      </c>
      <c r="CD170" s="297">
        <f t="shared" si="229"/>
        <v>6.35</v>
      </c>
      <c r="CE170" s="233">
        <f t="shared" si="230"/>
        <v>6</v>
      </c>
      <c r="CF170" s="252">
        <v>4</v>
      </c>
      <c r="CG170" s="253">
        <v>5.75</v>
      </c>
      <c r="CH170" s="285"/>
      <c r="CI170" s="228">
        <f t="shared" si="231"/>
        <v>4.875</v>
      </c>
      <c r="CJ170" s="229">
        <f t="shared" si="232"/>
        <v>0</v>
      </c>
      <c r="CK170" s="230">
        <v>13</v>
      </c>
      <c r="CL170" s="231">
        <v>5.5</v>
      </c>
      <c r="CM170" s="285"/>
      <c r="CN170" s="228">
        <f t="shared" si="233"/>
        <v>9.25</v>
      </c>
      <c r="CO170" s="229">
        <f t="shared" si="234"/>
        <v>0</v>
      </c>
      <c r="CP170" s="232">
        <f t="shared" si="235"/>
        <v>7.0625</v>
      </c>
      <c r="CQ170" s="233">
        <f t="shared" si="236"/>
        <v>0</v>
      </c>
      <c r="CR170" s="230">
        <v>7.75</v>
      </c>
      <c r="CS170" s="231">
        <v>0</v>
      </c>
      <c r="CT170" s="285"/>
      <c r="CU170" s="228">
        <f t="shared" si="237"/>
        <v>3.875</v>
      </c>
      <c r="CV170" s="229">
        <f t="shared" si="238"/>
        <v>0</v>
      </c>
      <c r="CW170" s="232">
        <f t="shared" si="239"/>
        <v>3.875</v>
      </c>
      <c r="CX170" s="233">
        <f t="shared" si="240"/>
        <v>0</v>
      </c>
      <c r="CY170" s="231">
        <v>3</v>
      </c>
      <c r="CZ170" s="285"/>
      <c r="DA170" s="234">
        <f t="shared" si="241"/>
        <v>3</v>
      </c>
      <c r="DB170" s="235">
        <f t="shared" si="242"/>
        <v>0</v>
      </c>
      <c r="DC170" s="232">
        <f t="shared" si="243"/>
        <v>3</v>
      </c>
      <c r="DD170" s="233">
        <f t="shared" si="244"/>
        <v>0</v>
      </c>
      <c r="DE170" s="65">
        <f t="shared" si="245"/>
        <v>5.895833333333333</v>
      </c>
      <c r="DF170" s="66">
        <f t="shared" si="246"/>
        <v>6</v>
      </c>
      <c r="DG170" s="31">
        <f t="shared" si="186"/>
        <v>4.4553571428571432</v>
      </c>
      <c r="DH170" s="32">
        <f t="shared" si="187"/>
        <v>0</v>
      </c>
      <c r="DI170" s="33">
        <f t="shared" si="188"/>
        <v>5.895833333333333</v>
      </c>
      <c r="DJ170" s="34">
        <f t="shared" si="189"/>
        <v>6</v>
      </c>
      <c r="DK170" s="67">
        <f t="shared" si="190"/>
        <v>5.1755952380952381</v>
      </c>
      <c r="DL170" s="35">
        <f t="shared" si="191"/>
        <v>6</v>
      </c>
      <c r="DM170" s="59">
        <f t="shared" si="192"/>
        <v>37</v>
      </c>
      <c r="DN170" s="43" t="str">
        <f t="shared" si="248"/>
        <v>راسب(ة)</v>
      </c>
      <c r="DO170" s="44"/>
      <c r="DP170" s="50"/>
      <c r="DQ170" s="46"/>
    </row>
    <row r="171" spans="1:121" s="37" customFormat="1" ht="32.25" customHeight="1" thickBot="1">
      <c r="A171" s="49"/>
      <c r="B171" s="1">
        <f t="shared" si="247"/>
        <v>22</v>
      </c>
      <c r="C171" s="249" t="s">
        <v>325</v>
      </c>
      <c r="D171" s="249" t="s">
        <v>286</v>
      </c>
      <c r="E171" s="45" t="s">
        <v>488</v>
      </c>
      <c r="F171" s="135">
        <v>34831</v>
      </c>
      <c r="G171" s="136" t="s">
        <v>110</v>
      </c>
      <c r="H171" s="131">
        <v>10.1</v>
      </c>
      <c r="I171" s="132">
        <v>30</v>
      </c>
      <c r="J171" s="133">
        <v>7.43</v>
      </c>
      <c r="K171" s="134">
        <v>13</v>
      </c>
      <c r="L171" s="53">
        <f t="shared" si="193"/>
        <v>8.7650000000000006</v>
      </c>
      <c r="M171" s="58">
        <f t="shared" si="194"/>
        <v>43</v>
      </c>
      <c r="N171" s="222">
        <v>13</v>
      </c>
      <c r="O171" s="223">
        <v>8</v>
      </c>
      <c r="P171" s="140"/>
      <c r="Q171" s="228">
        <f t="shared" si="195"/>
        <v>10.5</v>
      </c>
      <c r="R171" s="229">
        <f t="shared" si="196"/>
        <v>5</v>
      </c>
      <c r="S171" s="241">
        <v>12.5</v>
      </c>
      <c r="T171" s="242">
        <v>7.5</v>
      </c>
      <c r="U171" s="285"/>
      <c r="V171" s="228">
        <f t="shared" si="197"/>
        <v>10</v>
      </c>
      <c r="W171" s="229">
        <f t="shared" si="198"/>
        <v>6</v>
      </c>
      <c r="X171" s="241">
        <v>14.5</v>
      </c>
      <c r="Y171" s="242">
        <v>5.5</v>
      </c>
      <c r="Z171" s="285"/>
      <c r="AA171" s="228">
        <f t="shared" si="199"/>
        <v>10</v>
      </c>
      <c r="AB171" s="229">
        <f t="shared" si="200"/>
        <v>6</v>
      </c>
      <c r="AC171" s="232">
        <f t="shared" si="201"/>
        <v>10.166666666666666</v>
      </c>
      <c r="AD171" s="233">
        <f t="shared" si="202"/>
        <v>17</v>
      </c>
      <c r="AE171" s="242">
        <v>6</v>
      </c>
      <c r="AF171" s="285">
        <v>13.5</v>
      </c>
      <c r="AG171" s="234">
        <f t="shared" si="203"/>
        <v>13.5</v>
      </c>
      <c r="AH171" s="235">
        <f t="shared" si="204"/>
        <v>1</v>
      </c>
      <c r="AI171" s="241">
        <v>12</v>
      </c>
      <c r="AJ171" s="242">
        <v>3.5</v>
      </c>
      <c r="AK171" s="285">
        <v>13</v>
      </c>
      <c r="AL171" s="228">
        <f t="shared" si="205"/>
        <v>12.5</v>
      </c>
      <c r="AM171" s="229">
        <f t="shared" si="206"/>
        <v>3</v>
      </c>
      <c r="AN171" s="241">
        <v>9.5</v>
      </c>
      <c r="AO171" s="242">
        <v>1</v>
      </c>
      <c r="AP171" s="285"/>
      <c r="AQ171" s="228">
        <f t="shared" si="207"/>
        <v>5.25</v>
      </c>
      <c r="AR171" s="229">
        <f t="shared" si="208"/>
        <v>0</v>
      </c>
      <c r="AS171" s="236">
        <f t="shared" si="209"/>
        <v>9.8000000000000007</v>
      </c>
      <c r="AT171" s="237">
        <f t="shared" si="210"/>
        <v>4</v>
      </c>
      <c r="AU171" s="241">
        <v>6</v>
      </c>
      <c r="AV171" s="242">
        <v>4</v>
      </c>
      <c r="AW171" s="285">
        <v>16</v>
      </c>
      <c r="AX171" s="228">
        <f t="shared" si="211"/>
        <v>11</v>
      </c>
      <c r="AY171" s="229">
        <f t="shared" si="212"/>
        <v>4</v>
      </c>
      <c r="AZ171" s="242">
        <v>7</v>
      </c>
      <c r="BA171" s="285"/>
      <c r="BB171" s="234">
        <f t="shared" si="213"/>
        <v>7</v>
      </c>
      <c r="BC171" s="235">
        <f t="shared" si="214"/>
        <v>0</v>
      </c>
      <c r="BD171" s="236">
        <f t="shared" si="215"/>
        <v>9</v>
      </c>
      <c r="BE171" s="237">
        <f t="shared" si="216"/>
        <v>4</v>
      </c>
      <c r="BF171" s="241">
        <v>9.5</v>
      </c>
      <c r="BG171" s="242">
        <v>7.5</v>
      </c>
      <c r="BH171" s="285">
        <v>15</v>
      </c>
      <c r="BI171" s="228">
        <f t="shared" si="217"/>
        <v>12.25</v>
      </c>
      <c r="BJ171" s="229">
        <f t="shared" si="218"/>
        <v>1</v>
      </c>
      <c r="BK171" s="236">
        <f t="shared" si="219"/>
        <v>12.25</v>
      </c>
      <c r="BL171" s="237">
        <f t="shared" si="220"/>
        <v>1</v>
      </c>
      <c r="BM171" s="239">
        <f t="shared" si="221"/>
        <v>10.017857142857142</v>
      </c>
      <c r="BN171" s="240">
        <f t="shared" si="222"/>
        <v>30</v>
      </c>
      <c r="BO171" s="271">
        <v>14.5</v>
      </c>
      <c r="BP171" s="272">
        <v>5</v>
      </c>
      <c r="BQ171" s="140">
        <v>5</v>
      </c>
      <c r="BR171" s="228">
        <f t="shared" si="223"/>
        <v>9.75</v>
      </c>
      <c r="BS171" s="229">
        <f t="shared" si="224"/>
        <v>0</v>
      </c>
      <c r="BT171" s="241">
        <v>16</v>
      </c>
      <c r="BU171" s="242">
        <v>7</v>
      </c>
      <c r="BV171" s="285"/>
      <c r="BW171" s="228">
        <f t="shared" si="225"/>
        <v>11.5</v>
      </c>
      <c r="BX171" s="229">
        <f t="shared" si="226"/>
        <v>6</v>
      </c>
      <c r="BY171" s="241">
        <v>13</v>
      </c>
      <c r="BZ171" s="242">
        <v>2.5</v>
      </c>
      <c r="CA171" s="285">
        <v>6.25</v>
      </c>
      <c r="CB171" s="228">
        <f t="shared" si="227"/>
        <v>9.625</v>
      </c>
      <c r="CC171" s="229">
        <f t="shared" si="228"/>
        <v>0</v>
      </c>
      <c r="CD171" s="297">
        <f t="shared" si="229"/>
        <v>10.425000000000001</v>
      </c>
      <c r="CE171" s="233">
        <f t="shared" si="230"/>
        <v>16</v>
      </c>
      <c r="CF171" s="241">
        <v>8</v>
      </c>
      <c r="CG171" s="242">
        <v>10</v>
      </c>
      <c r="CH171" s="285"/>
      <c r="CI171" s="228">
        <f t="shared" si="231"/>
        <v>9</v>
      </c>
      <c r="CJ171" s="229">
        <f t="shared" si="232"/>
        <v>0</v>
      </c>
      <c r="CK171" s="230">
        <v>12.5</v>
      </c>
      <c r="CL171" s="231">
        <v>7.5</v>
      </c>
      <c r="CM171" s="285"/>
      <c r="CN171" s="228">
        <f t="shared" si="233"/>
        <v>10</v>
      </c>
      <c r="CO171" s="229">
        <f t="shared" si="234"/>
        <v>5</v>
      </c>
      <c r="CP171" s="232">
        <f t="shared" si="235"/>
        <v>9.5</v>
      </c>
      <c r="CQ171" s="233">
        <f t="shared" si="236"/>
        <v>5</v>
      </c>
      <c r="CR171" s="230">
        <v>12.75</v>
      </c>
      <c r="CS171" s="231">
        <v>4.25</v>
      </c>
      <c r="CT171" s="285">
        <v>6.25</v>
      </c>
      <c r="CU171" s="228">
        <f t="shared" si="237"/>
        <v>9.5</v>
      </c>
      <c r="CV171" s="229">
        <f t="shared" si="238"/>
        <v>0</v>
      </c>
      <c r="CW171" s="232">
        <f t="shared" si="239"/>
        <v>9.5</v>
      </c>
      <c r="CX171" s="233">
        <f t="shared" si="240"/>
        <v>0</v>
      </c>
      <c r="CY171" s="231">
        <v>11</v>
      </c>
      <c r="CZ171" s="285"/>
      <c r="DA171" s="234">
        <f t="shared" si="241"/>
        <v>11</v>
      </c>
      <c r="DB171" s="235">
        <f t="shared" si="242"/>
        <v>1</v>
      </c>
      <c r="DC171" s="232">
        <f t="shared" si="243"/>
        <v>11</v>
      </c>
      <c r="DD171" s="233">
        <f t="shared" si="244"/>
        <v>1</v>
      </c>
      <c r="DE171" s="65">
        <f t="shared" si="245"/>
        <v>10.010416666666666</v>
      </c>
      <c r="DF171" s="66">
        <f t="shared" si="246"/>
        <v>30</v>
      </c>
      <c r="DG171" s="31">
        <f t="shared" si="186"/>
        <v>10.017857142857142</v>
      </c>
      <c r="DH171" s="32">
        <f t="shared" si="187"/>
        <v>30</v>
      </c>
      <c r="DI171" s="33">
        <f t="shared" si="188"/>
        <v>10.010416666666666</v>
      </c>
      <c r="DJ171" s="34">
        <f t="shared" si="189"/>
        <v>30</v>
      </c>
      <c r="DK171" s="67">
        <f t="shared" si="190"/>
        <v>10.014136904761905</v>
      </c>
      <c r="DL171" s="35">
        <f t="shared" si="191"/>
        <v>60</v>
      </c>
      <c r="DM171" s="59">
        <f t="shared" si="192"/>
        <v>103</v>
      </c>
      <c r="DN171" s="43" t="str">
        <f t="shared" si="248"/>
        <v>ناجح(ة)بتأخير</v>
      </c>
      <c r="DO171" s="44"/>
      <c r="DP171" s="50"/>
      <c r="DQ171" s="46"/>
    </row>
    <row r="172" spans="1:121" s="37" customFormat="1" ht="32.25" customHeight="1" thickBot="1">
      <c r="A172" s="49"/>
      <c r="B172" s="1">
        <f t="shared" si="247"/>
        <v>23</v>
      </c>
      <c r="C172" s="249" t="s">
        <v>218</v>
      </c>
      <c r="D172" s="249" t="s">
        <v>191</v>
      </c>
      <c r="E172" s="47" t="s">
        <v>492</v>
      </c>
      <c r="F172" s="135">
        <v>34887</v>
      </c>
      <c r="G172" s="136" t="s">
        <v>110</v>
      </c>
      <c r="H172" s="131">
        <v>7.45</v>
      </c>
      <c r="I172" s="132">
        <v>21</v>
      </c>
      <c r="J172" s="133">
        <v>5.68</v>
      </c>
      <c r="K172" s="134">
        <v>13</v>
      </c>
      <c r="L172" s="53">
        <f t="shared" si="193"/>
        <v>6.5649999999999995</v>
      </c>
      <c r="M172" s="58">
        <f t="shared" si="194"/>
        <v>34</v>
      </c>
      <c r="N172" s="222"/>
      <c r="O172" s="223"/>
      <c r="P172" s="140"/>
      <c r="Q172" s="228">
        <f t="shared" si="195"/>
        <v>0</v>
      </c>
      <c r="R172" s="229">
        <f t="shared" si="196"/>
        <v>0</v>
      </c>
      <c r="S172" s="241">
        <v>11.5</v>
      </c>
      <c r="T172" s="242"/>
      <c r="U172" s="285"/>
      <c r="V172" s="228">
        <f t="shared" si="197"/>
        <v>5.75</v>
      </c>
      <c r="W172" s="229">
        <f t="shared" si="198"/>
        <v>0</v>
      </c>
      <c r="X172" s="245">
        <v>10</v>
      </c>
      <c r="Y172" s="246">
        <v>10</v>
      </c>
      <c r="Z172" s="285"/>
      <c r="AA172" s="228">
        <f t="shared" si="199"/>
        <v>10</v>
      </c>
      <c r="AB172" s="229">
        <f t="shared" si="200"/>
        <v>6</v>
      </c>
      <c r="AC172" s="232">
        <f t="shared" si="201"/>
        <v>5.25</v>
      </c>
      <c r="AD172" s="233">
        <f t="shared" si="202"/>
        <v>6</v>
      </c>
      <c r="AE172" s="248"/>
      <c r="AF172" s="285">
        <v>3</v>
      </c>
      <c r="AG172" s="234">
        <f t="shared" si="203"/>
        <v>3</v>
      </c>
      <c r="AH172" s="235">
        <f t="shared" si="204"/>
        <v>0</v>
      </c>
      <c r="AI172" s="241">
        <v>12</v>
      </c>
      <c r="AJ172" s="242"/>
      <c r="AK172" s="285"/>
      <c r="AL172" s="228">
        <f t="shared" si="205"/>
        <v>6</v>
      </c>
      <c r="AM172" s="229">
        <f t="shared" si="206"/>
        <v>0</v>
      </c>
      <c r="AN172" s="241">
        <v>7</v>
      </c>
      <c r="AO172" s="242"/>
      <c r="AP172" s="285"/>
      <c r="AQ172" s="228">
        <f t="shared" si="207"/>
        <v>3.5</v>
      </c>
      <c r="AR172" s="229">
        <f t="shared" si="208"/>
        <v>0</v>
      </c>
      <c r="AS172" s="236">
        <f t="shared" si="209"/>
        <v>4.4000000000000004</v>
      </c>
      <c r="AT172" s="237">
        <f t="shared" si="210"/>
        <v>0</v>
      </c>
      <c r="AU172" s="241">
        <v>4</v>
      </c>
      <c r="AV172" s="242"/>
      <c r="AW172" s="285">
        <v>2</v>
      </c>
      <c r="AX172" s="228">
        <f t="shared" si="211"/>
        <v>3</v>
      </c>
      <c r="AY172" s="229">
        <f t="shared" si="212"/>
        <v>0</v>
      </c>
      <c r="AZ172" s="242">
        <v>0</v>
      </c>
      <c r="BA172" s="285"/>
      <c r="BB172" s="234">
        <f t="shared" si="213"/>
        <v>0</v>
      </c>
      <c r="BC172" s="235">
        <f t="shared" si="214"/>
        <v>0</v>
      </c>
      <c r="BD172" s="236">
        <f t="shared" si="215"/>
        <v>1.5</v>
      </c>
      <c r="BE172" s="237">
        <f t="shared" si="216"/>
        <v>0</v>
      </c>
      <c r="BF172" s="245">
        <v>10.5</v>
      </c>
      <c r="BG172" s="246">
        <v>10.5</v>
      </c>
      <c r="BH172" s="285"/>
      <c r="BI172" s="228">
        <f t="shared" si="217"/>
        <v>10.5</v>
      </c>
      <c r="BJ172" s="229">
        <f t="shared" si="218"/>
        <v>1</v>
      </c>
      <c r="BK172" s="236">
        <f t="shared" si="219"/>
        <v>10.5</v>
      </c>
      <c r="BL172" s="237">
        <f t="shared" si="220"/>
        <v>1</v>
      </c>
      <c r="BM172" s="239">
        <f t="shared" si="221"/>
        <v>4.7857142857142856</v>
      </c>
      <c r="BN172" s="240">
        <f t="shared" si="222"/>
        <v>7</v>
      </c>
      <c r="BO172" s="277">
        <v>10.5</v>
      </c>
      <c r="BP172" s="278">
        <v>10.5</v>
      </c>
      <c r="BQ172" s="284"/>
      <c r="BR172" s="307">
        <f t="shared" si="223"/>
        <v>10.5</v>
      </c>
      <c r="BS172" s="306">
        <f t="shared" si="224"/>
        <v>6</v>
      </c>
      <c r="BT172" s="252">
        <v>10</v>
      </c>
      <c r="BU172" s="253">
        <v>10</v>
      </c>
      <c r="BV172" s="305"/>
      <c r="BW172" s="307">
        <f t="shared" si="225"/>
        <v>10</v>
      </c>
      <c r="BX172" s="306">
        <f t="shared" si="226"/>
        <v>6</v>
      </c>
      <c r="BY172" s="252"/>
      <c r="BZ172" s="253"/>
      <c r="CA172" s="305"/>
      <c r="CB172" s="307">
        <f t="shared" si="227"/>
        <v>0</v>
      </c>
      <c r="CC172" s="306">
        <f t="shared" si="228"/>
        <v>0</v>
      </c>
      <c r="CD172" s="308">
        <f t="shared" si="229"/>
        <v>8.1999999999999993</v>
      </c>
      <c r="CE172" s="309">
        <f t="shared" si="230"/>
        <v>12</v>
      </c>
      <c r="CF172" s="252">
        <v>0</v>
      </c>
      <c r="CG172" s="253"/>
      <c r="CH172" s="305"/>
      <c r="CI172" s="307">
        <f t="shared" si="231"/>
        <v>0</v>
      </c>
      <c r="CJ172" s="306">
        <f t="shared" si="232"/>
        <v>0</v>
      </c>
      <c r="CK172" s="230"/>
      <c r="CL172" s="231"/>
      <c r="CM172" s="285"/>
      <c r="CN172" s="228">
        <f t="shared" si="233"/>
        <v>0</v>
      </c>
      <c r="CO172" s="229">
        <f t="shared" si="234"/>
        <v>0</v>
      </c>
      <c r="CP172" s="232">
        <f t="shared" si="235"/>
        <v>0</v>
      </c>
      <c r="CQ172" s="233">
        <f t="shared" si="236"/>
        <v>0</v>
      </c>
      <c r="CR172" s="230"/>
      <c r="CS172" s="231"/>
      <c r="CT172" s="285"/>
      <c r="CU172" s="228">
        <f t="shared" si="237"/>
        <v>0</v>
      </c>
      <c r="CV172" s="229">
        <f t="shared" si="238"/>
        <v>0</v>
      </c>
      <c r="CW172" s="232">
        <f t="shared" si="239"/>
        <v>0</v>
      </c>
      <c r="CX172" s="233">
        <f t="shared" si="240"/>
        <v>0</v>
      </c>
      <c r="CY172" s="231"/>
      <c r="CZ172" s="285"/>
      <c r="DA172" s="234">
        <f t="shared" si="241"/>
        <v>0</v>
      </c>
      <c r="DB172" s="235">
        <f t="shared" si="242"/>
        <v>0</v>
      </c>
      <c r="DC172" s="232">
        <f t="shared" si="243"/>
        <v>0</v>
      </c>
      <c r="DD172" s="233">
        <f t="shared" si="244"/>
        <v>0</v>
      </c>
      <c r="DE172" s="65">
        <f t="shared" si="245"/>
        <v>3.4166666666666665</v>
      </c>
      <c r="DF172" s="66">
        <f t="shared" si="246"/>
        <v>12</v>
      </c>
      <c r="DG172" s="31">
        <f t="shared" si="186"/>
        <v>4.7857142857142856</v>
      </c>
      <c r="DH172" s="32">
        <f t="shared" si="187"/>
        <v>7</v>
      </c>
      <c r="DI172" s="33">
        <f t="shared" si="188"/>
        <v>3.4166666666666665</v>
      </c>
      <c r="DJ172" s="34">
        <f t="shared" si="189"/>
        <v>12</v>
      </c>
      <c r="DK172" s="67">
        <f t="shared" si="190"/>
        <v>4.1011904761904763</v>
      </c>
      <c r="DL172" s="35">
        <f t="shared" si="191"/>
        <v>19</v>
      </c>
      <c r="DM172" s="59">
        <f t="shared" si="192"/>
        <v>53</v>
      </c>
      <c r="DN172" s="43" t="s">
        <v>505</v>
      </c>
      <c r="DO172" s="44"/>
      <c r="DP172" s="50"/>
      <c r="DQ172" s="46"/>
    </row>
    <row r="173" spans="1:121" s="37" customFormat="1" ht="32.25" customHeight="1" thickBot="1">
      <c r="A173" s="49"/>
      <c r="B173" s="1">
        <f t="shared" si="247"/>
        <v>24</v>
      </c>
      <c r="C173" s="249" t="s">
        <v>326</v>
      </c>
      <c r="D173" s="249" t="s">
        <v>327</v>
      </c>
      <c r="E173" s="47" t="s">
        <v>490</v>
      </c>
      <c r="F173" s="135">
        <v>35026</v>
      </c>
      <c r="G173" s="136" t="s">
        <v>110</v>
      </c>
      <c r="H173" s="131">
        <v>6.71</v>
      </c>
      <c r="I173" s="132">
        <v>19</v>
      </c>
      <c r="J173" s="133">
        <v>4.53</v>
      </c>
      <c r="K173" s="134">
        <v>11</v>
      </c>
      <c r="L173" s="53">
        <f t="shared" si="193"/>
        <v>5.62</v>
      </c>
      <c r="M173" s="58">
        <f t="shared" si="194"/>
        <v>30</v>
      </c>
      <c r="N173" s="224"/>
      <c r="O173" s="225"/>
      <c r="P173" s="140"/>
      <c r="Q173" s="228">
        <f t="shared" si="195"/>
        <v>0</v>
      </c>
      <c r="R173" s="229">
        <f t="shared" si="196"/>
        <v>0</v>
      </c>
      <c r="S173" s="247"/>
      <c r="T173" s="248"/>
      <c r="U173" s="285"/>
      <c r="V173" s="228">
        <f t="shared" si="197"/>
        <v>0</v>
      </c>
      <c r="W173" s="229">
        <f t="shared" si="198"/>
        <v>0</v>
      </c>
      <c r="X173" s="241">
        <v>4</v>
      </c>
      <c r="Y173" s="242"/>
      <c r="Z173" s="285"/>
      <c r="AA173" s="228">
        <f t="shared" si="199"/>
        <v>2</v>
      </c>
      <c r="AB173" s="229">
        <f t="shared" si="200"/>
        <v>0</v>
      </c>
      <c r="AC173" s="232">
        <f t="shared" si="201"/>
        <v>0.66666666666666663</v>
      </c>
      <c r="AD173" s="233">
        <f t="shared" si="202"/>
        <v>0</v>
      </c>
      <c r="AE173" s="248"/>
      <c r="AF173" s="285"/>
      <c r="AG173" s="234">
        <f t="shared" si="203"/>
        <v>0</v>
      </c>
      <c r="AH173" s="235">
        <f t="shared" si="204"/>
        <v>0</v>
      </c>
      <c r="AI173" s="247"/>
      <c r="AJ173" s="248"/>
      <c r="AK173" s="285"/>
      <c r="AL173" s="228">
        <f t="shared" si="205"/>
        <v>0</v>
      </c>
      <c r="AM173" s="229">
        <f t="shared" si="206"/>
        <v>0</v>
      </c>
      <c r="AN173" s="247"/>
      <c r="AO173" s="248"/>
      <c r="AP173" s="285"/>
      <c r="AQ173" s="228">
        <f t="shared" si="207"/>
        <v>0</v>
      </c>
      <c r="AR173" s="229">
        <f t="shared" si="208"/>
        <v>0</v>
      </c>
      <c r="AS173" s="236">
        <f t="shared" si="209"/>
        <v>0</v>
      </c>
      <c r="AT173" s="237">
        <f t="shared" si="210"/>
        <v>0</v>
      </c>
      <c r="AU173" s="247"/>
      <c r="AV173" s="248"/>
      <c r="AW173" s="285"/>
      <c r="AX173" s="228">
        <f t="shared" si="211"/>
        <v>0</v>
      </c>
      <c r="AY173" s="229">
        <f t="shared" si="212"/>
        <v>0</v>
      </c>
      <c r="AZ173" s="248"/>
      <c r="BA173" s="285"/>
      <c r="BB173" s="234">
        <f t="shared" si="213"/>
        <v>0</v>
      </c>
      <c r="BC173" s="235">
        <f t="shared" si="214"/>
        <v>0</v>
      </c>
      <c r="BD173" s="236">
        <f t="shared" si="215"/>
        <v>0</v>
      </c>
      <c r="BE173" s="237">
        <f t="shared" si="216"/>
        <v>0</v>
      </c>
      <c r="BF173" s="247"/>
      <c r="BG173" s="248"/>
      <c r="BH173" s="285"/>
      <c r="BI173" s="228">
        <f t="shared" si="217"/>
        <v>0</v>
      </c>
      <c r="BJ173" s="229">
        <f t="shared" si="218"/>
        <v>0</v>
      </c>
      <c r="BK173" s="236">
        <f t="shared" si="219"/>
        <v>0</v>
      </c>
      <c r="BL173" s="237">
        <f t="shared" si="220"/>
        <v>0</v>
      </c>
      <c r="BM173" s="239">
        <f t="shared" si="221"/>
        <v>0.2857142857142857</v>
      </c>
      <c r="BN173" s="240">
        <f t="shared" si="222"/>
        <v>0</v>
      </c>
      <c r="BO173" s="273"/>
      <c r="BP173" s="274"/>
      <c r="BQ173" s="281"/>
      <c r="BR173" s="286">
        <f t="shared" si="223"/>
        <v>0</v>
      </c>
      <c r="BS173" s="287">
        <f t="shared" si="224"/>
        <v>0</v>
      </c>
      <c r="BT173" s="282"/>
      <c r="BU173" s="283"/>
      <c r="BV173" s="288"/>
      <c r="BW173" s="286">
        <f t="shared" si="225"/>
        <v>0</v>
      </c>
      <c r="BX173" s="287">
        <f t="shared" si="226"/>
        <v>0</v>
      </c>
      <c r="BY173" s="282"/>
      <c r="BZ173" s="283"/>
      <c r="CA173" s="288"/>
      <c r="CB173" s="286">
        <f t="shared" si="227"/>
        <v>0</v>
      </c>
      <c r="CC173" s="287">
        <f t="shared" si="228"/>
        <v>0</v>
      </c>
      <c r="CD173" s="302">
        <f t="shared" si="229"/>
        <v>0</v>
      </c>
      <c r="CE173" s="290">
        <f t="shared" si="230"/>
        <v>0</v>
      </c>
      <c r="CF173" s="282">
        <v>0</v>
      </c>
      <c r="CG173" s="283"/>
      <c r="CH173" s="288"/>
      <c r="CI173" s="286">
        <f t="shared" si="231"/>
        <v>0</v>
      </c>
      <c r="CJ173" s="287">
        <f t="shared" si="232"/>
        <v>0</v>
      </c>
      <c r="CK173" s="230"/>
      <c r="CL173" s="231"/>
      <c r="CM173" s="285"/>
      <c r="CN173" s="228">
        <f t="shared" si="233"/>
        <v>0</v>
      </c>
      <c r="CO173" s="229">
        <f t="shared" si="234"/>
        <v>0</v>
      </c>
      <c r="CP173" s="232">
        <f t="shared" si="235"/>
        <v>0</v>
      </c>
      <c r="CQ173" s="233">
        <f t="shared" si="236"/>
        <v>0</v>
      </c>
      <c r="CR173" s="230"/>
      <c r="CS173" s="231"/>
      <c r="CT173" s="285"/>
      <c r="CU173" s="228">
        <f t="shared" si="237"/>
        <v>0</v>
      </c>
      <c r="CV173" s="229">
        <f t="shared" si="238"/>
        <v>0</v>
      </c>
      <c r="CW173" s="232">
        <f t="shared" si="239"/>
        <v>0</v>
      </c>
      <c r="CX173" s="233">
        <f t="shared" si="240"/>
        <v>0</v>
      </c>
      <c r="CY173" s="231"/>
      <c r="CZ173" s="285"/>
      <c r="DA173" s="234">
        <f t="shared" si="241"/>
        <v>0</v>
      </c>
      <c r="DB173" s="235">
        <f t="shared" si="242"/>
        <v>0</v>
      </c>
      <c r="DC173" s="232">
        <f t="shared" si="243"/>
        <v>0</v>
      </c>
      <c r="DD173" s="233">
        <f t="shared" si="244"/>
        <v>0</v>
      </c>
      <c r="DE173" s="65">
        <f t="shared" si="245"/>
        <v>0</v>
      </c>
      <c r="DF173" s="66">
        <f t="shared" si="246"/>
        <v>0</v>
      </c>
      <c r="DG173" s="31">
        <f t="shared" si="186"/>
        <v>0.2857142857142857</v>
      </c>
      <c r="DH173" s="32">
        <f t="shared" si="187"/>
        <v>0</v>
      </c>
      <c r="DI173" s="33">
        <f t="shared" si="188"/>
        <v>0</v>
      </c>
      <c r="DJ173" s="34">
        <f t="shared" si="189"/>
        <v>0</v>
      </c>
      <c r="DK173" s="67">
        <f t="shared" si="190"/>
        <v>0.14285714285714285</v>
      </c>
      <c r="DL173" s="35">
        <f t="shared" si="191"/>
        <v>0</v>
      </c>
      <c r="DM173" s="59">
        <f t="shared" si="192"/>
        <v>30</v>
      </c>
      <c r="DN173" s="43" t="s">
        <v>505</v>
      </c>
      <c r="DO173" s="44"/>
      <c r="DP173" s="50"/>
      <c r="DQ173" s="46"/>
    </row>
    <row r="174" spans="1:121" s="37" customFormat="1" ht="32.25" customHeight="1" thickBot="1">
      <c r="A174" s="49"/>
      <c r="B174" s="1">
        <f t="shared" si="247"/>
        <v>25</v>
      </c>
      <c r="C174" s="249" t="s">
        <v>328</v>
      </c>
      <c r="D174" s="249" t="s">
        <v>329</v>
      </c>
      <c r="E174" s="47" t="s">
        <v>489</v>
      </c>
      <c r="F174" s="135">
        <v>34342</v>
      </c>
      <c r="G174" s="136" t="s">
        <v>110</v>
      </c>
      <c r="H174" s="131">
        <v>8.52</v>
      </c>
      <c r="I174" s="132">
        <v>20</v>
      </c>
      <c r="J174" s="133">
        <v>4.3499999999999996</v>
      </c>
      <c r="K174" s="134">
        <v>12</v>
      </c>
      <c r="L174" s="53">
        <f t="shared" si="193"/>
        <v>6.4349999999999996</v>
      </c>
      <c r="M174" s="58">
        <f t="shared" si="194"/>
        <v>32</v>
      </c>
      <c r="N174" s="222">
        <v>13</v>
      </c>
      <c r="O174" s="223">
        <v>9</v>
      </c>
      <c r="P174" s="140"/>
      <c r="Q174" s="228">
        <f t="shared" si="195"/>
        <v>11</v>
      </c>
      <c r="R174" s="229">
        <f t="shared" si="196"/>
        <v>5</v>
      </c>
      <c r="S174" s="241">
        <v>10.5</v>
      </c>
      <c r="T174" s="242">
        <v>6.5</v>
      </c>
      <c r="U174" s="285">
        <v>13</v>
      </c>
      <c r="V174" s="228">
        <f t="shared" si="197"/>
        <v>11.75</v>
      </c>
      <c r="W174" s="229">
        <f t="shared" si="198"/>
        <v>6</v>
      </c>
      <c r="X174" s="241">
        <v>16.25</v>
      </c>
      <c r="Y174" s="242">
        <v>3.75</v>
      </c>
      <c r="Z174" s="285"/>
      <c r="AA174" s="228">
        <f t="shared" si="199"/>
        <v>10</v>
      </c>
      <c r="AB174" s="229">
        <f t="shared" si="200"/>
        <v>6</v>
      </c>
      <c r="AC174" s="232">
        <f t="shared" si="201"/>
        <v>10.916666666666666</v>
      </c>
      <c r="AD174" s="233">
        <f t="shared" si="202"/>
        <v>17</v>
      </c>
      <c r="AE174" s="242">
        <v>10</v>
      </c>
      <c r="AF174" s="285"/>
      <c r="AG174" s="234">
        <f t="shared" si="203"/>
        <v>10</v>
      </c>
      <c r="AH174" s="235">
        <f t="shared" si="204"/>
        <v>1</v>
      </c>
      <c r="AI174" s="241">
        <v>12.25</v>
      </c>
      <c r="AJ174" s="242">
        <v>4.25</v>
      </c>
      <c r="AK174" s="285">
        <v>12.25</v>
      </c>
      <c r="AL174" s="228">
        <f t="shared" si="205"/>
        <v>12.25</v>
      </c>
      <c r="AM174" s="229">
        <f t="shared" si="206"/>
        <v>3</v>
      </c>
      <c r="AN174" s="241">
        <v>8</v>
      </c>
      <c r="AO174" s="242">
        <v>4</v>
      </c>
      <c r="AP174" s="285">
        <v>7</v>
      </c>
      <c r="AQ174" s="228">
        <f t="shared" si="207"/>
        <v>7.5</v>
      </c>
      <c r="AR174" s="229">
        <f t="shared" si="208"/>
        <v>0</v>
      </c>
      <c r="AS174" s="236">
        <f t="shared" si="209"/>
        <v>9.9</v>
      </c>
      <c r="AT174" s="237">
        <f t="shared" si="210"/>
        <v>4</v>
      </c>
      <c r="AU174" s="241">
        <v>2</v>
      </c>
      <c r="AV174" s="242">
        <v>5</v>
      </c>
      <c r="AW174" s="285">
        <v>8</v>
      </c>
      <c r="AX174" s="228">
        <f t="shared" si="211"/>
        <v>5</v>
      </c>
      <c r="AY174" s="229">
        <f t="shared" si="212"/>
        <v>0</v>
      </c>
      <c r="AZ174" s="242">
        <v>4.5</v>
      </c>
      <c r="BA174" s="285">
        <v>10</v>
      </c>
      <c r="BB174" s="234">
        <f t="shared" si="213"/>
        <v>10</v>
      </c>
      <c r="BC174" s="235">
        <f t="shared" si="214"/>
        <v>1</v>
      </c>
      <c r="BD174" s="236">
        <f t="shared" si="215"/>
        <v>7.5</v>
      </c>
      <c r="BE174" s="237">
        <f t="shared" si="216"/>
        <v>1</v>
      </c>
      <c r="BF174" s="241">
        <v>11.75</v>
      </c>
      <c r="BG174" s="242">
        <v>4</v>
      </c>
      <c r="BH174" s="285">
        <v>8.5</v>
      </c>
      <c r="BI174" s="228">
        <f t="shared" si="217"/>
        <v>10.125</v>
      </c>
      <c r="BJ174" s="229">
        <f t="shared" si="218"/>
        <v>1</v>
      </c>
      <c r="BK174" s="236">
        <f t="shared" si="219"/>
        <v>10.125</v>
      </c>
      <c r="BL174" s="237">
        <f t="shared" si="220"/>
        <v>1</v>
      </c>
      <c r="BM174" s="239">
        <f t="shared" si="221"/>
        <v>10.008928571428571</v>
      </c>
      <c r="BN174" s="240">
        <f t="shared" si="222"/>
        <v>30</v>
      </c>
      <c r="BO174" s="271">
        <v>13.25</v>
      </c>
      <c r="BP174" s="272">
        <v>4.5</v>
      </c>
      <c r="BQ174" s="140">
        <v>9</v>
      </c>
      <c r="BR174" s="228">
        <f t="shared" si="223"/>
        <v>11.125</v>
      </c>
      <c r="BS174" s="229">
        <f t="shared" si="224"/>
        <v>6</v>
      </c>
      <c r="BT174" s="241">
        <v>16</v>
      </c>
      <c r="BU174" s="242">
        <v>0</v>
      </c>
      <c r="BV174" s="285">
        <v>7</v>
      </c>
      <c r="BW174" s="228">
        <f t="shared" si="225"/>
        <v>11.5</v>
      </c>
      <c r="BX174" s="229">
        <f t="shared" si="226"/>
        <v>6</v>
      </c>
      <c r="BY174" s="241">
        <v>8.5</v>
      </c>
      <c r="BZ174" s="242">
        <v>0</v>
      </c>
      <c r="CA174" s="285">
        <v>6</v>
      </c>
      <c r="CB174" s="228">
        <f t="shared" si="227"/>
        <v>7.25</v>
      </c>
      <c r="CC174" s="229">
        <f t="shared" si="228"/>
        <v>0</v>
      </c>
      <c r="CD174" s="297">
        <f t="shared" si="229"/>
        <v>10.5</v>
      </c>
      <c r="CE174" s="233">
        <f t="shared" si="230"/>
        <v>16</v>
      </c>
      <c r="CF174" s="241">
        <v>9</v>
      </c>
      <c r="CG174" s="242">
        <v>7.75</v>
      </c>
      <c r="CH174" s="285"/>
      <c r="CI174" s="228">
        <f t="shared" si="231"/>
        <v>8.375</v>
      </c>
      <c r="CJ174" s="229">
        <f t="shared" si="232"/>
        <v>0</v>
      </c>
      <c r="CK174" s="230">
        <v>10</v>
      </c>
      <c r="CL174" s="231">
        <v>0</v>
      </c>
      <c r="CM174" s="285">
        <v>2</v>
      </c>
      <c r="CN174" s="228">
        <f t="shared" si="233"/>
        <v>6</v>
      </c>
      <c r="CO174" s="229">
        <f t="shared" si="234"/>
        <v>0</v>
      </c>
      <c r="CP174" s="232">
        <f t="shared" si="235"/>
        <v>7.1875</v>
      </c>
      <c r="CQ174" s="233">
        <f t="shared" si="236"/>
        <v>0</v>
      </c>
      <c r="CR174" s="230">
        <v>3.25</v>
      </c>
      <c r="CS174" s="231">
        <v>0</v>
      </c>
      <c r="CT174" s="285">
        <v>3</v>
      </c>
      <c r="CU174" s="228">
        <f t="shared" si="237"/>
        <v>3.125</v>
      </c>
      <c r="CV174" s="229">
        <f t="shared" si="238"/>
        <v>0</v>
      </c>
      <c r="CW174" s="232">
        <f t="shared" si="239"/>
        <v>3.125</v>
      </c>
      <c r="CX174" s="233">
        <f t="shared" si="240"/>
        <v>0</v>
      </c>
      <c r="CY174" s="231">
        <v>6</v>
      </c>
      <c r="CZ174" s="285">
        <v>15</v>
      </c>
      <c r="DA174" s="234">
        <f t="shared" si="241"/>
        <v>15</v>
      </c>
      <c r="DB174" s="235">
        <f t="shared" si="242"/>
        <v>1</v>
      </c>
      <c r="DC174" s="232">
        <f t="shared" si="243"/>
        <v>15</v>
      </c>
      <c r="DD174" s="233">
        <f t="shared" si="244"/>
        <v>1</v>
      </c>
      <c r="DE174" s="65">
        <f t="shared" si="245"/>
        <v>8.5416666666666661</v>
      </c>
      <c r="DF174" s="66">
        <f t="shared" si="246"/>
        <v>17</v>
      </c>
      <c r="DG174" s="31">
        <f t="shared" si="186"/>
        <v>10.008928571428571</v>
      </c>
      <c r="DH174" s="32">
        <f t="shared" si="187"/>
        <v>30</v>
      </c>
      <c r="DI174" s="33">
        <f t="shared" si="188"/>
        <v>8.5416666666666661</v>
      </c>
      <c r="DJ174" s="34">
        <f t="shared" si="189"/>
        <v>17</v>
      </c>
      <c r="DK174" s="67">
        <f t="shared" si="190"/>
        <v>9.2752976190476186</v>
      </c>
      <c r="DL174" s="35">
        <f t="shared" si="191"/>
        <v>47</v>
      </c>
      <c r="DM174" s="59">
        <f t="shared" si="192"/>
        <v>79</v>
      </c>
      <c r="DN174" s="43" t="str">
        <f t="shared" si="248"/>
        <v>راسب(ة)</v>
      </c>
      <c r="DO174" s="44"/>
      <c r="DP174" s="50"/>
      <c r="DQ174" s="46"/>
    </row>
    <row r="175" spans="1:121" s="37" customFormat="1" ht="32.25" customHeight="1" thickBot="1">
      <c r="A175" s="49"/>
      <c r="B175" s="1">
        <f t="shared" si="247"/>
        <v>26</v>
      </c>
      <c r="C175" s="249" t="s">
        <v>330</v>
      </c>
      <c r="D175" s="249" t="s">
        <v>331</v>
      </c>
      <c r="E175" s="137" t="s">
        <v>491</v>
      </c>
      <c r="F175" s="135">
        <v>33699</v>
      </c>
      <c r="G175" s="136" t="s">
        <v>110</v>
      </c>
      <c r="H175" s="131">
        <v>8.83</v>
      </c>
      <c r="I175" s="132">
        <v>21</v>
      </c>
      <c r="J175" s="133">
        <v>6.92</v>
      </c>
      <c r="K175" s="134">
        <v>16</v>
      </c>
      <c r="L175" s="53">
        <f t="shared" si="193"/>
        <v>7.875</v>
      </c>
      <c r="M175" s="58">
        <f t="shared" si="194"/>
        <v>37</v>
      </c>
      <c r="N175" s="250">
        <v>10.5</v>
      </c>
      <c r="O175" s="251">
        <v>10.5</v>
      </c>
      <c r="P175" s="140"/>
      <c r="Q175" s="228">
        <f t="shared" si="195"/>
        <v>10.5</v>
      </c>
      <c r="R175" s="229">
        <f t="shared" si="196"/>
        <v>5</v>
      </c>
      <c r="S175" s="252">
        <v>10.5</v>
      </c>
      <c r="T175" s="253">
        <v>10.5</v>
      </c>
      <c r="U175" s="285"/>
      <c r="V175" s="228">
        <f t="shared" si="197"/>
        <v>10.5</v>
      </c>
      <c r="W175" s="229">
        <f t="shared" si="198"/>
        <v>6</v>
      </c>
      <c r="X175" s="241">
        <v>10.25</v>
      </c>
      <c r="Y175" s="242">
        <v>10.25</v>
      </c>
      <c r="Z175" s="285"/>
      <c r="AA175" s="228">
        <f t="shared" si="199"/>
        <v>10.25</v>
      </c>
      <c r="AB175" s="229">
        <f t="shared" si="200"/>
        <v>6</v>
      </c>
      <c r="AC175" s="232">
        <f t="shared" si="201"/>
        <v>10.416666666666666</v>
      </c>
      <c r="AD175" s="233">
        <f t="shared" si="202"/>
        <v>17</v>
      </c>
      <c r="AE175" s="253">
        <v>11</v>
      </c>
      <c r="AF175" s="285"/>
      <c r="AG175" s="234">
        <f t="shared" si="203"/>
        <v>11</v>
      </c>
      <c r="AH175" s="235">
        <f t="shared" si="204"/>
        <v>1</v>
      </c>
      <c r="AI175" s="241">
        <v>10</v>
      </c>
      <c r="AJ175" s="242">
        <v>1</v>
      </c>
      <c r="AK175" s="285">
        <v>8</v>
      </c>
      <c r="AL175" s="228">
        <f t="shared" si="205"/>
        <v>9</v>
      </c>
      <c r="AM175" s="229">
        <f t="shared" si="206"/>
        <v>0</v>
      </c>
      <c r="AN175" s="241">
        <v>8</v>
      </c>
      <c r="AO175" s="242">
        <v>1.5</v>
      </c>
      <c r="AP175" s="285">
        <v>6.25</v>
      </c>
      <c r="AQ175" s="228">
        <f t="shared" si="207"/>
        <v>7.125</v>
      </c>
      <c r="AR175" s="229">
        <f t="shared" si="208"/>
        <v>0</v>
      </c>
      <c r="AS175" s="236">
        <f t="shared" si="209"/>
        <v>8.65</v>
      </c>
      <c r="AT175" s="237">
        <f t="shared" si="210"/>
        <v>1</v>
      </c>
      <c r="AU175" s="252">
        <v>10.5</v>
      </c>
      <c r="AV175" s="253">
        <v>10.5</v>
      </c>
      <c r="AW175" s="285"/>
      <c r="AX175" s="228">
        <f t="shared" si="211"/>
        <v>10.5</v>
      </c>
      <c r="AY175" s="229">
        <f t="shared" si="212"/>
        <v>4</v>
      </c>
      <c r="AZ175" s="242">
        <v>0</v>
      </c>
      <c r="BA175" s="285">
        <v>13</v>
      </c>
      <c r="BB175" s="234">
        <f t="shared" si="213"/>
        <v>13</v>
      </c>
      <c r="BC175" s="235">
        <f t="shared" si="214"/>
        <v>1</v>
      </c>
      <c r="BD175" s="236">
        <f t="shared" si="215"/>
        <v>11.75</v>
      </c>
      <c r="BE175" s="237">
        <f t="shared" si="216"/>
        <v>5</v>
      </c>
      <c r="BF175" s="252">
        <v>11</v>
      </c>
      <c r="BG175" s="253">
        <v>11</v>
      </c>
      <c r="BH175" s="285"/>
      <c r="BI175" s="228">
        <f t="shared" si="217"/>
        <v>11</v>
      </c>
      <c r="BJ175" s="229">
        <f t="shared" si="218"/>
        <v>1</v>
      </c>
      <c r="BK175" s="236">
        <f t="shared" si="219"/>
        <v>11</v>
      </c>
      <c r="BL175" s="237">
        <f t="shared" si="220"/>
        <v>1</v>
      </c>
      <c r="BM175" s="239">
        <f t="shared" si="221"/>
        <v>10.017857142857142</v>
      </c>
      <c r="BN175" s="240">
        <f t="shared" si="222"/>
        <v>30</v>
      </c>
      <c r="BO175" s="277">
        <v>14</v>
      </c>
      <c r="BP175" s="278">
        <v>14</v>
      </c>
      <c r="BQ175" s="140"/>
      <c r="BR175" s="228">
        <f t="shared" si="223"/>
        <v>14</v>
      </c>
      <c r="BS175" s="229">
        <f t="shared" si="224"/>
        <v>6</v>
      </c>
      <c r="BT175" s="252">
        <v>10</v>
      </c>
      <c r="BU175" s="253">
        <v>10</v>
      </c>
      <c r="BV175" s="285"/>
      <c r="BW175" s="228">
        <f t="shared" si="225"/>
        <v>10</v>
      </c>
      <c r="BX175" s="229">
        <f t="shared" si="226"/>
        <v>6</v>
      </c>
      <c r="BY175" s="252">
        <v>4.25</v>
      </c>
      <c r="BZ175" s="253">
        <v>4.25</v>
      </c>
      <c r="CA175" s="285"/>
      <c r="CB175" s="228">
        <f t="shared" si="227"/>
        <v>4.25</v>
      </c>
      <c r="CC175" s="229">
        <f t="shared" si="228"/>
        <v>0</v>
      </c>
      <c r="CD175" s="297">
        <f t="shared" si="229"/>
        <v>10.45</v>
      </c>
      <c r="CE175" s="233">
        <f t="shared" si="230"/>
        <v>16</v>
      </c>
      <c r="CF175" s="252">
        <v>13.75</v>
      </c>
      <c r="CG175" s="253">
        <v>13.75</v>
      </c>
      <c r="CH175" s="285"/>
      <c r="CI175" s="228">
        <f t="shared" si="231"/>
        <v>13.75</v>
      </c>
      <c r="CJ175" s="229">
        <f t="shared" si="232"/>
        <v>5</v>
      </c>
      <c r="CK175" s="230">
        <v>5.5</v>
      </c>
      <c r="CL175" s="231">
        <v>5.5</v>
      </c>
      <c r="CM175" s="285"/>
      <c r="CN175" s="228">
        <f t="shared" si="233"/>
        <v>5.5</v>
      </c>
      <c r="CO175" s="229">
        <f t="shared" si="234"/>
        <v>0</v>
      </c>
      <c r="CP175" s="232">
        <f t="shared" si="235"/>
        <v>9.625</v>
      </c>
      <c r="CQ175" s="233">
        <f t="shared" si="236"/>
        <v>5</v>
      </c>
      <c r="CR175" s="230">
        <v>12.25</v>
      </c>
      <c r="CS175" s="231">
        <v>12.25</v>
      </c>
      <c r="CT175" s="285"/>
      <c r="CU175" s="228">
        <f t="shared" si="237"/>
        <v>12.25</v>
      </c>
      <c r="CV175" s="229">
        <f t="shared" si="238"/>
        <v>3</v>
      </c>
      <c r="CW175" s="232">
        <f t="shared" si="239"/>
        <v>12.25</v>
      </c>
      <c r="CX175" s="233">
        <f t="shared" si="240"/>
        <v>3</v>
      </c>
      <c r="CY175" s="231">
        <v>17.5</v>
      </c>
      <c r="CZ175" s="285"/>
      <c r="DA175" s="234">
        <f t="shared" si="241"/>
        <v>17.5</v>
      </c>
      <c r="DB175" s="235">
        <f t="shared" si="242"/>
        <v>1</v>
      </c>
      <c r="DC175" s="232">
        <f t="shared" si="243"/>
        <v>17.5</v>
      </c>
      <c r="DD175" s="233">
        <f t="shared" si="244"/>
        <v>1</v>
      </c>
      <c r="DE175" s="65">
        <f t="shared" si="245"/>
        <v>11.0625</v>
      </c>
      <c r="DF175" s="66">
        <f t="shared" si="246"/>
        <v>30</v>
      </c>
      <c r="DG175" s="31">
        <f t="shared" si="186"/>
        <v>10.017857142857142</v>
      </c>
      <c r="DH175" s="32">
        <f t="shared" si="187"/>
        <v>30</v>
      </c>
      <c r="DI175" s="33">
        <f t="shared" si="188"/>
        <v>11.0625</v>
      </c>
      <c r="DJ175" s="34">
        <f t="shared" si="189"/>
        <v>30</v>
      </c>
      <c r="DK175" s="67">
        <f t="shared" si="190"/>
        <v>10.540178571428571</v>
      </c>
      <c r="DL175" s="35">
        <f t="shared" si="191"/>
        <v>60</v>
      </c>
      <c r="DM175" s="59">
        <f t="shared" si="192"/>
        <v>97</v>
      </c>
      <c r="DN175" s="43" t="str">
        <f t="shared" si="248"/>
        <v>ناجح(ة)بتأخير</v>
      </c>
      <c r="DO175" s="44"/>
      <c r="DP175" s="50"/>
      <c r="DQ175" s="46"/>
    </row>
    <row r="176" spans="1:121" s="37" customFormat="1" ht="32.25" customHeight="1" thickBot="1">
      <c r="A176" s="49"/>
      <c r="B176" s="1">
        <f t="shared" si="247"/>
        <v>27</v>
      </c>
      <c r="C176" s="249" t="s">
        <v>332</v>
      </c>
      <c r="D176" s="249" t="s">
        <v>333</v>
      </c>
      <c r="E176" s="47" t="s">
        <v>495</v>
      </c>
      <c r="F176" s="135">
        <v>35138</v>
      </c>
      <c r="G176" s="136" t="s">
        <v>110</v>
      </c>
      <c r="H176" s="131">
        <v>7.42</v>
      </c>
      <c r="I176" s="132">
        <v>16</v>
      </c>
      <c r="J176" s="133">
        <v>6.78</v>
      </c>
      <c r="K176" s="134">
        <v>15</v>
      </c>
      <c r="L176" s="53">
        <f t="shared" si="193"/>
        <v>7.1</v>
      </c>
      <c r="M176" s="58">
        <f t="shared" si="194"/>
        <v>31</v>
      </c>
      <c r="N176" s="222">
        <v>15</v>
      </c>
      <c r="O176" s="223">
        <v>9</v>
      </c>
      <c r="P176" s="140"/>
      <c r="Q176" s="228">
        <f t="shared" si="195"/>
        <v>12</v>
      </c>
      <c r="R176" s="229">
        <f t="shared" si="196"/>
        <v>5</v>
      </c>
      <c r="S176" s="241">
        <v>13.5</v>
      </c>
      <c r="T176" s="242">
        <v>11.5</v>
      </c>
      <c r="U176" s="285"/>
      <c r="V176" s="228">
        <f t="shared" si="197"/>
        <v>12.5</v>
      </c>
      <c r="W176" s="229">
        <f t="shared" si="198"/>
        <v>6</v>
      </c>
      <c r="X176" s="241">
        <v>10</v>
      </c>
      <c r="Y176" s="242">
        <v>7.25</v>
      </c>
      <c r="Z176" s="285"/>
      <c r="AA176" s="228">
        <f t="shared" si="199"/>
        <v>8.625</v>
      </c>
      <c r="AB176" s="229">
        <f t="shared" si="200"/>
        <v>0</v>
      </c>
      <c r="AC176" s="232">
        <f t="shared" si="201"/>
        <v>11.041666666666666</v>
      </c>
      <c r="AD176" s="233">
        <f t="shared" si="202"/>
        <v>17</v>
      </c>
      <c r="AE176" s="242">
        <v>10.5</v>
      </c>
      <c r="AF176" s="285"/>
      <c r="AG176" s="234">
        <f t="shared" si="203"/>
        <v>10.5</v>
      </c>
      <c r="AH176" s="235">
        <f t="shared" si="204"/>
        <v>1</v>
      </c>
      <c r="AI176" s="241">
        <v>2</v>
      </c>
      <c r="AJ176" s="242">
        <v>0</v>
      </c>
      <c r="AK176" s="285"/>
      <c r="AL176" s="228">
        <f t="shared" si="205"/>
        <v>1</v>
      </c>
      <c r="AM176" s="229">
        <f t="shared" si="206"/>
        <v>0</v>
      </c>
      <c r="AN176" s="241">
        <v>8.25</v>
      </c>
      <c r="AO176" s="242">
        <v>1.5</v>
      </c>
      <c r="AP176" s="285"/>
      <c r="AQ176" s="228">
        <f t="shared" si="207"/>
        <v>4.875</v>
      </c>
      <c r="AR176" s="229">
        <f t="shared" si="208"/>
        <v>0</v>
      </c>
      <c r="AS176" s="236">
        <f t="shared" si="209"/>
        <v>4.45</v>
      </c>
      <c r="AT176" s="237">
        <f t="shared" si="210"/>
        <v>1</v>
      </c>
      <c r="AU176" s="241">
        <v>2</v>
      </c>
      <c r="AV176" s="242">
        <v>11</v>
      </c>
      <c r="AW176" s="285"/>
      <c r="AX176" s="228">
        <f t="shared" si="211"/>
        <v>6.5</v>
      </c>
      <c r="AY176" s="229">
        <f t="shared" si="212"/>
        <v>0</v>
      </c>
      <c r="AZ176" s="242">
        <v>16</v>
      </c>
      <c r="BA176" s="285"/>
      <c r="BB176" s="234">
        <f t="shared" si="213"/>
        <v>16</v>
      </c>
      <c r="BC176" s="235">
        <f t="shared" si="214"/>
        <v>1</v>
      </c>
      <c r="BD176" s="236">
        <f t="shared" si="215"/>
        <v>11.25</v>
      </c>
      <c r="BE176" s="237">
        <f t="shared" si="216"/>
        <v>5</v>
      </c>
      <c r="BF176" s="241">
        <v>14.5</v>
      </c>
      <c r="BG176" s="242">
        <v>13.5</v>
      </c>
      <c r="BH176" s="285"/>
      <c r="BI176" s="228">
        <f t="shared" si="217"/>
        <v>14</v>
      </c>
      <c r="BJ176" s="229">
        <f t="shared" si="218"/>
        <v>1</v>
      </c>
      <c r="BK176" s="236">
        <f t="shared" si="219"/>
        <v>14</v>
      </c>
      <c r="BL176" s="237">
        <f t="shared" si="220"/>
        <v>1</v>
      </c>
      <c r="BM176" s="239">
        <f t="shared" si="221"/>
        <v>8.9285714285714288</v>
      </c>
      <c r="BN176" s="240">
        <f t="shared" si="222"/>
        <v>24</v>
      </c>
      <c r="BO176" s="271">
        <v>11</v>
      </c>
      <c r="BP176" s="272">
        <v>2</v>
      </c>
      <c r="BQ176" s="140">
        <v>4</v>
      </c>
      <c r="BR176" s="228">
        <f t="shared" si="223"/>
        <v>7.5</v>
      </c>
      <c r="BS176" s="229">
        <f t="shared" si="224"/>
        <v>0</v>
      </c>
      <c r="BT176" s="241">
        <v>14.5</v>
      </c>
      <c r="BU176" s="242">
        <v>4.5</v>
      </c>
      <c r="BV176" s="285">
        <v>7</v>
      </c>
      <c r="BW176" s="228">
        <f t="shared" si="225"/>
        <v>10.75</v>
      </c>
      <c r="BX176" s="229">
        <f t="shared" si="226"/>
        <v>6</v>
      </c>
      <c r="BY176" s="241">
        <v>11</v>
      </c>
      <c r="BZ176" s="242">
        <v>5</v>
      </c>
      <c r="CA176" s="285"/>
      <c r="CB176" s="228">
        <f t="shared" si="227"/>
        <v>8</v>
      </c>
      <c r="CC176" s="229">
        <f t="shared" si="228"/>
        <v>0</v>
      </c>
      <c r="CD176" s="297">
        <f t="shared" si="229"/>
        <v>8.9</v>
      </c>
      <c r="CE176" s="233">
        <f t="shared" si="230"/>
        <v>6</v>
      </c>
      <c r="CF176" s="241">
        <v>4</v>
      </c>
      <c r="CG176" s="242">
        <v>9.25</v>
      </c>
      <c r="CH176" s="285"/>
      <c r="CI176" s="228">
        <f t="shared" si="231"/>
        <v>6.625</v>
      </c>
      <c r="CJ176" s="229">
        <f t="shared" si="232"/>
        <v>0</v>
      </c>
      <c r="CK176" s="230">
        <v>12</v>
      </c>
      <c r="CL176" s="231">
        <v>3.5</v>
      </c>
      <c r="CM176" s="285"/>
      <c r="CN176" s="228">
        <f t="shared" si="233"/>
        <v>7.75</v>
      </c>
      <c r="CO176" s="229">
        <f t="shared" si="234"/>
        <v>0</v>
      </c>
      <c r="CP176" s="232">
        <f t="shared" si="235"/>
        <v>7.1875</v>
      </c>
      <c r="CQ176" s="233">
        <f t="shared" si="236"/>
        <v>0</v>
      </c>
      <c r="CR176" s="230">
        <v>11</v>
      </c>
      <c r="CS176" s="231">
        <v>4</v>
      </c>
      <c r="CT176" s="285"/>
      <c r="CU176" s="228">
        <f t="shared" si="237"/>
        <v>7.5</v>
      </c>
      <c r="CV176" s="229">
        <f t="shared" si="238"/>
        <v>0</v>
      </c>
      <c r="CW176" s="232">
        <f t="shared" si="239"/>
        <v>7.5</v>
      </c>
      <c r="CX176" s="233">
        <f t="shared" si="240"/>
        <v>0</v>
      </c>
      <c r="CY176" s="231">
        <v>3</v>
      </c>
      <c r="CZ176" s="285">
        <v>12.5</v>
      </c>
      <c r="DA176" s="234">
        <f t="shared" si="241"/>
        <v>12.5</v>
      </c>
      <c r="DB176" s="235">
        <f t="shared" si="242"/>
        <v>1</v>
      </c>
      <c r="DC176" s="232">
        <f t="shared" si="243"/>
        <v>12.5</v>
      </c>
      <c r="DD176" s="233">
        <f t="shared" si="244"/>
        <v>1</v>
      </c>
      <c r="DE176" s="65">
        <f t="shared" si="245"/>
        <v>8.3958333333333339</v>
      </c>
      <c r="DF176" s="66">
        <f t="shared" si="246"/>
        <v>7</v>
      </c>
      <c r="DG176" s="31">
        <f t="shared" si="186"/>
        <v>8.9285714285714288</v>
      </c>
      <c r="DH176" s="32">
        <f t="shared" si="187"/>
        <v>24</v>
      </c>
      <c r="DI176" s="33">
        <f t="shared" si="188"/>
        <v>8.3958333333333339</v>
      </c>
      <c r="DJ176" s="34">
        <f t="shared" si="189"/>
        <v>7</v>
      </c>
      <c r="DK176" s="67">
        <f t="shared" si="190"/>
        <v>8.6622023809523814</v>
      </c>
      <c r="DL176" s="35">
        <f t="shared" si="191"/>
        <v>31</v>
      </c>
      <c r="DM176" s="59">
        <f t="shared" si="192"/>
        <v>62</v>
      </c>
      <c r="DN176" s="43" t="str">
        <f t="shared" si="248"/>
        <v>راسب(ة)</v>
      </c>
      <c r="DO176" s="44"/>
      <c r="DP176" s="50"/>
      <c r="DQ176" s="46"/>
    </row>
    <row r="177" spans="1:121" s="37" customFormat="1" ht="32.25" customHeight="1" thickBot="1">
      <c r="A177" s="49"/>
      <c r="B177" s="1">
        <f t="shared" si="247"/>
        <v>28</v>
      </c>
      <c r="C177" s="249" t="s">
        <v>494</v>
      </c>
      <c r="D177" s="249" t="s">
        <v>334</v>
      </c>
      <c r="E177" s="47" t="s">
        <v>493</v>
      </c>
      <c r="F177" s="135">
        <v>34526</v>
      </c>
      <c r="G177" s="136" t="s">
        <v>110</v>
      </c>
      <c r="H177" s="131">
        <v>8.24</v>
      </c>
      <c r="I177" s="132">
        <v>24</v>
      </c>
      <c r="J177" s="133">
        <v>5.22</v>
      </c>
      <c r="K177" s="134">
        <v>10</v>
      </c>
      <c r="L177" s="53">
        <f t="shared" si="193"/>
        <v>6.73</v>
      </c>
      <c r="M177" s="58">
        <f t="shared" si="194"/>
        <v>34</v>
      </c>
      <c r="N177" s="222">
        <v>13</v>
      </c>
      <c r="O177" s="223">
        <v>1</v>
      </c>
      <c r="P177" s="140"/>
      <c r="Q177" s="228">
        <f t="shared" si="195"/>
        <v>7</v>
      </c>
      <c r="R177" s="229">
        <f t="shared" si="196"/>
        <v>0</v>
      </c>
      <c r="S177" s="241">
        <v>13.5</v>
      </c>
      <c r="T177" s="242">
        <v>2</v>
      </c>
      <c r="U177" s="285"/>
      <c r="V177" s="228">
        <f t="shared" si="197"/>
        <v>7.75</v>
      </c>
      <c r="W177" s="229">
        <f t="shared" si="198"/>
        <v>0</v>
      </c>
      <c r="X177" s="241">
        <v>11</v>
      </c>
      <c r="Y177" s="242">
        <v>2.75</v>
      </c>
      <c r="Z177" s="285"/>
      <c r="AA177" s="228">
        <f t="shared" si="199"/>
        <v>6.875</v>
      </c>
      <c r="AB177" s="229">
        <f t="shared" si="200"/>
        <v>0</v>
      </c>
      <c r="AC177" s="232">
        <f t="shared" si="201"/>
        <v>7.208333333333333</v>
      </c>
      <c r="AD177" s="233">
        <f t="shared" si="202"/>
        <v>0</v>
      </c>
      <c r="AE177" s="242">
        <v>6</v>
      </c>
      <c r="AF177" s="285"/>
      <c r="AG177" s="234">
        <f t="shared" si="203"/>
        <v>6</v>
      </c>
      <c r="AH177" s="235">
        <f t="shared" si="204"/>
        <v>0</v>
      </c>
      <c r="AI177" s="241">
        <v>3</v>
      </c>
      <c r="AJ177" s="242">
        <v>2.75</v>
      </c>
      <c r="AK177" s="285"/>
      <c r="AL177" s="228">
        <f t="shared" si="205"/>
        <v>2.875</v>
      </c>
      <c r="AM177" s="229">
        <f t="shared" si="206"/>
        <v>0</v>
      </c>
      <c r="AN177" s="241">
        <v>10</v>
      </c>
      <c r="AO177" s="242">
        <v>1.5</v>
      </c>
      <c r="AP177" s="285"/>
      <c r="AQ177" s="228">
        <f t="shared" si="207"/>
        <v>5.75</v>
      </c>
      <c r="AR177" s="229">
        <f t="shared" si="208"/>
        <v>0</v>
      </c>
      <c r="AS177" s="236">
        <f t="shared" si="209"/>
        <v>4.6500000000000004</v>
      </c>
      <c r="AT177" s="237">
        <f t="shared" si="210"/>
        <v>0</v>
      </c>
      <c r="AU177" s="241">
        <v>1</v>
      </c>
      <c r="AV177" s="242">
        <v>1</v>
      </c>
      <c r="AW177" s="285"/>
      <c r="AX177" s="228">
        <f t="shared" si="211"/>
        <v>1</v>
      </c>
      <c r="AY177" s="229">
        <f t="shared" si="212"/>
        <v>0</v>
      </c>
      <c r="AZ177" s="242">
        <v>2</v>
      </c>
      <c r="BA177" s="285"/>
      <c r="BB177" s="234">
        <f t="shared" si="213"/>
        <v>2</v>
      </c>
      <c r="BC177" s="235">
        <f t="shared" si="214"/>
        <v>0</v>
      </c>
      <c r="BD177" s="236">
        <f t="shared" si="215"/>
        <v>1.5</v>
      </c>
      <c r="BE177" s="237">
        <f t="shared" si="216"/>
        <v>0</v>
      </c>
      <c r="BF177" s="245">
        <v>10.75</v>
      </c>
      <c r="BG177" s="246">
        <v>10.75</v>
      </c>
      <c r="BH177" s="285"/>
      <c r="BI177" s="228">
        <f t="shared" si="217"/>
        <v>10.75</v>
      </c>
      <c r="BJ177" s="229">
        <f t="shared" si="218"/>
        <v>1</v>
      </c>
      <c r="BK177" s="236">
        <f t="shared" si="219"/>
        <v>10.75</v>
      </c>
      <c r="BL177" s="237">
        <f t="shared" si="220"/>
        <v>1</v>
      </c>
      <c r="BM177" s="239">
        <f t="shared" si="221"/>
        <v>5.7321428571428568</v>
      </c>
      <c r="BN177" s="240">
        <f t="shared" si="222"/>
        <v>1</v>
      </c>
      <c r="BO177" s="271"/>
      <c r="BP177" s="272"/>
      <c r="BQ177" s="140"/>
      <c r="BR177" s="228">
        <f t="shared" si="223"/>
        <v>0</v>
      </c>
      <c r="BS177" s="229">
        <f t="shared" si="224"/>
        <v>0</v>
      </c>
      <c r="BT177" s="241">
        <v>13.5</v>
      </c>
      <c r="BU177" s="242">
        <v>13.5</v>
      </c>
      <c r="BV177" s="285"/>
      <c r="BW177" s="228">
        <f t="shared" si="225"/>
        <v>13.5</v>
      </c>
      <c r="BX177" s="229">
        <f t="shared" si="226"/>
        <v>6</v>
      </c>
      <c r="BY177" s="241"/>
      <c r="BZ177" s="242"/>
      <c r="CA177" s="285"/>
      <c r="CB177" s="228">
        <f t="shared" si="227"/>
        <v>0</v>
      </c>
      <c r="CC177" s="229">
        <f t="shared" si="228"/>
        <v>0</v>
      </c>
      <c r="CD177" s="297">
        <f t="shared" si="229"/>
        <v>5.4</v>
      </c>
      <c r="CE177" s="233">
        <f t="shared" si="230"/>
        <v>6</v>
      </c>
      <c r="CF177" s="241">
        <v>6</v>
      </c>
      <c r="CG177" s="242">
        <v>4</v>
      </c>
      <c r="CH177" s="285"/>
      <c r="CI177" s="228">
        <f t="shared" si="231"/>
        <v>5</v>
      </c>
      <c r="CJ177" s="229">
        <f t="shared" si="232"/>
        <v>0</v>
      </c>
      <c r="CK177" s="230">
        <v>12.5</v>
      </c>
      <c r="CL177" s="231">
        <v>2</v>
      </c>
      <c r="CM177" s="285"/>
      <c r="CN177" s="228">
        <f t="shared" si="233"/>
        <v>7.25</v>
      </c>
      <c r="CO177" s="229">
        <f t="shared" si="234"/>
        <v>0</v>
      </c>
      <c r="CP177" s="232">
        <f t="shared" si="235"/>
        <v>6.125</v>
      </c>
      <c r="CQ177" s="233">
        <f t="shared" si="236"/>
        <v>0</v>
      </c>
      <c r="CR177" s="230">
        <v>10.5</v>
      </c>
      <c r="CS177" s="231">
        <v>0</v>
      </c>
      <c r="CT177" s="285"/>
      <c r="CU177" s="228">
        <f t="shared" si="237"/>
        <v>5.25</v>
      </c>
      <c r="CV177" s="229">
        <f t="shared" si="238"/>
        <v>0</v>
      </c>
      <c r="CW177" s="232">
        <f t="shared" si="239"/>
        <v>5.25</v>
      </c>
      <c r="CX177" s="233">
        <f t="shared" si="240"/>
        <v>0</v>
      </c>
      <c r="CY177" s="231">
        <v>3</v>
      </c>
      <c r="CZ177" s="285"/>
      <c r="DA177" s="234">
        <f t="shared" si="241"/>
        <v>3</v>
      </c>
      <c r="DB177" s="235">
        <f t="shared" si="242"/>
        <v>0</v>
      </c>
      <c r="DC177" s="232">
        <f t="shared" si="243"/>
        <v>3</v>
      </c>
      <c r="DD177" s="233">
        <f t="shared" si="244"/>
        <v>0</v>
      </c>
      <c r="DE177" s="65">
        <f t="shared" si="245"/>
        <v>5.416666666666667</v>
      </c>
      <c r="DF177" s="66">
        <f t="shared" si="246"/>
        <v>6</v>
      </c>
      <c r="DG177" s="31">
        <f t="shared" si="186"/>
        <v>5.7321428571428568</v>
      </c>
      <c r="DH177" s="32">
        <f t="shared" si="187"/>
        <v>1</v>
      </c>
      <c r="DI177" s="33">
        <f t="shared" si="188"/>
        <v>5.416666666666667</v>
      </c>
      <c r="DJ177" s="34">
        <f t="shared" si="189"/>
        <v>6</v>
      </c>
      <c r="DK177" s="67">
        <f t="shared" si="190"/>
        <v>5.5744047619047619</v>
      </c>
      <c r="DL177" s="35">
        <f t="shared" si="191"/>
        <v>7</v>
      </c>
      <c r="DM177" s="59">
        <f t="shared" si="192"/>
        <v>41</v>
      </c>
      <c r="DN177" s="43" t="str">
        <f t="shared" si="248"/>
        <v>راسب(ة)</v>
      </c>
      <c r="DO177" s="44"/>
      <c r="DP177" s="51"/>
      <c r="DQ177" s="46"/>
    </row>
    <row r="178" spans="1:121" s="37" customFormat="1" ht="32.25" customHeight="1" thickBot="1">
      <c r="A178" s="49"/>
      <c r="B178" s="1">
        <f t="shared" si="247"/>
        <v>29</v>
      </c>
      <c r="C178" s="249" t="s">
        <v>335</v>
      </c>
      <c r="D178" s="249" t="s">
        <v>336</v>
      </c>
      <c r="E178" s="47" t="s">
        <v>496</v>
      </c>
      <c r="F178" s="135">
        <v>34484</v>
      </c>
      <c r="G178" s="136" t="s">
        <v>110</v>
      </c>
      <c r="H178" s="131">
        <v>9.08</v>
      </c>
      <c r="I178" s="132">
        <v>24</v>
      </c>
      <c r="J178" s="133">
        <v>8.92</v>
      </c>
      <c r="K178" s="134">
        <v>19</v>
      </c>
      <c r="L178" s="53">
        <f t="shared" si="193"/>
        <v>9</v>
      </c>
      <c r="M178" s="58">
        <f t="shared" si="194"/>
        <v>43</v>
      </c>
      <c r="N178" s="222">
        <v>16</v>
      </c>
      <c r="O178" s="223">
        <v>9</v>
      </c>
      <c r="P178" s="140"/>
      <c r="Q178" s="228">
        <f t="shared" si="195"/>
        <v>12.5</v>
      </c>
      <c r="R178" s="229">
        <f t="shared" si="196"/>
        <v>5</v>
      </c>
      <c r="S178" s="241">
        <v>12.5</v>
      </c>
      <c r="T178" s="242">
        <v>4.5</v>
      </c>
      <c r="U178" s="285">
        <v>7.5</v>
      </c>
      <c r="V178" s="228">
        <f t="shared" si="197"/>
        <v>10</v>
      </c>
      <c r="W178" s="229">
        <f t="shared" si="198"/>
        <v>6</v>
      </c>
      <c r="X178" s="241">
        <v>11</v>
      </c>
      <c r="Y178" s="242">
        <v>4</v>
      </c>
      <c r="Z178" s="285">
        <v>11</v>
      </c>
      <c r="AA178" s="228">
        <f t="shared" si="199"/>
        <v>11</v>
      </c>
      <c r="AB178" s="229">
        <f t="shared" si="200"/>
        <v>6</v>
      </c>
      <c r="AC178" s="232">
        <f t="shared" si="201"/>
        <v>11.166666666666666</v>
      </c>
      <c r="AD178" s="233">
        <f t="shared" si="202"/>
        <v>17</v>
      </c>
      <c r="AE178" s="242">
        <v>12</v>
      </c>
      <c r="AF178" s="285"/>
      <c r="AG178" s="234">
        <f t="shared" si="203"/>
        <v>12</v>
      </c>
      <c r="AH178" s="235">
        <f t="shared" si="204"/>
        <v>1</v>
      </c>
      <c r="AI178" s="241">
        <v>12.5</v>
      </c>
      <c r="AJ178" s="242">
        <v>9.25</v>
      </c>
      <c r="AK178" s="285">
        <v>12.5</v>
      </c>
      <c r="AL178" s="228">
        <f t="shared" si="205"/>
        <v>12.5</v>
      </c>
      <c r="AM178" s="229">
        <f t="shared" si="206"/>
        <v>3</v>
      </c>
      <c r="AN178" s="241">
        <v>9.5</v>
      </c>
      <c r="AO178" s="242">
        <v>4</v>
      </c>
      <c r="AP178" s="285"/>
      <c r="AQ178" s="228">
        <f t="shared" si="207"/>
        <v>6.75</v>
      </c>
      <c r="AR178" s="229">
        <f t="shared" si="208"/>
        <v>0</v>
      </c>
      <c r="AS178" s="236">
        <f t="shared" si="209"/>
        <v>10.1</v>
      </c>
      <c r="AT178" s="237">
        <f t="shared" si="210"/>
        <v>7</v>
      </c>
      <c r="AU178" s="241">
        <v>11</v>
      </c>
      <c r="AV178" s="242">
        <v>4</v>
      </c>
      <c r="AW178" s="285"/>
      <c r="AX178" s="228">
        <f t="shared" si="211"/>
        <v>7.5</v>
      </c>
      <c r="AY178" s="229">
        <f t="shared" si="212"/>
        <v>0</v>
      </c>
      <c r="AZ178" s="242">
        <v>8.5</v>
      </c>
      <c r="BA178" s="285"/>
      <c r="BB178" s="234">
        <f t="shared" si="213"/>
        <v>8.5</v>
      </c>
      <c r="BC178" s="235">
        <f t="shared" si="214"/>
        <v>0</v>
      </c>
      <c r="BD178" s="236">
        <f t="shared" si="215"/>
        <v>8</v>
      </c>
      <c r="BE178" s="237">
        <f t="shared" si="216"/>
        <v>0</v>
      </c>
      <c r="BF178" s="241">
        <v>14.25</v>
      </c>
      <c r="BG178" s="242">
        <v>7.5</v>
      </c>
      <c r="BH178" s="285"/>
      <c r="BI178" s="228">
        <f t="shared" si="217"/>
        <v>10.875</v>
      </c>
      <c r="BJ178" s="229">
        <f t="shared" si="218"/>
        <v>1</v>
      </c>
      <c r="BK178" s="236">
        <f t="shared" si="219"/>
        <v>10.875</v>
      </c>
      <c r="BL178" s="237">
        <f t="shared" si="220"/>
        <v>1</v>
      </c>
      <c r="BM178" s="239">
        <f t="shared" si="221"/>
        <v>10.3125</v>
      </c>
      <c r="BN178" s="240">
        <f t="shared" si="222"/>
        <v>30</v>
      </c>
      <c r="BO178" s="271">
        <v>14.5</v>
      </c>
      <c r="BP178" s="272">
        <v>2</v>
      </c>
      <c r="BQ178" s="140">
        <v>6</v>
      </c>
      <c r="BR178" s="228">
        <f t="shared" si="223"/>
        <v>10.25</v>
      </c>
      <c r="BS178" s="229">
        <f t="shared" si="224"/>
        <v>6</v>
      </c>
      <c r="BT178" s="241">
        <v>15.5</v>
      </c>
      <c r="BU178" s="242">
        <v>4.5</v>
      </c>
      <c r="BV178" s="285"/>
      <c r="BW178" s="228">
        <f t="shared" si="225"/>
        <v>10</v>
      </c>
      <c r="BX178" s="229">
        <f t="shared" si="226"/>
        <v>6</v>
      </c>
      <c r="BY178" s="241">
        <v>9</v>
      </c>
      <c r="BZ178" s="242">
        <v>0</v>
      </c>
      <c r="CA178" s="285">
        <v>4.5</v>
      </c>
      <c r="CB178" s="228">
        <f t="shared" si="227"/>
        <v>6.75</v>
      </c>
      <c r="CC178" s="229">
        <f t="shared" si="228"/>
        <v>0</v>
      </c>
      <c r="CD178" s="297">
        <f t="shared" si="229"/>
        <v>9.4499999999999993</v>
      </c>
      <c r="CE178" s="233">
        <f t="shared" si="230"/>
        <v>12</v>
      </c>
      <c r="CF178" s="241">
        <v>8</v>
      </c>
      <c r="CG178" s="242">
        <v>8.5</v>
      </c>
      <c r="CH178" s="285"/>
      <c r="CI178" s="228">
        <f t="shared" si="231"/>
        <v>8.25</v>
      </c>
      <c r="CJ178" s="229">
        <f t="shared" si="232"/>
        <v>0</v>
      </c>
      <c r="CK178" s="230">
        <v>13.5</v>
      </c>
      <c r="CL178" s="231">
        <v>6.5</v>
      </c>
      <c r="CM178" s="285"/>
      <c r="CN178" s="228">
        <f t="shared" si="233"/>
        <v>10</v>
      </c>
      <c r="CO178" s="229">
        <f t="shared" si="234"/>
        <v>5</v>
      </c>
      <c r="CP178" s="232">
        <f t="shared" si="235"/>
        <v>9.125</v>
      </c>
      <c r="CQ178" s="233">
        <f t="shared" si="236"/>
        <v>5</v>
      </c>
      <c r="CR178" s="230">
        <v>13.5</v>
      </c>
      <c r="CS178" s="231">
        <v>2</v>
      </c>
      <c r="CT178" s="285">
        <v>13.5</v>
      </c>
      <c r="CU178" s="228">
        <f t="shared" si="237"/>
        <v>13.5</v>
      </c>
      <c r="CV178" s="229">
        <f t="shared" si="238"/>
        <v>3</v>
      </c>
      <c r="CW178" s="232">
        <f t="shared" si="239"/>
        <v>13.5</v>
      </c>
      <c r="CX178" s="233">
        <f t="shared" si="240"/>
        <v>3</v>
      </c>
      <c r="CY178" s="231">
        <v>3</v>
      </c>
      <c r="CZ178" s="285">
        <v>14</v>
      </c>
      <c r="DA178" s="234">
        <f t="shared" si="241"/>
        <v>14</v>
      </c>
      <c r="DB178" s="235">
        <f t="shared" si="242"/>
        <v>1</v>
      </c>
      <c r="DC178" s="232">
        <f t="shared" si="243"/>
        <v>14</v>
      </c>
      <c r="DD178" s="233">
        <f t="shared" si="244"/>
        <v>1</v>
      </c>
      <c r="DE178" s="65">
        <f t="shared" si="245"/>
        <v>10.395833333333334</v>
      </c>
      <c r="DF178" s="66">
        <f t="shared" si="246"/>
        <v>30</v>
      </c>
      <c r="DG178" s="31">
        <f t="shared" si="186"/>
        <v>10.3125</v>
      </c>
      <c r="DH178" s="32">
        <f t="shared" si="187"/>
        <v>30</v>
      </c>
      <c r="DI178" s="33">
        <f t="shared" si="188"/>
        <v>10.395833333333334</v>
      </c>
      <c r="DJ178" s="34">
        <f t="shared" si="189"/>
        <v>30</v>
      </c>
      <c r="DK178" s="67">
        <f t="shared" si="190"/>
        <v>10.354166666666668</v>
      </c>
      <c r="DL178" s="35">
        <f t="shared" si="191"/>
        <v>60</v>
      </c>
      <c r="DM178" s="59">
        <f t="shared" si="192"/>
        <v>103</v>
      </c>
      <c r="DN178" s="43" t="str">
        <f t="shared" si="248"/>
        <v>ناجح(ة)بتأخير</v>
      </c>
      <c r="DO178" s="44"/>
      <c r="DP178" s="50"/>
      <c r="DQ178" s="46"/>
    </row>
    <row r="179" spans="1:121" s="37" customFormat="1" ht="32.25" hidden="1" customHeight="1" thickBot="1">
      <c r="A179" s="49"/>
      <c r="B179" s="1">
        <f t="shared" si="247"/>
        <v>30</v>
      </c>
      <c r="C179" s="129"/>
      <c r="D179" s="129"/>
      <c r="E179" s="47"/>
      <c r="F179" s="135"/>
      <c r="G179" s="136"/>
      <c r="H179" s="131"/>
      <c r="I179" s="132"/>
      <c r="J179" s="133"/>
      <c r="K179" s="134"/>
      <c r="L179" s="53">
        <f t="shared" si="193"/>
        <v>0</v>
      </c>
      <c r="M179" s="58">
        <f t="shared" si="194"/>
        <v>0</v>
      </c>
      <c r="N179" s="222"/>
      <c r="O179" s="223"/>
      <c r="P179" s="140"/>
      <c r="Q179" s="54">
        <f t="shared" si="195"/>
        <v>0</v>
      </c>
      <c r="R179" s="57">
        <f t="shared" si="196"/>
        <v>0</v>
      </c>
      <c r="S179" s="241"/>
      <c r="T179" s="242"/>
      <c r="U179" s="140"/>
      <c r="V179" s="54">
        <f t="shared" si="197"/>
        <v>0</v>
      </c>
      <c r="W179" s="57">
        <f t="shared" si="198"/>
        <v>0</v>
      </c>
      <c r="X179" s="241"/>
      <c r="Y179" s="242"/>
      <c r="Z179" s="140"/>
      <c r="AA179" s="54">
        <f t="shared" si="199"/>
        <v>0</v>
      </c>
      <c r="AB179" s="57">
        <f t="shared" si="200"/>
        <v>0</v>
      </c>
      <c r="AC179" s="55">
        <f t="shared" si="201"/>
        <v>0</v>
      </c>
      <c r="AD179" s="56">
        <f t="shared" si="202"/>
        <v>0</v>
      </c>
      <c r="AE179" s="242"/>
      <c r="AF179" s="140"/>
      <c r="AG179" s="42">
        <f t="shared" si="203"/>
        <v>0</v>
      </c>
      <c r="AH179" s="39">
        <f t="shared" si="204"/>
        <v>0</v>
      </c>
      <c r="AI179" s="241"/>
      <c r="AJ179" s="242"/>
      <c r="AK179" s="140"/>
      <c r="AL179" s="54">
        <f t="shared" si="205"/>
        <v>0</v>
      </c>
      <c r="AM179" s="57">
        <f t="shared" si="206"/>
        <v>0</v>
      </c>
      <c r="AN179" s="241"/>
      <c r="AO179" s="242"/>
      <c r="AP179" s="140"/>
      <c r="AQ179" s="54">
        <f t="shared" si="207"/>
        <v>0</v>
      </c>
      <c r="AR179" s="57">
        <f t="shared" si="208"/>
        <v>0</v>
      </c>
      <c r="AS179" s="40">
        <f t="shared" si="209"/>
        <v>0</v>
      </c>
      <c r="AT179" s="41">
        <f t="shared" si="210"/>
        <v>0</v>
      </c>
      <c r="AU179" s="241"/>
      <c r="AV179" s="242"/>
      <c r="AW179" s="140"/>
      <c r="AX179" s="54">
        <f t="shared" si="211"/>
        <v>0</v>
      </c>
      <c r="AY179" s="57">
        <f t="shared" si="212"/>
        <v>0</v>
      </c>
      <c r="AZ179" s="242"/>
      <c r="BA179" s="140"/>
      <c r="BB179" s="42">
        <f t="shared" si="213"/>
        <v>0</v>
      </c>
      <c r="BC179" s="39">
        <f t="shared" si="214"/>
        <v>0</v>
      </c>
      <c r="BD179" s="40">
        <f t="shared" si="215"/>
        <v>0</v>
      </c>
      <c r="BE179" s="41">
        <f t="shared" si="216"/>
        <v>0</v>
      </c>
      <c r="BF179" s="241"/>
      <c r="BG179" s="242"/>
      <c r="BH179" s="140"/>
      <c r="BI179" s="54">
        <f t="shared" si="217"/>
        <v>0</v>
      </c>
      <c r="BJ179" s="57">
        <f t="shared" si="218"/>
        <v>0</v>
      </c>
      <c r="BK179" s="61">
        <f t="shared" si="219"/>
        <v>0</v>
      </c>
      <c r="BL179" s="41">
        <f t="shared" si="220"/>
        <v>0</v>
      </c>
      <c r="BM179" s="63">
        <f t="shared" si="221"/>
        <v>0</v>
      </c>
      <c r="BN179" s="64">
        <f t="shared" si="222"/>
        <v>0</v>
      </c>
      <c r="BO179" s="271">
        <v>13</v>
      </c>
      <c r="BP179" s="272">
        <v>8.25</v>
      </c>
      <c r="BQ179" s="140"/>
      <c r="BR179" s="54">
        <f t="shared" si="223"/>
        <v>10.625</v>
      </c>
      <c r="BS179" s="57">
        <f t="shared" si="224"/>
        <v>6</v>
      </c>
      <c r="BT179" s="271">
        <v>16.5</v>
      </c>
      <c r="BU179" s="272">
        <v>15</v>
      </c>
      <c r="BV179" s="140"/>
      <c r="BW179" s="54">
        <f t="shared" si="225"/>
        <v>15.75</v>
      </c>
      <c r="BX179" s="57">
        <f t="shared" si="226"/>
        <v>6</v>
      </c>
      <c r="BY179" s="271">
        <v>9</v>
      </c>
      <c r="BZ179" s="272">
        <v>2.5</v>
      </c>
      <c r="CA179" s="140"/>
      <c r="CB179" s="54">
        <f t="shared" si="227"/>
        <v>5.75</v>
      </c>
      <c r="CC179" s="57">
        <f t="shared" si="228"/>
        <v>0</v>
      </c>
      <c r="CD179" s="62">
        <f t="shared" si="229"/>
        <v>11.7</v>
      </c>
      <c r="CE179" s="56">
        <f t="shared" si="230"/>
        <v>16</v>
      </c>
      <c r="CF179" s="271">
        <v>11</v>
      </c>
      <c r="CG179" s="272">
        <v>16.25</v>
      </c>
      <c r="CH179" s="140"/>
      <c r="CI179" s="54">
        <f t="shared" si="231"/>
        <v>13.625</v>
      </c>
      <c r="CJ179" s="57">
        <f t="shared" si="232"/>
        <v>5</v>
      </c>
      <c r="CK179" s="138"/>
      <c r="CL179" s="139"/>
      <c r="CM179" s="140"/>
      <c r="CN179" s="54">
        <f t="shared" si="233"/>
        <v>0</v>
      </c>
      <c r="CO179" s="57">
        <f t="shared" si="234"/>
        <v>0</v>
      </c>
      <c r="CP179" s="55">
        <f t="shared" si="235"/>
        <v>6.8125</v>
      </c>
      <c r="CQ179" s="56">
        <f t="shared" si="236"/>
        <v>5</v>
      </c>
      <c r="CR179" s="138"/>
      <c r="CS179" s="139"/>
      <c r="CT179" s="140"/>
      <c r="CU179" s="54">
        <f t="shared" si="237"/>
        <v>0</v>
      </c>
      <c r="CV179" s="57">
        <f t="shared" si="238"/>
        <v>0</v>
      </c>
      <c r="CW179" s="55">
        <f t="shared" si="239"/>
        <v>0</v>
      </c>
      <c r="CX179" s="56">
        <f t="shared" si="240"/>
        <v>0</v>
      </c>
      <c r="CY179" s="139"/>
      <c r="CZ179" s="140"/>
      <c r="DA179" s="42">
        <f t="shared" si="241"/>
        <v>0</v>
      </c>
      <c r="DB179" s="39">
        <f t="shared" si="242"/>
        <v>0</v>
      </c>
      <c r="DC179" s="55">
        <f t="shared" si="243"/>
        <v>0</v>
      </c>
      <c r="DD179" s="56">
        <f t="shared" si="244"/>
        <v>0</v>
      </c>
      <c r="DE179" s="65">
        <f t="shared" si="245"/>
        <v>7.145833333333333</v>
      </c>
      <c r="DF179" s="66">
        <f t="shared" si="246"/>
        <v>21</v>
      </c>
      <c r="DG179" s="31">
        <f t="shared" si="186"/>
        <v>0</v>
      </c>
      <c r="DH179" s="32">
        <f t="shared" si="187"/>
        <v>0</v>
      </c>
      <c r="DI179" s="33">
        <f t="shared" si="188"/>
        <v>7.145833333333333</v>
      </c>
      <c r="DJ179" s="34">
        <f t="shared" si="189"/>
        <v>21</v>
      </c>
      <c r="DK179" s="67">
        <f t="shared" si="190"/>
        <v>3.5729166666666665</v>
      </c>
      <c r="DL179" s="35">
        <f t="shared" si="191"/>
        <v>21</v>
      </c>
      <c r="DM179" s="59">
        <f t="shared" si="192"/>
        <v>21</v>
      </c>
      <c r="DN179" s="43" t="str">
        <f t="shared" si="248"/>
        <v>راسب(ة)</v>
      </c>
      <c r="DP179" s="51"/>
      <c r="DQ179" s="46"/>
    </row>
    <row r="180" spans="1:121" s="37" customFormat="1" ht="32.25" hidden="1" customHeight="1" thickBot="1">
      <c r="A180" s="49"/>
      <c r="B180" s="1">
        <f t="shared" si="247"/>
        <v>31</v>
      </c>
      <c r="C180" s="129"/>
      <c r="D180" s="129"/>
      <c r="E180" s="47"/>
      <c r="F180" s="135"/>
      <c r="G180" s="136"/>
      <c r="H180" s="131"/>
      <c r="I180" s="132"/>
      <c r="J180" s="133"/>
      <c r="K180" s="134"/>
      <c r="L180" s="53">
        <f t="shared" si="193"/>
        <v>0</v>
      </c>
      <c r="M180" s="58">
        <f t="shared" si="194"/>
        <v>0</v>
      </c>
      <c r="N180" s="222"/>
      <c r="O180" s="223"/>
      <c r="P180" s="140"/>
      <c r="Q180" s="54">
        <f t="shared" si="195"/>
        <v>0</v>
      </c>
      <c r="R180" s="57">
        <f t="shared" si="196"/>
        <v>0</v>
      </c>
      <c r="S180" s="241"/>
      <c r="T180" s="242"/>
      <c r="U180" s="140"/>
      <c r="V180" s="54">
        <f t="shared" si="197"/>
        <v>0</v>
      </c>
      <c r="W180" s="57">
        <f t="shared" si="198"/>
        <v>0</v>
      </c>
      <c r="X180" s="241"/>
      <c r="Y180" s="242"/>
      <c r="Z180" s="140"/>
      <c r="AA180" s="54">
        <f t="shared" si="199"/>
        <v>0</v>
      </c>
      <c r="AB180" s="57">
        <f t="shared" si="200"/>
        <v>0</v>
      </c>
      <c r="AC180" s="55">
        <f t="shared" si="201"/>
        <v>0</v>
      </c>
      <c r="AD180" s="56">
        <f t="shared" si="202"/>
        <v>0</v>
      </c>
      <c r="AE180" s="242"/>
      <c r="AF180" s="140"/>
      <c r="AG180" s="42">
        <f t="shared" si="203"/>
        <v>0</v>
      </c>
      <c r="AH180" s="39">
        <f t="shared" si="204"/>
        <v>0</v>
      </c>
      <c r="AI180" s="241"/>
      <c r="AJ180" s="242"/>
      <c r="AK180" s="140"/>
      <c r="AL180" s="54">
        <f t="shared" si="205"/>
        <v>0</v>
      </c>
      <c r="AM180" s="57">
        <f t="shared" si="206"/>
        <v>0</v>
      </c>
      <c r="AN180" s="241"/>
      <c r="AO180" s="242"/>
      <c r="AP180" s="140"/>
      <c r="AQ180" s="54">
        <f t="shared" si="207"/>
        <v>0</v>
      </c>
      <c r="AR180" s="57">
        <f t="shared" si="208"/>
        <v>0</v>
      </c>
      <c r="AS180" s="40">
        <f t="shared" si="209"/>
        <v>0</v>
      </c>
      <c r="AT180" s="41">
        <f t="shared" si="210"/>
        <v>0</v>
      </c>
      <c r="AU180" s="241"/>
      <c r="AV180" s="242"/>
      <c r="AW180" s="140"/>
      <c r="AX180" s="54">
        <f t="shared" si="211"/>
        <v>0</v>
      </c>
      <c r="AY180" s="57">
        <f t="shared" si="212"/>
        <v>0</v>
      </c>
      <c r="AZ180" s="242"/>
      <c r="BA180" s="140"/>
      <c r="BB180" s="42">
        <f t="shared" si="213"/>
        <v>0</v>
      </c>
      <c r="BC180" s="39">
        <f t="shared" si="214"/>
        <v>0</v>
      </c>
      <c r="BD180" s="40">
        <f t="shared" si="215"/>
        <v>0</v>
      </c>
      <c r="BE180" s="41">
        <f t="shared" si="216"/>
        <v>0</v>
      </c>
      <c r="BF180" s="241"/>
      <c r="BG180" s="242"/>
      <c r="BH180" s="140"/>
      <c r="BI180" s="54">
        <f t="shared" si="217"/>
        <v>0</v>
      </c>
      <c r="BJ180" s="57">
        <f t="shared" si="218"/>
        <v>0</v>
      </c>
      <c r="BK180" s="61">
        <f t="shared" si="219"/>
        <v>0</v>
      </c>
      <c r="BL180" s="41">
        <f t="shared" si="220"/>
        <v>0</v>
      </c>
      <c r="BM180" s="63">
        <f t="shared" si="221"/>
        <v>0</v>
      </c>
      <c r="BN180" s="64">
        <f t="shared" si="222"/>
        <v>0</v>
      </c>
      <c r="BO180" s="138"/>
      <c r="BP180" s="139"/>
      <c r="BQ180" s="140"/>
      <c r="BR180" s="54">
        <f t="shared" si="223"/>
        <v>0</v>
      </c>
      <c r="BS180" s="57">
        <f t="shared" si="224"/>
        <v>0</v>
      </c>
      <c r="BT180" s="138"/>
      <c r="BU180" s="139"/>
      <c r="BV180" s="140"/>
      <c r="BW180" s="54">
        <f t="shared" si="225"/>
        <v>0</v>
      </c>
      <c r="BX180" s="57">
        <f t="shared" si="226"/>
        <v>0</v>
      </c>
      <c r="BY180" s="138"/>
      <c r="BZ180" s="139"/>
      <c r="CA180" s="140"/>
      <c r="CB180" s="54">
        <f t="shared" si="227"/>
        <v>0</v>
      </c>
      <c r="CC180" s="57">
        <f t="shared" si="228"/>
        <v>0</v>
      </c>
      <c r="CD180" s="62">
        <f t="shared" si="229"/>
        <v>0</v>
      </c>
      <c r="CE180" s="56">
        <f t="shared" si="230"/>
        <v>0</v>
      </c>
      <c r="CF180" s="138"/>
      <c r="CG180" s="139"/>
      <c r="CH180" s="140"/>
      <c r="CI180" s="54">
        <f t="shared" si="231"/>
        <v>0</v>
      </c>
      <c r="CJ180" s="57">
        <f t="shared" si="232"/>
        <v>0</v>
      </c>
      <c r="CK180" s="138"/>
      <c r="CL180" s="139"/>
      <c r="CM180" s="140"/>
      <c r="CN180" s="54">
        <f t="shared" si="233"/>
        <v>0</v>
      </c>
      <c r="CO180" s="57">
        <f t="shared" si="234"/>
        <v>0</v>
      </c>
      <c r="CP180" s="55">
        <f t="shared" si="235"/>
        <v>0</v>
      </c>
      <c r="CQ180" s="56">
        <f t="shared" si="236"/>
        <v>0</v>
      </c>
      <c r="CR180" s="138"/>
      <c r="CS180" s="139"/>
      <c r="CT180" s="140"/>
      <c r="CU180" s="54">
        <f t="shared" si="237"/>
        <v>0</v>
      </c>
      <c r="CV180" s="57">
        <f t="shared" si="238"/>
        <v>0</v>
      </c>
      <c r="CW180" s="55">
        <f t="shared" si="239"/>
        <v>0</v>
      </c>
      <c r="CX180" s="56">
        <f t="shared" si="240"/>
        <v>0</v>
      </c>
      <c r="CY180" s="139"/>
      <c r="CZ180" s="140"/>
      <c r="DA180" s="42">
        <f t="shared" si="241"/>
        <v>0</v>
      </c>
      <c r="DB180" s="39">
        <f t="shared" si="242"/>
        <v>0</v>
      </c>
      <c r="DC180" s="55">
        <f t="shared" si="243"/>
        <v>0</v>
      </c>
      <c r="DD180" s="56">
        <f t="shared" si="244"/>
        <v>0</v>
      </c>
      <c r="DE180" s="65">
        <f t="shared" si="245"/>
        <v>0</v>
      </c>
      <c r="DF180" s="66">
        <f t="shared" si="246"/>
        <v>0</v>
      </c>
      <c r="DG180" s="31">
        <f t="shared" si="186"/>
        <v>0</v>
      </c>
      <c r="DH180" s="32">
        <f t="shared" si="187"/>
        <v>0</v>
      </c>
      <c r="DI180" s="33">
        <f t="shared" si="188"/>
        <v>0</v>
      </c>
      <c r="DJ180" s="34">
        <f t="shared" si="189"/>
        <v>0</v>
      </c>
      <c r="DK180" s="67">
        <f t="shared" si="190"/>
        <v>0</v>
      </c>
      <c r="DL180" s="35">
        <f t="shared" si="191"/>
        <v>0</v>
      </c>
      <c r="DM180" s="59">
        <f t="shared" si="192"/>
        <v>0</v>
      </c>
      <c r="DN180" s="43" t="str">
        <f t="shared" si="248"/>
        <v>راسب(ة)</v>
      </c>
      <c r="DO180" s="44"/>
      <c r="DP180" s="50"/>
      <c r="DQ180" s="46"/>
    </row>
    <row r="181" spans="1:121" s="37" customFormat="1" ht="32.25" hidden="1" customHeight="1" thickBot="1">
      <c r="A181" s="49"/>
      <c r="B181" s="1">
        <f t="shared" si="247"/>
        <v>32</v>
      </c>
      <c r="C181" s="129"/>
      <c r="D181" s="129"/>
      <c r="E181" s="47"/>
      <c r="F181" s="135"/>
      <c r="G181" s="136"/>
      <c r="H181" s="131"/>
      <c r="I181" s="132"/>
      <c r="J181" s="133"/>
      <c r="K181" s="134"/>
      <c r="L181" s="53">
        <f t="shared" si="193"/>
        <v>0</v>
      </c>
      <c r="M181" s="58">
        <f t="shared" si="194"/>
        <v>0</v>
      </c>
      <c r="N181" s="222"/>
      <c r="O181" s="223"/>
      <c r="P181" s="140"/>
      <c r="Q181" s="54">
        <f t="shared" si="195"/>
        <v>0</v>
      </c>
      <c r="R181" s="57">
        <f t="shared" si="196"/>
        <v>0</v>
      </c>
      <c r="S181" s="241"/>
      <c r="T181" s="242"/>
      <c r="U181" s="140"/>
      <c r="V181" s="54">
        <f t="shared" si="197"/>
        <v>0</v>
      </c>
      <c r="W181" s="57">
        <f t="shared" si="198"/>
        <v>0</v>
      </c>
      <c r="X181" s="241"/>
      <c r="Y181" s="242"/>
      <c r="Z181" s="140"/>
      <c r="AA181" s="54">
        <f t="shared" si="199"/>
        <v>0</v>
      </c>
      <c r="AB181" s="57">
        <f t="shared" si="200"/>
        <v>0</v>
      </c>
      <c r="AC181" s="55">
        <f t="shared" si="201"/>
        <v>0</v>
      </c>
      <c r="AD181" s="56">
        <f t="shared" si="202"/>
        <v>0</v>
      </c>
      <c r="AE181" s="242"/>
      <c r="AF181" s="140"/>
      <c r="AG181" s="42">
        <f t="shared" si="203"/>
        <v>0</v>
      </c>
      <c r="AH181" s="39">
        <f t="shared" si="204"/>
        <v>0</v>
      </c>
      <c r="AI181" s="241"/>
      <c r="AJ181" s="242"/>
      <c r="AK181" s="140"/>
      <c r="AL181" s="54">
        <f t="shared" si="205"/>
        <v>0</v>
      </c>
      <c r="AM181" s="57">
        <f t="shared" si="206"/>
        <v>0</v>
      </c>
      <c r="AN181" s="241"/>
      <c r="AO181" s="242"/>
      <c r="AP181" s="140"/>
      <c r="AQ181" s="54">
        <f t="shared" si="207"/>
        <v>0</v>
      </c>
      <c r="AR181" s="57">
        <f t="shared" si="208"/>
        <v>0</v>
      </c>
      <c r="AS181" s="40">
        <f t="shared" si="209"/>
        <v>0</v>
      </c>
      <c r="AT181" s="41">
        <f t="shared" si="210"/>
        <v>0</v>
      </c>
      <c r="AU181" s="241"/>
      <c r="AV181" s="242"/>
      <c r="AW181" s="140"/>
      <c r="AX181" s="54">
        <f t="shared" si="211"/>
        <v>0</v>
      </c>
      <c r="AY181" s="57">
        <f t="shared" si="212"/>
        <v>0</v>
      </c>
      <c r="AZ181" s="242"/>
      <c r="BA181" s="140"/>
      <c r="BB181" s="42">
        <f t="shared" si="213"/>
        <v>0</v>
      </c>
      <c r="BC181" s="39">
        <f t="shared" si="214"/>
        <v>0</v>
      </c>
      <c r="BD181" s="40">
        <f t="shared" si="215"/>
        <v>0</v>
      </c>
      <c r="BE181" s="41">
        <f t="shared" si="216"/>
        <v>0</v>
      </c>
      <c r="BF181" s="241"/>
      <c r="BG181" s="242"/>
      <c r="BH181" s="140"/>
      <c r="BI181" s="54">
        <f t="shared" si="217"/>
        <v>0</v>
      </c>
      <c r="BJ181" s="57">
        <f t="shared" si="218"/>
        <v>0</v>
      </c>
      <c r="BK181" s="61">
        <f t="shared" si="219"/>
        <v>0</v>
      </c>
      <c r="BL181" s="41">
        <f t="shared" si="220"/>
        <v>0</v>
      </c>
      <c r="BM181" s="63">
        <f t="shared" si="221"/>
        <v>0</v>
      </c>
      <c r="BN181" s="64">
        <f t="shared" si="222"/>
        <v>0</v>
      </c>
      <c r="BO181" s="138"/>
      <c r="BP181" s="139"/>
      <c r="BQ181" s="140"/>
      <c r="BR181" s="54">
        <f t="shared" si="223"/>
        <v>0</v>
      </c>
      <c r="BS181" s="57">
        <f t="shared" si="224"/>
        <v>0</v>
      </c>
      <c r="BT181" s="138"/>
      <c r="BU181" s="139"/>
      <c r="BV181" s="140"/>
      <c r="BW181" s="54">
        <f t="shared" si="225"/>
        <v>0</v>
      </c>
      <c r="BX181" s="57">
        <f t="shared" si="226"/>
        <v>0</v>
      </c>
      <c r="BY181" s="138"/>
      <c r="BZ181" s="139"/>
      <c r="CA181" s="140"/>
      <c r="CB181" s="54">
        <f t="shared" si="227"/>
        <v>0</v>
      </c>
      <c r="CC181" s="57">
        <f t="shared" si="228"/>
        <v>0</v>
      </c>
      <c r="CD181" s="62">
        <f t="shared" si="229"/>
        <v>0</v>
      </c>
      <c r="CE181" s="56">
        <f t="shared" si="230"/>
        <v>0</v>
      </c>
      <c r="CF181" s="138"/>
      <c r="CG181" s="139"/>
      <c r="CH181" s="140"/>
      <c r="CI181" s="54">
        <f t="shared" si="231"/>
        <v>0</v>
      </c>
      <c r="CJ181" s="57">
        <f t="shared" si="232"/>
        <v>0</v>
      </c>
      <c r="CK181" s="138"/>
      <c r="CL181" s="139"/>
      <c r="CM181" s="140"/>
      <c r="CN181" s="54">
        <f t="shared" si="233"/>
        <v>0</v>
      </c>
      <c r="CO181" s="57">
        <f t="shared" si="234"/>
        <v>0</v>
      </c>
      <c r="CP181" s="55">
        <f t="shared" si="235"/>
        <v>0</v>
      </c>
      <c r="CQ181" s="56">
        <f t="shared" si="236"/>
        <v>0</v>
      </c>
      <c r="CR181" s="138"/>
      <c r="CS181" s="139"/>
      <c r="CT181" s="140"/>
      <c r="CU181" s="54">
        <f t="shared" si="237"/>
        <v>0</v>
      </c>
      <c r="CV181" s="57">
        <f t="shared" si="238"/>
        <v>0</v>
      </c>
      <c r="CW181" s="55">
        <f t="shared" si="239"/>
        <v>0</v>
      </c>
      <c r="CX181" s="56">
        <f t="shared" si="240"/>
        <v>0</v>
      </c>
      <c r="CY181" s="139"/>
      <c r="CZ181" s="140"/>
      <c r="DA181" s="42">
        <f t="shared" si="241"/>
        <v>0</v>
      </c>
      <c r="DB181" s="39">
        <f t="shared" si="242"/>
        <v>0</v>
      </c>
      <c r="DC181" s="55">
        <f t="shared" si="243"/>
        <v>0</v>
      </c>
      <c r="DD181" s="56">
        <f t="shared" si="244"/>
        <v>0</v>
      </c>
      <c r="DE181" s="65">
        <f t="shared" si="245"/>
        <v>0</v>
      </c>
      <c r="DF181" s="66">
        <f t="shared" si="246"/>
        <v>0</v>
      </c>
      <c r="DG181" s="31">
        <f t="shared" si="186"/>
        <v>0</v>
      </c>
      <c r="DH181" s="32">
        <f t="shared" si="187"/>
        <v>0</v>
      </c>
      <c r="DI181" s="33">
        <f t="shared" si="188"/>
        <v>0</v>
      </c>
      <c r="DJ181" s="34">
        <f t="shared" si="189"/>
        <v>0</v>
      </c>
      <c r="DK181" s="67">
        <f t="shared" si="190"/>
        <v>0</v>
      </c>
      <c r="DL181" s="35">
        <f t="shared" si="191"/>
        <v>0</v>
      </c>
      <c r="DM181" s="59">
        <f t="shared" si="192"/>
        <v>0</v>
      </c>
      <c r="DN181" s="43" t="str">
        <f t="shared" si="248"/>
        <v>راسب(ة)</v>
      </c>
      <c r="DO181" s="44"/>
      <c r="DP181" s="50"/>
      <c r="DQ181" s="46"/>
    </row>
    <row r="182" spans="1:121" s="37" customFormat="1" ht="32.25" hidden="1" customHeight="1" thickBot="1">
      <c r="A182" s="49"/>
      <c r="B182" s="1">
        <f t="shared" si="247"/>
        <v>33</v>
      </c>
      <c r="C182" s="129"/>
      <c r="D182" s="129"/>
      <c r="E182" s="47"/>
      <c r="F182" s="135"/>
      <c r="G182" s="136"/>
      <c r="H182" s="131"/>
      <c r="I182" s="132"/>
      <c r="J182" s="133"/>
      <c r="K182" s="134"/>
      <c r="L182" s="53">
        <f t="shared" si="193"/>
        <v>0</v>
      </c>
      <c r="M182" s="58">
        <f t="shared" si="194"/>
        <v>0</v>
      </c>
      <c r="N182" s="222"/>
      <c r="O182" s="223"/>
      <c r="P182" s="140"/>
      <c r="Q182" s="54">
        <f t="shared" si="195"/>
        <v>0</v>
      </c>
      <c r="R182" s="57">
        <f t="shared" si="196"/>
        <v>0</v>
      </c>
      <c r="S182" s="241"/>
      <c r="T182" s="242"/>
      <c r="U182" s="140"/>
      <c r="V182" s="54">
        <f t="shared" si="197"/>
        <v>0</v>
      </c>
      <c r="W182" s="57">
        <f t="shared" si="198"/>
        <v>0</v>
      </c>
      <c r="X182" s="241"/>
      <c r="Y182" s="242"/>
      <c r="Z182" s="140"/>
      <c r="AA182" s="54">
        <f t="shared" si="199"/>
        <v>0</v>
      </c>
      <c r="AB182" s="57">
        <f t="shared" si="200"/>
        <v>0</v>
      </c>
      <c r="AC182" s="55">
        <f t="shared" si="201"/>
        <v>0</v>
      </c>
      <c r="AD182" s="56">
        <f t="shared" si="202"/>
        <v>0</v>
      </c>
      <c r="AE182" s="242"/>
      <c r="AF182" s="140"/>
      <c r="AG182" s="42">
        <f t="shared" si="203"/>
        <v>0</v>
      </c>
      <c r="AH182" s="39">
        <f t="shared" si="204"/>
        <v>0</v>
      </c>
      <c r="AI182" s="241"/>
      <c r="AJ182" s="242"/>
      <c r="AK182" s="140"/>
      <c r="AL182" s="54">
        <f t="shared" si="205"/>
        <v>0</v>
      </c>
      <c r="AM182" s="57">
        <f t="shared" si="206"/>
        <v>0</v>
      </c>
      <c r="AN182" s="241"/>
      <c r="AO182" s="242"/>
      <c r="AP182" s="140"/>
      <c r="AQ182" s="54">
        <f t="shared" si="207"/>
        <v>0</v>
      </c>
      <c r="AR182" s="57">
        <f t="shared" si="208"/>
        <v>0</v>
      </c>
      <c r="AS182" s="40">
        <f t="shared" si="209"/>
        <v>0</v>
      </c>
      <c r="AT182" s="41">
        <f t="shared" si="210"/>
        <v>0</v>
      </c>
      <c r="AU182" s="241"/>
      <c r="AV182" s="242"/>
      <c r="AW182" s="140"/>
      <c r="AX182" s="54">
        <f t="shared" si="211"/>
        <v>0</v>
      </c>
      <c r="AY182" s="57">
        <f t="shared" si="212"/>
        <v>0</v>
      </c>
      <c r="AZ182" s="242"/>
      <c r="BA182" s="140"/>
      <c r="BB182" s="42">
        <f t="shared" si="213"/>
        <v>0</v>
      </c>
      <c r="BC182" s="39">
        <f t="shared" si="214"/>
        <v>0</v>
      </c>
      <c r="BD182" s="40">
        <f t="shared" si="215"/>
        <v>0</v>
      </c>
      <c r="BE182" s="41">
        <f t="shared" si="216"/>
        <v>0</v>
      </c>
      <c r="BF182" s="241"/>
      <c r="BG182" s="242"/>
      <c r="BH182" s="140"/>
      <c r="BI182" s="54">
        <f t="shared" si="217"/>
        <v>0</v>
      </c>
      <c r="BJ182" s="57">
        <f t="shared" si="218"/>
        <v>0</v>
      </c>
      <c r="BK182" s="61">
        <f t="shared" si="219"/>
        <v>0</v>
      </c>
      <c r="BL182" s="41">
        <f t="shared" si="220"/>
        <v>0</v>
      </c>
      <c r="BM182" s="63">
        <f t="shared" si="221"/>
        <v>0</v>
      </c>
      <c r="BN182" s="64">
        <f t="shared" si="222"/>
        <v>0</v>
      </c>
      <c r="BO182" s="138"/>
      <c r="BP182" s="139"/>
      <c r="BQ182" s="140"/>
      <c r="BR182" s="54">
        <f t="shared" si="223"/>
        <v>0</v>
      </c>
      <c r="BS182" s="57">
        <f t="shared" si="224"/>
        <v>0</v>
      </c>
      <c r="BT182" s="138"/>
      <c r="BU182" s="139"/>
      <c r="BV182" s="140"/>
      <c r="BW182" s="54">
        <f t="shared" si="225"/>
        <v>0</v>
      </c>
      <c r="BX182" s="57">
        <f t="shared" si="226"/>
        <v>0</v>
      </c>
      <c r="BY182" s="138"/>
      <c r="BZ182" s="139"/>
      <c r="CA182" s="140"/>
      <c r="CB182" s="54">
        <f t="shared" si="227"/>
        <v>0</v>
      </c>
      <c r="CC182" s="57">
        <f t="shared" si="228"/>
        <v>0</v>
      </c>
      <c r="CD182" s="62">
        <f t="shared" si="229"/>
        <v>0</v>
      </c>
      <c r="CE182" s="56">
        <f t="shared" si="230"/>
        <v>0</v>
      </c>
      <c r="CF182" s="138"/>
      <c r="CG182" s="139"/>
      <c r="CH182" s="140"/>
      <c r="CI182" s="54">
        <f t="shared" si="231"/>
        <v>0</v>
      </c>
      <c r="CJ182" s="57">
        <f t="shared" si="232"/>
        <v>0</v>
      </c>
      <c r="CK182" s="138"/>
      <c r="CL182" s="139"/>
      <c r="CM182" s="140"/>
      <c r="CN182" s="54">
        <f t="shared" si="233"/>
        <v>0</v>
      </c>
      <c r="CO182" s="57">
        <f t="shared" si="234"/>
        <v>0</v>
      </c>
      <c r="CP182" s="55">
        <f t="shared" si="235"/>
        <v>0</v>
      </c>
      <c r="CQ182" s="56">
        <f t="shared" si="236"/>
        <v>0</v>
      </c>
      <c r="CR182" s="138"/>
      <c r="CS182" s="139"/>
      <c r="CT182" s="140"/>
      <c r="CU182" s="54">
        <f t="shared" si="237"/>
        <v>0</v>
      </c>
      <c r="CV182" s="57">
        <f t="shared" si="238"/>
        <v>0</v>
      </c>
      <c r="CW182" s="55">
        <f t="shared" si="239"/>
        <v>0</v>
      </c>
      <c r="CX182" s="56">
        <f t="shared" si="240"/>
        <v>0</v>
      </c>
      <c r="CY182" s="139"/>
      <c r="CZ182" s="140"/>
      <c r="DA182" s="42">
        <f t="shared" si="241"/>
        <v>0</v>
      </c>
      <c r="DB182" s="39">
        <f t="shared" si="242"/>
        <v>0</v>
      </c>
      <c r="DC182" s="55">
        <f t="shared" si="243"/>
        <v>0</v>
      </c>
      <c r="DD182" s="56">
        <f t="shared" si="244"/>
        <v>0</v>
      </c>
      <c r="DE182" s="65">
        <f t="shared" si="245"/>
        <v>0</v>
      </c>
      <c r="DF182" s="66">
        <f t="shared" si="246"/>
        <v>0</v>
      </c>
      <c r="DG182" s="31">
        <f t="shared" si="186"/>
        <v>0</v>
      </c>
      <c r="DH182" s="32">
        <f t="shared" si="187"/>
        <v>0</v>
      </c>
      <c r="DI182" s="33">
        <f t="shared" si="188"/>
        <v>0</v>
      </c>
      <c r="DJ182" s="34">
        <f t="shared" si="189"/>
        <v>0</v>
      </c>
      <c r="DK182" s="67">
        <f t="shared" si="190"/>
        <v>0</v>
      </c>
      <c r="DL182" s="35">
        <f t="shared" si="191"/>
        <v>0</v>
      </c>
      <c r="DM182" s="59">
        <f t="shared" si="192"/>
        <v>0</v>
      </c>
      <c r="DN182" s="43" t="str">
        <f t="shared" si="248"/>
        <v>راسب(ة)</v>
      </c>
      <c r="DO182" s="44"/>
      <c r="DP182" s="50"/>
      <c r="DQ182" s="46"/>
    </row>
    <row r="183" spans="1:121" s="37" customFormat="1" ht="32.25" hidden="1" customHeight="1" thickBot="1">
      <c r="A183" s="49"/>
      <c r="B183" s="1">
        <f t="shared" si="247"/>
        <v>34</v>
      </c>
      <c r="C183" s="129"/>
      <c r="D183" s="129"/>
      <c r="E183" s="47"/>
      <c r="F183" s="135"/>
      <c r="G183" s="136"/>
      <c r="H183" s="131"/>
      <c r="I183" s="132"/>
      <c r="J183" s="133"/>
      <c r="K183" s="134"/>
      <c r="L183" s="53">
        <f t="shared" si="193"/>
        <v>0</v>
      </c>
      <c r="M183" s="58">
        <f t="shared" si="194"/>
        <v>0</v>
      </c>
      <c r="N183" s="222"/>
      <c r="O183" s="223"/>
      <c r="P183" s="140"/>
      <c r="Q183" s="54">
        <f t="shared" si="195"/>
        <v>0</v>
      </c>
      <c r="R183" s="57">
        <f t="shared" si="196"/>
        <v>0</v>
      </c>
      <c r="S183" s="241"/>
      <c r="T183" s="242"/>
      <c r="U183" s="140"/>
      <c r="V183" s="54">
        <f t="shared" si="197"/>
        <v>0</v>
      </c>
      <c r="W183" s="57">
        <f t="shared" si="198"/>
        <v>0</v>
      </c>
      <c r="X183" s="241"/>
      <c r="Y183" s="242"/>
      <c r="Z183" s="140"/>
      <c r="AA183" s="54">
        <f t="shared" si="199"/>
        <v>0</v>
      </c>
      <c r="AB183" s="57">
        <f t="shared" si="200"/>
        <v>0</v>
      </c>
      <c r="AC183" s="55">
        <f t="shared" si="201"/>
        <v>0</v>
      </c>
      <c r="AD183" s="56">
        <f t="shared" si="202"/>
        <v>0</v>
      </c>
      <c r="AE183" s="242"/>
      <c r="AF183" s="140"/>
      <c r="AG183" s="42">
        <f t="shared" si="203"/>
        <v>0</v>
      </c>
      <c r="AH183" s="39">
        <f t="shared" si="204"/>
        <v>0</v>
      </c>
      <c r="AI183" s="241"/>
      <c r="AJ183" s="242"/>
      <c r="AK183" s="140"/>
      <c r="AL183" s="54">
        <f t="shared" si="205"/>
        <v>0</v>
      </c>
      <c r="AM183" s="57">
        <f t="shared" si="206"/>
        <v>0</v>
      </c>
      <c r="AN183" s="241"/>
      <c r="AO183" s="242"/>
      <c r="AP183" s="140"/>
      <c r="AQ183" s="54">
        <f t="shared" si="207"/>
        <v>0</v>
      </c>
      <c r="AR183" s="57">
        <f t="shared" si="208"/>
        <v>0</v>
      </c>
      <c r="AS183" s="40">
        <f t="shared" si="209"/>
        <v>0</v>
      </c>
      <c r="AT183" s="41">
        <f t="shared" si="210"/>
        <v>0</v>
      </c>
      <c r="AU183" s="241"/>
      <c r="AV183" s="242"/>
      <c r="AW183" s="140"/>
      <c r="AX183" s="54">
        <f t="shared" si="211"/>
        <v>0</v>
      </c>
      <c r="AY183" s="57">
        <f t="shared" si="212"/>
        <v>0</v>
      </c>
      <c r="AZ183" s="242"/>
      <c r="BA183" s="140"/>
      <c r="BB183" s="42">
        <f t="shared" si="213"/>
        <v>0</v>
      </c>
      <c r="BC183" s="39">
        <f t="shared" si="214"/>
        <v>0</v>
      </c>
      <c r="BD183" s="40">
        <f t="shared" si="215"/>
        <v>0</v>
      </c>
      <c r="BE183" s="41">
        <f t="shared" si="216"/>
        <v>0</v>
      </c>
      <c r="BF183" s="241"/>
      <c r="BG183" s="242"/>
      <c r="BH183" s="140"/>
      <c r="BI183" s="54">
        <f t="shared" si="217"/>
        <v>0</v>
      </c>
      <c r="BJ183" s="57">
        <f t="shared" si="218"/>
        <v>0</v>
      </c>
      <c r="BK183" s="61">
        <f t="shared" si="219"/>
        <v>0</v>
      </c>
      <c r="BL183" s="41">
        <f t="shared" si="220"/>
        <v>0</v>
      </c>
      <c r="BM183" s="63">
        <f t="shared" si="221"/>
        <v>0</v>
      </c>
      <c r="BN183" s="64">
        <f t="shared" si="222"/>
        <v>0</v>
      </c>
      <c r="BO183" s="138"/>
      <c r="BP183" s="139"/>
      <c r="BQ183" s="140"/>
      <c r="BR183" s="54">
        <f t="shared" si="223"/>
        <v>0</v>
      </c>
      <c r="BS183" s="57">
        <f t="shared" si="224"/>
        <v>0</v>
      </c>
      <c r="BT183" s="138"/>
      <c r="BU183" s="139"/>
      <c r="BV183" s="140"/>
      <c r="BW183" s="54">
        <f t="shared" si="225"/>
        <v>0</v>
      </c>
      <c r="BX183" s="57">
        <f t="shared" si="226"/>
        <v>0</v>
      </c>
      <c r="BY183" s="138"/>
      <c r="BZ183" s="139"/>
      <c r="CA183" s="140"/>
      <c r="CB183" s="54">
        <f t="shared" si="227"/>
        <v>0</v>
      </c>
      <c r="CC183" s="57">
        <f t="shared" si="228"/>
        <v>0</v>
      </c>
      <c r="CD183" s="62">
        <f t="shared" si="229"/>
        <v>0</v>
      </c>
      <c r="CE183" s="56">
        <f t="shared" si="230"/>
        <v>0</v>
      </c>
      <c r="CF183" s="138"/>
      <c r="CG183" s="139"/>
      <c r="CH183" s="140"/>
      <c r="CI183" s="54">
        <f t="shared" si="231"/>
        <v>0</v>
      </c>
      <c r="CJ183" s="57">
        <f t="shared" si="232"/>
        <v>0</v>
      </c>
      <c r="CK183" s="138"/>
      <c r="CL183" s="139"/>
      <c r="CM183" s="140"/>
      <c r="CN183" s="54">
        <f t="shared" si="233"/>
        <v>0</v>
      </c>
      <c r="CO183" s="57">
        <f t="shared" si="234"/>
        <v>0</v>
      </c>
      <c r="CP183" s="55">
        <f t="shared" si="235"/>
        <v>0</v>
      </c>
      <c r="CQ183" s="56">
        <f t="shared" si="236"/>
        <v>0</v>
      </c>
      <c r="CR183" s="138"/>
      <c r="CS183" s="139"/>
      <c r="CT183" s="140"/>
      <c r="CU183" s="54">
        <f t="shared" si="237"/>
        <v>0</v>
      </c>
      <c r="CV183" s="57">
        <f t="shared" si="238"/>
        <v>0</v>
      </c>
      <c r="CW183" s="55">
        <f t="shared" si="239"/>
        <v>0</v>
      </c>
      <c r="CX183" s="56">
        <f t="shared" si="240"/>
        <v>0</v>
      </c>
      <c r="CY183" s="139"/>
      <c r="CZ183" s="140"/>
      <c r="DA183" s="42">
        <f t="shared" si="241"/>
        <v>0</v>
      </c>
      <c r="DB183" s="39">
        <f t="shared" si="242"/>
        <v>0</v>
      </c>
      <c r="DC183" s="55">
        <f t="shared" si="243"/>
        <v>0</v>
      </c>
      <c r="DD183" s="56">
        <f t="shared" si="244"/>
        <v>0</v>
      </c>
      <c r="DE183" s="65">
        <f t="shared" si="245"/>
        <v>0</v>
      </c>
      <c r="DF183" s="66">
        <f t="shared" si="246"/>
        <v>0</v>
      </c>
      <c r="DG183" s="31">
        <f t="shared" si="186"/>
        <v>0</v>
      </c>
      <c r="DH183" s="32">
        <f t="shared" si="187"/>
        <v>0</v>
      </c>
      <c r="DI183" s="33">
        <f t="shared" si="188"/>
        <v>0</v>
      </c>
      <c r="DJ183" s="34">
        <f t="shared" si="189"/>
        <v>0</v>
      </c>
      <c r="DK183" s="67">
        <f t="shared" si="190"/>
        <v>0</v>
      </c>
      <c r="DL183" s="35">
        <f t="shared" si="191"/>
        <v>0</v>
      </c>
      <c r="DM183" s="59">
        <f t="shared" si="192"/>
        <v>0</v>
      </c>
      <c r="DN183" s="43" t="str">
        <f t="shared" si="248"/>
        <v>راسب(ة)</v>
      </c>
      <c r="DP183" s="51"/>
      <c r="DQ183" s="46"/>
    </row>
    <row r="184" spans="1:121" s="37" customFormat="1" ht="32.25" hidden="1" customHeight="1" thickBot="1">
      <c r="A184" s="49"/>
      <c r="B184" s="1">
        <f t="shared" si="247"/>
        <v>35</v>
      </c>
      <c r="C184" s="129"/>
      <c r="D184" s="129"/>
      <c r="E184" s="47"/>
      <c r="F184" s="135"/>
      <c r="G184" s="136"/>
      <c r="H184" s="131"/>
      <c r="I184" s="132"/>
      <c r="J184" s="133"/>
      <c r="K184" s="134"/>
      <c r="L184" s="53">
        <f t="shared" si="193"/>
        <v>0</v>
      </c>
      <c r="M184" s="58">
        <f t="shared" si="194"/>
        <v>0</v>
      </c>
      <c r="N184" s="222"/>
      <c r="O184" s="223"/>
      <c r="P184" s="140"/>
      <c r="Q184" s="54">
        <f t="shared" si="195"/>
        <v>0</v>
      </c>
      <c r="R184" s="57">
        <f t="shared" si="196"/>
        <v>0</v>
      </c>
      <c r="S184" s="241"/>
      <c r="T184" s="242"/>
      <c r="U184" s="140"/>
      <c r="V184" s="54">
        <f t="shared" si="197"/>
        <v>0</v>
      </c>
      <c r="W184" s="57">
        <f t="shared" si="198"/>
        <v>0</v>
      </c>
      <c r="X184" s="241"/>
      <c r="Y184" s="242"/>
      <c r="Z184" s="140"/>
      <c r="AA184" s="54">
        <f t="shared" si="199"/>
        <v>0</v>
      </c>
      <c r="AB184" s="57">
        <f t="shared" si="200"/>
        <v>0</v>
      </c>
      <c r="AC184" s="55">
        <f t="shared" si="201"/>
        <v>0</v>
      </c>
      <c r="AD184" s="56">
        <f t="shared" si="202"/>
        <v>0</v>
      </c>
      <c r="AE184" s="242"/>
      <c r="AF184" s="140"/>
      <c r="AG184" s="42">
        <f t="shared" si="203"/>
        <v>0</v>
      </c>
      <c r="AH184" s="39">
        <f t="shared" si="204"/>
        <v>0</v>
      </c>
      <c r="AI184" s="241"/>
      <c r="AJ184" s="242"/>
      <c r="AK184" s="140"/>
      <c r="AL184" s="54">
        <f t="shared" si="205"/>
        <v>0</v>
      </c>
      <c r="AM184" s="57">
        <f t="shared" si="206"/>
        <v>0</v>
      </c>
      <c r="AN184" s="241"/>
      <c r="AO184" s="242"/>
      <c r="AP184" s="140"/>
      <c r="AQ184" s="54">
        <f t="shared" si="207"/>
        <v>0</v>
      </c>
      <c r="AR184" s="57">
        <f t="shared" si="208"/>
        <v>0</v>
      </c>
      <c r="AS184" s="40">
        <f t="shared" si="209"/>
        <v>0</v>
      </c>
      <c r="AT184" s="41">
        <f t="shared" si="210"/>
        <v>0</v>
      </c>
      <c r="AU184" s="241"/>
      <c r="AV184" s="242"/>
      <c r="AW184" s="140"/>
      <c r="AX184" s="54">
        <f t="shared" si="211"/>
        <v>0</v>
      </c>
      <c r="AY184" s="57">
        <f t="shared" si="212"/>
        <v>0</v>
      </c>
      <c r="AZ184" s="242"/>
      <c r="BA184" s="140"/>
      <c r="BB184" s="42">
        <f t="shared" si="213"/>
        <v>0</v>
      </c>
      <c r="BC184" s="39">
        <f t="shared" si="214"/>
        <v>0</v>
      </c>
      <c r="BD184" s="40">
        <f t="shared" si="215"/>
        <v>0</v>
      </c>
      <c r="BE184" s="41">
        <f t="shared" si="216"/>
        <v>0</v>
      </c>
      <c r="BF184" s="241"/>
      <c r="BG184" s="242"/>
      <c r="BH184" s="140"/>
      <c r="BI184" s="54">
        <f t="shared" si="217"/>
        <v>0</v>
      </c>
      <c r="BJ184" s="57">
        <f t="shared" si="218"/>
        <v>0</v>
      </c>
      <c r="BK184" s="61">
        <f t="shared" si="219"/>
        <v>0</v>
      </c>
      <c r="BL184" s="41">
        <f t="shared" si="220"/>
        <v>0</v>
      </c>
      <c r="BM184" s="63">
        <f t="shared" si="221"/>
        <v>0</v>
      </c>
      <c r="BN184" s="64">
        <f t="shared" si="222"/>
        <v>0</v>
      </c>
      <c r="BO184" s="138"/>
      <c r="BP184" s="139"/>
      <c r="BQ184" s="140"/>
      <c r="BR184" s="54">
        <f t="shared" si="223"/>
        <v>0</v>
      </c>
      <c r="BS184" s="57">
        <f t="shared" si="224"/>
        <v>0</v>
      </c>
      <c r="BT184" s="138"/>
      <c r="BU184" s="139"/>
      <c r="BV184" s="140"/>
      <c r="BW184" s="54">
        <f t="shared" si="225"/>
        <v>0</v>
      </c>
      <c r="BX184" s="57">
        <f t="shared" si="226"/>
        <v>0</v>
      </c>
      <c r="BY184" s="138"/>
      <c r="BZ184" s="139"/>
      <c r="CA184" s="140"/>
      <c r="CB184" s="54">
        <f t="shared" si="227"/>
        <v>0</v>
      </c>
      <c r="CC184" s="57">
        <f t="shared" si="228"/>
        <v>0</v>
      </c>
      <c r="CD184" s="62">
        <f t="shared" si="229"/>
        <v>0</v>
      </c>
      <c r="CE184" s="56">
        <f t="shared" si="230"/>
        <v>0</v>
      </c>
      <c r="CF184" s="138"/>
      <c r="CG184" s="139"/>
      <c r="CH184" s="140"/>
      <c r="CI184" s="54">
        <f t="shared" si="231"/>
        <v>0</v>
      </c>
      <c r="CJ184" s="57">
        <f t="shared" si="232"/>
        <v>0</v>
      </c>
      <c r="CK184" s="138"/>
      <c r="CL184" s="139"/>
      <c r="CM184" s="140"/>
      <c r="CN184" s="54">
        <f t="shared" si="233"/>
        <v>0</v>
      </c>
      <c r="CO184" s="57">
        <f t="shared" si="234"/>
        <v>0</v>
      </c>
      <c r="CP184" s="55">
        <f t="shared" si="235"/>
        <v>0</v>
      </c>
      <c r="CQ184" s="56">
        <f t="shared" si="236"/>
        <v>0</v>
      </c>
      <c r="CR184" s="138"/>
      <c r="CS184" s="139"/>
      <c r="CT184" s="140"/>
      <c r="CU184" s="54">
        <f t="shared" si="237"/>
        <v>0</v>
      </c>
      <c r="CV184" s="57">
        <f t="shared" si="238"/>
        <v>0</v>
      </c>
      <c r="CW184" s="55">
        <f t="shared" si="239"/>
        <v>0</v>
      </c>
      <c r="CX184" s="56">
        <f t="shared" si="240"/>
        <v>0</v>
      </c>
      <c r="CY184" s="139"/>
      <c r="CZ184" s="140"/>
      <c r="DA184" s="42">
        <f t="shared" si="241"/>
        <v>0</v>
      </c>
      <c r="DB184" s="39">
        <f t="shared" si="242"/>
        <v>0</v>
      </c>
      <c r="DC184" s="55">
        <f t="shared" si="243"/>
        <v>0</v>
      </c>
      <c r="DD184" s="56">
        <f t="shared" si="244"/>
        <v>0</v>
      </c>
      <c r="DE184" s="65">
        <f t="shared" si="245"/>
        <v>0</v>
      </c>
      <c r="DF184" s="66">
        <f t="shared" si="246"/>
        <v>0</v>
      </c>
      <c r="DG184" s="31">
        <f t="shared" si="186"/>
        <v>0</v>
      </c>
      <c r="DH184" s="32">
        <f t="shared" si="187"/>
        <v>0</v>
      </c>
      <c r="DI184" s="33">
        <f t="shared" si="188"/>
        <v>0</v>
      </c>
      <c r="DJ184" s="34">
        <f t="shared" si="189"/>
        <v>0</v>
      </c>
      <c r="DK184" s="67">
        <f t="shared" si="190"/>
        <v>0</v>
      </c>
      <c r="DL184" s="35">
        <f t="shared" si="191"/>
        <v>0</v>
      </c>
      <c r="DM184" s="59">
        <f t="shared" si="192"/>
        <v>0</v>
      </c>
      <c r="DN184" s="43" t="str">
        <f t="shared" si="248"/>
        <v>راسب(ة)</v>
      </c>
      <c r="DP184" s="51"/>
      <c r="DQ184" s="46"/>
    </row>
    <row r="185" spans="1:121" s="37" customFormat="1" ht="32.25" hidden="1" customHeight="1" thickBot="1">
      <c r="A185" s="49"/>
      <c r="B185" s="1">
        <f t="shared" si="247"/>
        <v>36</v>
      </c>
      <c r="C185" s="129"/>
      <c r="D185" s="129"/>
      <c r="E185" s="137"/>
      <c r="F185" s="135"/>
      <c r="G185" s="136"/>
      <c r="H185" s="131"/>
      <c r="I185" s="132"/>
      <c r="J185" s="133"/>
      <c r="K185" s="134"/>
      <c r="L185" s="53">
        <f t="shared" si="193"/>
        <v>0</v>
      </c>
      <c r="M185" s="58">
        <f t="shared" si="194"/>
        <v>0</v>
      </c>
      <c r="N185" s="222"/>
      <c r="O185" s="223"/>
      <c r="P185" s="140"/>
      <c r="Q185" s="54">
        <f t="shared" si="195"/>
        <v>0</v>
      </c>
      <c r="R185" s="57">
        <f t="shared" si="196"/>
        <v>0</v>
      </c>
      <c r="S185" s="241"/>
      <c r="T185" s="242"/>
      <c r="U185" s="140"/>
      <c r="V185" s="54">
        <f t="shared" si="197"/>
        <v>0</v>
      </c>
      <c r="W185" s="57">
        <f t="shared" si="198"/>
        <v>0</v>
      </c>
      <c r="X185" s="241"/>
      <c r="Y185" s="242"/>
      <c r="Z185" s="140"/>
      <c r="AA185" s="54">
        <f t="shared" si="199"/>
        <v>0</v>
      </c>
      <c r="AB185" s="57">
        <f t="shared" si="200"/>
        <v>0</v>
      </c>
      <c r="AC185" s="55">
        <f t="shared" si="201"/>
        <v>0</v>
      </c>
      <c r="AD185" s="56">
        <f t="shared" si="202"/>
        <v>0</v>
      </c>
      <c r="AE185" s="242"/>
      <c r="AF185" s="140"/>
      <c r="AG185" s="42">
        <f t="shared" si="203"/>
        <v>0</v>
      </c>
      <c r="AH185" s="39">
        <f t="shared" si="204"/>
        <v>0</v>
      </c>
      <c r="AI185" s="241"/>
      <c r="AJ185" s="242"/>
      <c r="AK185" s="140"/>
      <c r="AL185" s="54">
        <f t="shared" si="205"/>
        <v>0</v>
      </c>
      <c r="AM185" s="57">
        <f t="shared" si="206"/>
        <v>0</v>
      </c>
      <c r="AN185" s="241"/>
      <c r="AO185" s="242"/>
      <c r="AP185" s="140"/>
      <c r="AQ185" s="54">
        <f t="shared" si="207"/>
        <v>0</v>
      </c>
      <c r="AR185" s="57">
        <f t="shared" si="208"/>
        <v>0</v>
      </c>
      <c r="AS185" s="40">
        <f t="shared" si="209"/>
        <v>0</v>
      </c>
      <c r="AT185" s="41">
        <f t="shared" si="210"/>
        <v>0</v>
      </c>
      <c r="AU185" s="245"/>
      <c r="AV185" s="242"/>
      <c r="AW185" s="140"/>
      <c r="AX185" s="54">
        <f t="shared" si="211"/>
        <v>0</v>
      </c>
      <c r="AY185" s="57">
        <f t="shared" si="212"/>
        <v>0</v>
      </c>
      <c r="AZ185" s="242"/>
      <c r="BA185" s="140"/>
      <c r="BB185" s="42">
        <f t="shared" si="213"/>
        <v>0</v>
      </c>
      <c r="BC185" s="39">
        <f t="shared" si="214"/>
        <v>0</v>
      </c>
      <c r="BD185" s="40">
        <f t="shared" si="215"/>
        <v>0</v>
      </c>
      <c r="BE185" s="41">
        <f t="shared" si="216"/>
        <v>0</v>
      </c>
      <c r="BF185" s="245"/>
      <c r="BG185" s="246"/>
      <c r="BH185" s="140"/>
      <c r="BI185" s="54">
        <f t="shared" si="217"/>
        <v>0</v>
      </c>
      <c r="BJ185" s="57">
        <f t="shared" si="218"/>
        <v>0</v>
      </c>
      <c r="BK185" s="61">
        <f t="shared" si="219"/>
        <v>0</v>
      </c>
      <c r="BL185" s="41">
        <f t="shared" si="220"/>
        <v>0</v>
      </c>
      <c r="BM185" s="63">
        <f t="shared" si="221"/>
        <v>0</v>
      </c>
      <c r="BN185" s="64">
        <f t="shared" si="222"/>
        <v>0</v>
      </c>
      <c r="BO185" s="138"/>
      <c r="BP185" s="139"/>
      <c r="BQ185" s="140"/>
      <c r="BR185" s="54">
        <f t="shared" si="223"/>
        <v>0</v>
      </c>
      <c r="BS185" s="57">
        <f t="shared" si="224"/>
        <v>0</v>
      </c>
      <c r="BT185" s="138"/>
      <c r="BU185" s="139"/>
      <c r="BV185" s="140"/>
      <c r="BW185" s="54">
        <f t="shared" si="225"/>
        <v>0</v>
      </c>
      <c r="BX185" s="57">
        <f t="shared" si="226"/>
        <v>0</v>
      </c>
      <c r="BY185" s="138"/>
      <c r="BZ185" s="139"/>
      <c r="CA185" s="140"/>
      <c r="CB185" s="54">
        <f t="shared" si="227"/>
        <v>0</v>
      </c>
      <c r="CC185" s="57">
        <f t="shared" si="228"/>
        <v>0</v>
      </c>
      <c r="CD185" s="62">
        <f t="shared" si="229"/>
        <v>0</v>
      </c>
      <c r="CE185" s="56">
        <f t="shared" si="230"/>
        <v>0</v>
      </c>
      <c r="CF185" s="138"/>
      <c r="CG185" s="139"/>
      <c r="CH185" s="140"/>
      <c r="CI185" s="54">
        <f t="shared" si="231"/>
        <v>0</v>
      </c>
      <c r="CJ185" s="57">
        <f t="shared" si="232"/>
        <v>0</v>
      </c>
      <c r="CK185" s="138"/>
      <c r="CL185" s="139"/>
      <c r="CM185" s="140"/>
      <c r="CN185" s="54">
        <f t="shared" si="233"/>
        <v>0</v>
      </c>
      <c r="CO185" s="57">
        <f t="shared" si="234"/>
        <v>0</v>
      </c>
      <c r="CP185" s="55">
        <f t="shared" si="235"/>
        <v>0</v>
      </c>
      <c r="CQ185" s="56">
        <f t="shared" si="236"/>
        <v>0</v>
      </c>
      <c r="CR185" s="138"/>
      <c r="CS185" s="139"/>
      <c r="CT185" s="140"/>
      <c r="CU185" s="54">
        <f t="shared" si="237"/>
        <v>0</v>
      </c>
      <c r="CV185" s="57">
        <f t="shared" si="238"/>
        <v>0</v>
      </c>
      <c r="CW185" s="55">
        <f t="shared" si="239"/>
        <v>0</v>
      </c>
      <c r="CX185" s="56">
        <f t="shared" si="240"/>
        <v>0</v>
      </c>
      <c r="CY185" s="139"/>
      <c r="CZ185" s="140"/>
      <c r="DA185" s="42">
        <f t="shared" si="241"/>
        <v>0</v>
      </c>
      <c r="DB185" s="39">
        <f t="shared" si="242"/>
        <v>0</v>
      </c>
      <c r="DC185" s="55">
        <f t="shared" si="243"/>
        <v>0</v>
      </c>
      <c r="DD185" s="56">
        <f t="shared" si="244"/>
        <v>0</v>
      </c>
      <c r="DE185" s="65">
        <f t="shared" si="245"/>
        <v>0</v>
      </c>
      <c r="DF185" s="66">
        <f t="shared" si="246"/>
        <v>0</v>
      </c>
      <c r="DG185" s="31">
        <f t="shared" si="186"/>
        <v>0</v>
      </c>
      <c r="DH185" s="32">
        <f t="shared" si="187"/>
        <v>0</v>
      </c>
      <c r="DI185" s="33">
        <f t="shared" si="188"/>
        <v>0</v>
      </c>
      <c r="DJ185" s="34">
        <f t="shared" si="189"/>
        <v>0</v>
      </c>
      <c r="DK185" s="67">
        <f t="shared" si="190"/>
        <v>0</v>
      </c>
      <c r="DL185" s="35">
        <f t="shared" si="191"/>
        <v>0</v>
      </c>
      <c r="DM185" s="59">
        <f t="shared" si="192"/>
        <v>0</v>
      </c>
      <c r="DN185" s="43" t="str">
        <f t="shared" si="248"/>
        <v>راسب(ة)</v>
      </c>
      <c r="DO185" s="44"/>
      <c r="DP185" s="50"/>
      <c r="DQ185" s="46"/>
    </row>
    <row r="186" spans="1:121" s="37" customFormat="1" ht="32.25" hidden="1" customHeight="1" thickBot="1">
      <c r="A186" s="49"/>
      <c r="B186" s="1">
        <f t="shared" si="247"/>
        <v>37</v>
      </c>
      <c r="C186" s="129"/>
      <c r="D186" s="129"/>
      <c r="E186" s="45"/>
      <c r="F186" s="135"/>
      <c r="G186" s="136"/>
      <c r="H186" s="131"/>
      <c r="I186" s="132"/>
      <c r="J186" s="133"/>
      <c r="K186" s="134"/>
      <c r="L186" s="53">
        <f t="shared" si="193"/>
        <v>0</v>
      </c>
      <c r="M186" s="58">
        <f t="shared" si="194"/>
        <v>0</v>
      </c>
      <c r="N186" s="222"/>
      <c r="O186" s="223"/>
      <c r="P186" s="140"/>
      <c r="Q186" s="54">
        <f t="shared" si="195"/>
        <v>0</v>
      </c>
      <c r="R186" s="57">
        <f t="shared" si="196"/>
        <v>0</v>
      </c>
      <c r="S186" s="241"/>
      <c r="T186" s="242"/>
      <c r="U186" s="140"/>
      <c r="V186" s="54">
        <f t="shared" si="197"/>
        <v>0</v>
      </c>
      <c r="W186" s="57">
        <f t="shared" si="198"/>
        <v>0</v>
      </c>
      <c r="X186" s="241"/>
      <c r="Y186" s="242"/>
      <c r="Z186" s="140"/>
      <c r="AA186" s="54">
        <f t="shared" si="199"/>
        <v>0</v>
      </c>
      <c r="AB186" s="57">
        <f t="shared" si="200"/>
        <v>0</v>
      </c>
      <c r="AC186" s="55">
        <f t="shared" si="201"/>
        <v>0</v>
      </c>
      <c r="AD186" s="56">
        <f t="shared" si="202"/>
        <v>0</v>
      </c>
      <c r="AE186" s="242"/>
      <c r="AF186" s="140"/>
      <c r="AG186" s="42">
        <f t="shared" si="203"/>
        <v>0</v>
      </c>
      <c r="AH186" s="39">
        <f t="shared" si="204"/>
        <v>0</v>
      </c>
      <c r="AI186" s="241"/>
      <c r="AJ186" s="242"/>
      <c r="AK186" s="140"/>
      <c r="AL186" s="54">
        <f t="shared" si="205"/>
        <v>0</v>
      </c>
      <c r="AM186" s="57">
        <f t="shared" si="206"/>
        <v>0</v>
      </c>
      <c r="AN186" s="241"/>
      <c r="AO186" s="242"/>
      <c r="AP186" s="140"/>
      <c r="AQ186" s="54">
        <f t="shared" si="207"/>
        <v>0</v>
      </c>
      <c r="AR186" s="57">
        <f t="shared" si="208"/>
        <v>0</v>
      </c>
      <c r="AS186" s="40">
        <f t="shared" si="209"/>
        <v>0</v>
      </c>
      <c r="AT186" s="41">
        <f t="shared" si="210"/>
        <v>0</v>
      </c>
      <c r="AU186" s="245"/>
      <c r="AV186" s="242"/>
      <c r="AW186" s="140"/>
      <c r="AX186" s="54">
        <f t="shared" si="211"/>
        <v>0</v>
      </c>
      <c r="AY186" s="57">
        <f t="shared" si="212"/>
        <v>0</v>
      </c>
      <c r="AZ186" s="242"/>
      <c r="BA186" s="140"/>
      <c r="BB186" s="42">
        <f t="shared" si="213"/>
        <v>0</v>
      </c>
      <c r="BC186" s="39">
        <f t="shared" si="214"/>
        <v>0</v>
      </c>
      <c r="BD186" s="40">
        <f t="shared" si="215"/>
        <v>0</v>
      </c>
      <c r="BE186" s="41">
        <f t="shared" si="216"/>
        <v>0</v>
      </c>
      <c r="BF186" s="245"/>
      <c r="BG186" s="246"/>
      <c r="BH186" s="140"/>
      <c r="BI186" s="54">
        <f t="shared" si="217"/>
        <v>0</v>
      </c>
      <c r="BJ186" s="57">
        <f t="shared" si="218"/>
        <v>0</v>
      </c>
      <c r="BK186" s="61">
        <f t="shared" si="219"/>
        <v>0</v>
      </c>
      <c r="BL186" s="41">
        <f t="shared" si="220"/>
        <v>0</v>
      </c>
      <c r="BM186" s="63">
        <f t="shared" si="221"/>
        <v>0</v>
      </c>
      <c r="BN186" s="64">
        <f t="shared" si="222"/>
        <v>0</v>
      </c>
      <c r="BO186" s="138"/>
      <c r="BP186" s="139"/>
      <c r="BQ186" s="140"/>
      <c r="BR186" s="54">
        <f t="shared" si="223"/>
        <v>0</v>
      </c>
      <c r="BS186" s="57">
        <f t="shared" si="224"/>
        <v>0</v>
      </c>
      <c r="BT186" s="138"/>
      <c r="BU186" s="139"/>
      <c r="BV186" s="140"/>
      <c r="BW186" s="54">
        <f t="shared" si="225"/>
        <v>0</v>
      </c>
      <c r="BX186" s="57">
        <f t="shared" si="226"/>
        <v>0</v>
      </c>
      <c r="BY186" s="138"/>
      <c r="BZ186" s="139"/>
      <c r="CA186" s="140"/>
      <c r="CB186" s="54">
        <f t="shared" si="227"/>
        <v>0</v>
      </c>
      <c r="CC186" s="57">
        <f t="shared" si="228"/>
        <v>0</v>
      </c>
      <c r="CD186" s="62">
        <f t="shared" si="229"/>
        <v>0</v>
      </c>
      <c r="CE186" s="56">
        <f t="shared" si="230"/>
        <v>0</v>
      </c>
      <c r="CF186" s="138"/>
      <c r="CG186" s="139"/>
      <c r="CH186" s="140"/>
      <c r="CI186" s="54">
        <f t="shared" si="231"/>
        <v>0</v>
      </c>
      <c r="CJ186" s="57">
        <f t="shared" si="232"/>
        <v>0</v>
      </c>
      <c r="CK186" s="138"/>
      <c r="CL186" s="139"/>
      <c r="CM186" s="140"/>
      <c r="CN186" s="54">
        <f t="shared" si="233"/>
        <v>0</v>
      </c>
      <c r="CO186" s="57">
        <f t="shared" si="234"/>
        <v>0</v>
      </c>
      <c r="CP186" s="55">
        <f t="shared" si="235"/>
        <v>0</v>
      </c>
      <c r="CQ186" s="56">
        <f t="shared" si="236"/>
        <v>0</v>
      </c>
      <c r="CR186" s="138"/>
      <c r="CS186" s="139"/>
      <c r="CT186" s="140"/>
      <c r="CU186" s="54">
        <f t="shared" si="237"/>
        <v>0</v>
      </c>
      <c r="CV186" s="57">
        <f t="shared" si="238"/>
        <v>0</v>
      </c>
      <c r="CW186" s="55">
        <f t="shared" si="239"/>
        <v>0</v>
      </c>
      <c r="CX186" s="56">
        <f t="shared" si="240"/>
        <v>0</v>
      </c>
      <c r="CY186" s="139"/>
      <c r="CZ186" s="140"/>
      <c r="DA186" s="42">
        <f t="shared" si="241"/>
        <v>0</v>
      </c>
      <c r="DB186" s="39">
        <f t="shared" si="242"/>
        <v>0</v>
      </c>
      <c r="DC186" s="55">
        <f t="shared" si="243"/>
        <v>0</v>
      </c>
      <c r="DD186" s="56">
        <f t="shared" si="244"/>
        <v>0</v>
      </c>
      <c r="DE186" s="65">
        <f t="shared" si="245"/>
        <v>0</v>
      </c>
      <c r="DF186" s="66">
        <f t="shared" si="246"/>
        <v>0</v>
      </c>
      <c r="DG186" s="31">
        <f t="shared" si="186"/>
        <v>0</v>
      </c>
      <c r="DH186" s="32">
        <f t="shared" si="187"/>
        <v>0</v>
      </c>
      <c r="DI186" s="33">
        <f t="shared" si="188"/>
        <v>0</v>
      </c>
      <c r="DJ186" s="34">
        <f t="shared" si="189"/>
        <v>0</v>
      </c>
      <c r="DK186" s="67">
        <f t="shared" si="190"/>
        <v>0</v>
      </c>
      <c r="DL186" s="35">
        <f t="shared" si="191"/>
        <v>0</v>
      </c>
      <c r="DM186" s="59">
        <f t="shared" si="192"/>
        <v>0</v>
      </c>
      <c r="DN186" s="43" t="str">
        <f t="shared" si="248"/>
        <v>راسب(ة)</v>
      </c>
      <c r="DP186" s="51"/>
      <c r="DQ186" s="46"/>
    </row>
    <row r="187" spans="1:121" s="37" customFormat="1" ht="32.25" hidden="1" customHeight="1" thickBot="1">
      <c r="A187" s="49"/>
      <c r="B187" s="1">
        <f t="shared" si="247"/>
        <v>38</v>
      </c>
      <c r="C187" s="129"/>
      <c r="D187" s="129"/>
      <c r="E187" s="47"/>
      <c r="F187" s="135"/>
      <c r="G187" s="136"/>
      <c r="H187" s="131"/>
      <c r="I187" s="132"/>
      <c r="J187" s="133"/>
      <c r="K187" s="134"/>
      <c r="L187" s="53">
        <f t="shared" si="193"/>
        <v>0</v>
      </c>
      <c r="M187" s="58">
        <f t="shared" si="194"/>
        <v>0</v>
      </c>
      <c r="N187" s="138"/>
      <c r="O187" s="139"/>
      <c r="P187" s="140"/>
      <c r="Q187" s="54">
        <f t="shared" si="195"/>
        <v>0</v>
      </c>
      <c r="R187" s="57">
        <f t="shared" si="196"/>
        <v>0</v>
      </c>
      <c r="S187" s="138"/>
      <c r="T187" s="139"/>
      <c r="U187" s="140"/>
      <c r="V187" s="54">
        <f t="shared" si="197"/>
        <v>0</v>
      </c>
      <c r="W187" s="57">
        <f t="shared" si="198"/>
        <v>0</v>
      </c>
      <c r="X187" s="138"/>
      <c r="Y187" s="139"/>
      <c r="Z187" s="140"/>
      <c r="AA187" s="54">
        <f t="shared" si="199"/>
        <v>0</v>
      </c>
      <c r="AB187" s="57">
        <f t="shared" si="200"/>
        <v>0</v>
      </c>
      <c r="AC187" s="55">
        <f t="shared" si="201"/>
        <v>0</v>
      </c>
      <c r="AD187" s="56">
        <f t="shared" si="202"/>
        <v>0</v>
      </c>
      <c r="AE187" s="139"/>
      <c r="AF187" s="140"/>
      <c r="AG187" s="42">
        <f t="shared" si="203"/>
        <v>0</v>
      </c>
      <c r="AH187" s="39">
        <f t="shared" si="204"/>
        <v>0</v>
      </c>
      <c r="AI187" s="138"/>
      <c r="AJ187" s="139"/>
      <c r="AK187" s="140"/>
      <c r="AL187" s="54">
        <f t="shared" si="205"/>
        <v>0</v>
      </c>
      <c r="AM187" s="57">
        <f t="shared" si="206"/>
        <v>0</v>
      </c>
      <c r="AN187" s="138"/>
      <c r="AO187" s="139"/>
      <c r="AP187" s="140"/>
      <c r="AQ187" s="54">
        <f t="shared" si="207"/>
        <v>0</v>
      </c>
      <c r="AR187" s="57">
        <f t="shared" si="208"/>
        <v>0</v>
      </c>
      <c r="AS187" s="40">
        <f t="shared" si="209"/>
        <v>0</v>
      </c>
      <c r="AT187" s="41">
        <f t="shared" si="210"/>
        <v>0</v>
      </c>
      <c r="AU187" s="138"/>
      <c r="AV187" s="139"/>
      <c r="AW187" s="140"/>
      <c r="AX187" s="54">
        <f t="shared" si="211"/>
        <v>0</v>
      </c>
      <c r="AY187" s="57">
        <f t="shared" si="212"/>
        <v>0</v>
      </c>
      <c r="AZ187" s="139"/>
      <c r="BA187" s="140"/>
      <c r="BB187" s="42">
        <f t="shared" si="213"/>
        <v>0</v>
      </c>
      <c r="BC187" s="39">
        <f t="shared" si="214"/>
        <v>0</v>
      </c>
      <c r="BD187" s="40">
        <f t="shared" si="215"/>
        <v>0</v>
      </c>
      <c r="BE187" s="41">
        <f t="shared" si="216"/>
        <v>0</v>
      </c>
      <c r="BF187" s="138"/>
      <c r="BG187" s="139"/>
      <c r="BH187" s="140"/>
      <c r="BI187" s="54">
        <f t="shared" si="217"/>
        <v>0</v>
      </c>
      <c r="BJ187" s="57">
        <f t="shared" si="218"/>
        <v>0</v>
      </c>
      <c r="BK187" s="61">
        <f t="shared" si="219"/>
        <v>0</v>
      </c>
      <c r="BL187" s="41">
        <f t="shared" si="220"/>
        <v>0</v>
      </c>
      <c r="BM187" s="63">
        <f t="shared" si="221"/>
        <v>0</v>
      </c>
      <c r="BN187" s="64">
        <f t="shared" si="222"/>
        <v>0</v>
      </c>
      <c r="BO187" s="138"/>
      <c r="BP187" s="139"/>
      <c r="BQ187" s="140"/>
      <c r="BR187" s="54">
        <f t="shared" si="223"/>
        <v>0</v>
      </c>
      <c r="BS187" s="57">
        <f t="shared" si="224"/>
        <v>0</v>
      </c>
      <c r="BT187" s="138"/>
      <c r="BU187" s="139"/>
      <c r="BV187" s="140"/>
      <c r="BW187" s="54">
        <f t="shared" si="225"/>
        <v>0</v>
      </c>
      <c r="BX187" s="57">
        <f t="shared" si="226"/>
        <v>0</v>
      </c>
      <c r="BY187" s="138"/>
      <c r="BZ187" s="139"/>
      <c r="CA187" s="140"/>
      <c r="CB187" s="54">
        <f t="shared" si="227"/>
        <v>0</v>
      </c>
      <c r="CC187" s="57">
        <f t="shared" si="228"/>
        <v>0</v>
      </c>
      <c r="CD187" s="62">
        <f t="shared" si="229"/>
        <v>0</v>
      </c>
      <c r="CE187" s="56">
        <f t="shared" si="230"/>
        <v>0</v>
      </c>
      <c r="CF187" s="138"/>
      <c r="CG187" s="139"/>
      <c r="CH187" s="140"/>
      <c r="CI187" s="54">
        <f t="shared" si="231"/>
        <v>0</v>
      </c>
      <c r="CJ187" s="57">
        <f t="shared" si="232"/>
        <v>0</v>
      </c>
      <c r="CK187" s="138"/>
      <c r="CL187" s="139"/>
      <c r="CM187" s="140"/>
      <c r="CN187" s="54">
        <f t="shared" si="233"/>
        <v>0</v>
      </c>
      <c r="CO187" s="57">
        <f t="shared" si="234"/>
        <v>0</v>
      </c>
      <c r="CP187" s="55">
        <f t="shared" si="235"/>
        <v>0</v>
      </c>
      <c r="CQ187" s="56">
        <f t="shared" si="236"/>
        <v>0</v>
      </c>
      <c r="CR187" s="138"/>
      <c r="CS187" s="139"/>
      <c r="CT187" s="140"/>
      <c r="CU187" s="54">
        <f t="shared" si="237"/>
        <v>0</v>
      </c>
      <c r="CV187" s="57">
        <f t="shared" si="238"/>
        <v>0</v>
      </c>
      <c r="CW187" s="55">
        <f t="shared" si="239"/>
        <v>0</v>
      </c>
      <c r="CX187" s="56">
        <f t="shared" si="240"/>
        <v>0</v>
      </c>
      <c r="CY187" s="139"/>
      <c r="CZ187" s="140"/>
      <c r="DA187" s="42">
        <f t="shared" si="241"/>
        <v>0</v>
      </c>
      <c r="DB187" s="39">
        <f t="shared" si="242"/>
        <v>0</v>
      </c>
      <c r="DC187" s="55">
        <f t="shared" si="243"/>
        <v>0</v>
      </c>
      <c r="DD187" s="56">
        <f t="shared" si="244"/>
        <v>0</v>
      </c>
      <c r="DE187" s="65">
        <f t="shared" si="245"/>
        <v>0</v>
      </c>
      <c r="DF187" s="66">
        <f t="shared" si="246"/>
        <v>0</v>
      </c>
      <c r="DG187" s="31">
        <f t="shared" si="186"/>
        <v>0</v>
      </c>
      <c r="DH187" s="32">
        <f t="shared" si="187"/>
        <v>0</v>
      </c>
      <c r="DI187" s="33">
        <f t="shared" si="188"/>
        <v>0</v>
      </c>
      <c r="DJ187" s="34">
        <f t="shared" si="189"/>
        <v>0</v>
      </c>
      <c r="DK187" s="67">
        <f t="shared" si="190"/>
        <v>0</v>
      </c>
      <c r="DL187" s="35">
        <f t="shared" si="191"/>
        <v>0</v>
      </c>
      <c r="DM187" s="59">
        <f t="shared" si="192"/>
        <v>0</v>
      </c>
      <c r="DN187" s="43" t="str">
        <f t="shared" si="248"/>
        <v>راسب(ة)</v>
      </c>
      <c r="DO187" s="44"/>
      <c r="DP187" s="50"/>
      <c r="DQ187" s="46"/>
    </row>
    <row r="188" spans="1:121" s="37" customFormat="1" ht="32.25" hidden="1" customHeight="1" thickBot="1">
      <c r="A188" s="49"/>
      <c r="B188" s="1">
        <f t="shared" si="247"/>
        <v>39</v>
      </c>
      <c r="C188" s="129"/>
      <c r="D188" s="129"/>
      <c r="E188" s="47"/>
      <c r="F188" s="135"/>
      <c r="G188" s="136"/>
      <c r="H188" s="131"/>
      <c r="I188" s="132"/>
      <c r="J188" s="133"/>
      <c r="K188" s="134"/>
      <c r="L188" s="53">
        <f t="shared" si="193"/>
        <v>0</v>
      </c>
      <c r="M188" s="58">
        <f t="shared" si="194"/>
        <v>0</v>
      </c>
      <c r="N188" s="138"/>
      <c r="O188" s="139"/>
      <c r="P188" s="140"/>
      <c r="Q188" s="54">
        <f t="shared" si="195"/>
        <v>0</v>
      </c>
      <c r="R188" s="57">
        <f t="shared" si="196"/>
        <v>0</v>
      </c>
      <c r="S188" s="138"/>
      <c r="T188" s="139"/>
      <c r="U188" s="140"/>
      <c r="V188" s="54">
        <f t="shared" si="197"/>
        <v>0</v>
      </c>
      <c r="W188" s="57">
        <f t="shared" si="198"/>
        <v>0</v>
      </c>
      <c r="X188" s="138"/>
      <c r="Y188" s="139"/>
      <c r="Z188" s="140"/>
      <c r="AA188" s="54">
        <f t="shared" si="199"/>
        <v>0</v>
      </c>
      <c r="AB188" s="57">
        <f t="shared" si="200"/>
        <v>0</v>
      </c>
      <c r="AC188" s="55">
        <f t="shared" si="201"/>
        <v>0</v>
      </c>
      <c r="AD188" s="56">
        <f t="shared" si="202"/>
        <v>0</v>
      </c>
      <c r="AE188" s="139"/>
      <c r="AF188" s="140"/>
      <c r="AG188" s="42">
        <f t="shared" si="203"/>
        <v>0</v>
      </c>
      <c r="AH188" s="39">
        <f t="shared" si="204"/>
        <v>0</v>
      </c>
      <c r="AI188" s="138"/>
      <c r="AJ188" s="139"/>
      <c r="AK188" s="140"/>
      <c r="AL188" s="54">
        <f t="shared" si="205"/>
        <v>0</v>
      </c>
      <c r="AM188" s="57">
        <f t="shared" si="206"/>
        <v>0</v>
      </c>
      <c r="AN188" s="138"/>
      <c r="AO188" s="139"/>
      <c r="AP188" s="140"/>
      <c r="AQ188" s="54">
        <f t="shared" si="207"/>
        <v>0</v>
      </c>
      <c r="AR188" s="57">
        <f t="shared" si="208"/>
        <v>0</v>
      </c>
      <c r="AS188" s="40">
        <f t="shared" si="209"/>
        <v>0</v>
      </c>
      <c r="AT188" s="41">
        <f t="shared" si="210"/>
        <v>0</v>
      </c>
      <c r="AU188" s="138"/>
      <c r="AV188" s="139"/>
      <c r="AW188" s="140"/>
      <c r="AX188" s="54">
        <f t="shared" si="211"/>
        <v>0</v>
      </c>
      <c r="AY188" s="57">
        <f t="shared" si="212"/>
        <v>0</v>
      </c>
      <c r="AZ188" s="139"/>
      <c r="BA188" s="140"/>
      <c r="BB188" s="42">
        <f t="shared" si="213"/>
        <v>0</v>
      </c>
      <c r="BC188" s="39">
        <f t="shared" si="214"/>
        <v>0</v>
      </c>
      <c r="BD188" s="40">
        <f t="shared" si="215"/>
        <v>0</v>
      </c>
      <c r="BE188" s="41">
        <f t="shared" si="216"/>
        <v>0</v>
      </c>
      <c r="BF188" s="138"/>
      <c r="BG188" s="139"/>
      <c r="BH188" s="140"/>
      <c r="BI188" s="54">
        <f t="shared" si="217"/>
        <v>0</v>
      </c>
      <c r="BJ188" s="57">
        <f t="shared" si="218"/>
        <v>0</v>
      </c>
      <c r="BK188" s="61">
        <f t="shared" si="219"/>
        <v>0</v>
      </c>
      <c r="BL188" s="41">
        <f t="shared" si="220"/>
        <v>0</v>
      </c>
      <c r="BM188" s="63">
        <f t="shared" si="221"/>
        <v>0</v>
      </c>
      <c r="BN188" s="64">
        <f t="shared" si="222"/>
        <v>0</v>
      </c>
      <c r="BO188" s="138"/>
      <c r="BP188" s="139"/>
      <c r="BQ188" s="140"/>
      <c r="BR188" s="54">
        <f t="shared" si="223"/>
        <v>0</v>
      </c>
      <c r="BS188" s="57">
        <f t="shared" si="224"/>
        <v>0</v>
      </c>
      <c r="BT188" s="138"/>
      <c r="BU188" s="139"/>
      <c r="BV188" s="140"/>
      <c r="BW188" s="54">
        <f t="shared" si="225"/>
        <v>0</v>
      </c>
      <c r="BX188" s="57">
        <f t="shared" si="226"/>
        <v>0</v>
      </c>
      <c r="BY188" s="138"/>
      <c r="BZ188" s="139"/>
      <c r="CA188" s="140"/>
      <c r="CB188" s="54">
        <f t="shared" si="227"/>
        <v>0</v>
      </c>
      <c r="CC188" s="57">
        <f t="shared" si="228"/>
        <v>0</v>
      </c>
      <c r="CD188" s="62">
        <f t="shared" si="229"/>
        <v>0</v>
      </c>
      <c r="CE188" s="56">
        <f t="shared" si="230"/>
        <v>0</v>
      </c>
      <c r="CF188" s="138"/>
      <c r="CG188" s="139"/>
      <c r="CH188" s="140"/>
      <c r="CI188" s="54">
        <f t="shared" si="231"/>
        <v>0</v>
      </c>
      <c r="CJ188" s="57">
        <f t="shared" si="232"/>
        <v>0</v>
      </c>
      <c r="CK188" s="138"/>
      <c r="CL188" s="139"/>
      <c r="CM188" s="140"/>
      <c r="CN188" s="54">
        <f t="shared" si="233"/>
        <v>0</v>
      </c>
      <c r="CO188" s="57">
        <f t="shared" si="234"/>
        <v>0</v>
      </c>
      <c r="CP188" s="55">
        <f t="shared" si="235"/>
        <v>0</v>
      </c>
      <c r="CQ188" s="56">
        <f t="shared" si="236"/>
        <v>0</v>
      </c>
      <c r="CR188" s="138"/>
      <c r="CS188" s="139"/>
      <c r="CT188" s="140"/>
      <c r="CU188" s="54">
        <f t="shared" si="237"/>
        <v>0</v>
      </c>
      <c r="CV188" s="57">
        <f t="shared" si="238"/>
        <v>0</v>
      </c>
      <c r="CW188" s="55">
        <f t="shared" si="239"/>
        <v>0</v>
      </c>
      <c r="CX188" s="56">
        <f t="shared" si="240"/>
        <v>0</v>
      </c>
      <c r="CY188" s="139"/>
      <c r="CZ188" s="140"/>
      <c r="DA188" s="42">
        <f t="shared" si="241"/>
        <v>0</v>
      </c>
      <c r="DB188" s="39">
        <f t="shared" si="242"/>
        <v>0</v>
      </c>
      <c r="DC188" s="55">
        <f t="shared" si="243"/>
        <v>0</v>
      </c>
      <c r="DD188" s="56">
        <f t="shared" si="244"/>
        <v>0</v>
      </c>
      <c r="DE188" s="65">
        <f t="shared" si="245"/>
        <v>0</v>
      </c>
      <c r="DF188" s="66">
        <f t="shared" si="246"/>
        <v>0</v>
      </c>
      <c r="DG188" s="31">
        <f t="shared" si="186"/>
        <v>0</v>
      </c>
      <c r="DH188" s="32">
        <f t="shared" si="187"/>
        <v>0</v>
      </c>
      <c r="DI188" s="33">
        <f t="shared" si="188"/>
        <v>0</v>
      </c>
      <c r="DJ188" s="34">
        <f t="shared" si="189"/>
        <v>0</v>
      </c>
      <c r="DK188" s="67">
        <f t="shared" si="190"/>
        <v>0</v>
      </c>
      <c r="DL188" s="35">
        <f t="shared" si="191"/>
        <v>0</v>
      </c>
      <c r="DM188" s="59">
        <f t="shared" si="192"/>
        <v>0</v>
      </c>
      <c r="DN188" s="43" t="str">
        <f t="shared" si="248"/>
        <v>راسب(ة)</v>
      </c>
      <c r="DO188" s="44"/>
      <c r="DP188" s="50"/>
      <c r="DQ188" s="46"/>
    </row>
    <row r="189" spans="1:121" s="37" customFormat="1" ht="32.25" hidden="1" customHeight="1" thickBot="1">
      <c r="A189" s="49"/>
      <c r="B189" s="1">
        <f t="shared" si="247"/>
        <v>40</v>
      </c>
      <c r="C189" s="129"/>
      <c r="D189" s="129"/>
      <c r="E189" s="47"/>
      <c r="F189" s="135"/>
      <c r="G189" s="136"/>
      <c r="H189" s="131"/>
      <c r="I189" s="132"/>
      <c r="J189" s="133"/>
      <c r="K189" s="134"/>
      <c r="L189" s="53">
        <f t="shared" si="193"/>
        <v>0</v>
      </c>
      <c r="M189" s="58">
        <f t="shared" si="194"/>
        <v>0</v>
      </c>
      <c r="N189" s="138"/>
      <c r="O189" s="139"/>
      <c r="P189" s="140"/>
      <c r="Q189" s="54">
        <f t="shared" si="195"/>
        <v>0</v>
      </c>
      <c r="R189" s="57">
        <f t="shared" si="196"/>
        <v>0</v>
      </c>
      <c r="S189" s="138"/>
      <c r="T189" s="139"/>
      <c r="U189" s="140"/>
      <c r="V189" s="54">
        <f t="shared" si="197"/>
        <v>0</v>
      </c>
      <c r="W189" s="57">
        <f t="shared" si="198"/>
        <v>0</v>
      </c>
      <c r="X189" s="138"/>
      <c r="Y189" s="139"/>
      <c r="Z189" s="140"/>
      <c r="AA189" s="54">
        <f t="shared" si="199"/>
        <v>0</v>
      </c>
      <c r="AB189" s="57">
        <f t="shared" si="200"/>
        <v>0</v>
      </c>
      <c r="AC189" s="55">
        <f t="shared" si="201"/>
        <v>0</v>
      </c>
      <c r="AD189" s="56">
        <f t="shared" si="202"/>
        <v>0</v>
      </c>
      <c r="AE189" s="139"/>
      <c r="AF189" s="140"/>
      <c r="AG189" s="42">
        <f t="shared" si="203"/>
        <v>0</v>
      </c>
      <c r="AH189" s="39">
        <f t="shared" si="204"/>
        <v>0</v>
      </c>
      <c r="AI189" s="138"/>
      <c r="AJ189" s="139"/>
      <c r="AK189" s="140"/>
      <c r="AL189" s="54">
        <f t="shared" si="205"/>
        <v>0</v>
      </c>
      <c r="AM189" s="57">
        <f t="shared" si="206"/>
        <v>0</v>
      </c>
      <c r="AN189" s="138"/>
      <c r="AO189" s="139"/>
      <c r="AP189" s="140"/>
      <c r="AQ189" s="54">
        <f t="shared" si="207"/>
        <v>0</v>
      </c>
      <c r="AR189" s="57">
        <f t="shared" si="208"/>
        <v>0</v>
      </c>
      <c r="AS189" s="40">
        <f t="shared" si="209"/>
        <v>0</v>
      </c>
      <c r="AT189" s="41">
        <f t="shared" si="210"/>
        <v>0</v>
      </c>
      <c r="AU189" s="138"/>
      <c r="AV189" s="139"/>
      <c r="AW189" s="140"/>
      <c r="AX189" s="54">
        <f t="shared" si="211"/>
        <v>0</v>
      </c>
      <c r="AY189" s="57">
        <f t="shared" si="212"/>
        <v>0</v>
      </c>
      <c r="AZ189" s="139"/>
      <c r="BA189" s="140"/>
      <c r="BB189" s="42">
        <f t="shared" si="213"/>
        <v>0</v>
      </c>
      <c r="BC189" s="39">
        <f t="shared" si="214"/>
        <v>0</v>
      </c>
      <c r="BD189" s="40">
        <f t="shared" si="215"/>
        <v>0</v>
      </c>
      <c r="BE189" s="41">
        <f t="shared" si="216"/>
        <v>0</v>
      </c>
      <c r="BF189" s="138"/>
      <c r="BG189" s="139"/>
      <c r="BH189" s="140"/>
      <c r="BI189" s="54">
        <f t="shared" si="217"/>
        <v>0</v>
      </c>
      <c r="BJ189" s="57">
        <f t="shared" si="218"/>
        <v>0</v>
      </c>
      <c r="BK189" s="61">
        <f t="shared" si="219"/>
        <v>0</v>
      </c>
      <c r="BL189" s="41">
        <f t="shared" si="220"/>
        <v>0</v>
      </c>
      <c r="BM189" s="63">
        <f t="shared" si="221"/>
        <v>0</v>
      </c>
      <c r="BN189" s="64">
        <f t="shared" si="222"/>
        <v>0</v>
      </c>
      <c r="BO189" s="138"/>
      <c r="BP189" s="139"/>
      <c r="BQ189" s="140"/>
      <c r="BR189" s="54">
        <f t="shared" si="223"/>
        <v>0</v>
      </c>
      <c r="BS189" s="57">
        <f t="shared" si="224"/>
        <v>0</v>
      </c>
      <c r="BT189" s="138"/>
      <c r="BU189" s="139"/>
      <c r="BV189" s="140"/>
      <c r="BW189" s="54">
        <f t="shared" si="225"/>
        <v>0</v>
      </c>
      <c r="BX189" s="57">
        <f t="shared" si="226"/>
        <v>0</v>
      </c>
      <c r="BY189" s="138"/>
      <c r="BZ189" s="139"/>
      <c r="CA189" s="140"/>
      <c r="CB189" s="54">
        <f t="shared" si="227"/>
        <v>0</v>
      </c>
      <c r="CC189" s="57">
        <f t="shared" si="228"/>
        <v>0</v>
      </c>
      <c r="CD189" s="62">
        <f t="shared" si="229"/>
        <v>0</v>
      </c>
      <c r="CE189" s="56">
        <f t="shared" si="230"/>
        <v>0</v>
      </c>
      <c r="CF189" s="138"/>
      <c r="CG189" s="139"/>
      <c r="CH189" s="140"/>
      <c r="CI189" s="54">
        <f t="shared" si="231"/>
        <v>0</v>
      </c>
      <c r="CJ189" s="57">
        <f t="shared" si="232"/>
        <v>0</v>
      </c>
      <c r="CK189" s="138"/>
      <c r="CL189" s="139"/>
      <c r="CM189" s="140"/>
      <c r="CN189" s="54">
        <f t="shared" si="233"/>
        <v>0</v>
      </c>
      <c r="CO189" s="57">
        <f t="shared" si="234"/>
        <v>0</v>
      </c>
      <c r="CP189" s="55">
        <f t="shared" si="235"/>
        <v>0</v>
      </c>
      <c r="CQ189" s="56">
        <f t="shared" si="236"/>
        <v>0</v>
      </c>
      <c r="CR189" s="138"/>
      <c r="CS189" s="139"/>
      <c r="CT189" s="140"/>
      <c r="CU189" s="54">
        <f t="shared" si="237"/>
        <v>0</v>
      </c>
      <c r="CV189" s="57">
        <f t="shared" si="238"/>
        <v>0</v>
      </c>
      <c r="CW189" s="55">
        <f t="shared" si="239"/>
        <v>0</v>
      </c>
      <c r="CX189" s="56">
        <f t="shared" si="240"/>
        <v>0</v>
      </c>
      <c r="CY189" s="139"/>
      <c r="CZ189" s="140"/>
      <c r="DA189" s="42">
        <f t="shared" si="241"/>
        <v>0</v>
      </c>
      <c r="DB189" s="39">
        <f t="shared" si="242"/>
        <v>0</v>
      </c>
      <c r="DC189" s="55">
        <f t="shared" si="243"/>
        <v>0</v>
      </c>
      <c r="DD189" s="56">
        <f t="shared" si="244"/>
        <v>0</v>
      </c>
      <c r="DE189" s="65">
        <f t="shared" si="245"/>
        <v>0</v>
      </c>
      <c r="DF189" s="66">
        <f t="shared" si="246"/>
        <v>0</v>
      </c>
      <c r="DG189" s="31">
        <f t="shared" si="186"/>
        <v>0</v>
      </c>
      <c r="DH189" s="32">
        <f t="shared" si="187"/>
        <v>0</v>
      </c>
      <c r="DI189" s="33">
        <f t="shared" si="188"/>
        <v>0</v>
      </c>
      <c r="DJ189" s="34">
        <f t="shared" si="189"/>
        <v>0</v>
      </c>
      <c r="DK189" s="67">
        <f t="shared" si="190"/>
        <v>0</v>
      </c>
      <c r="DL189" s="35">
        <f t="shared" si="191"/>
        <v>0</v>
      </c>
      <c r="DM189" s="59">
        <f t="shared" si="192"/>
        <v>0</v>
      </c>
      <c r="DN189" s="43" t="str">
        <f t="shared" si="248"/>
        <v>راسب(ة)</v>
      </c>
      <c r="DO189" s="44"/>
      <c r="DP189" s="50"/>
      <c r="DQ189" s="46"/>
    </row>
    <row r="190" spans="1:121" s="37" customFormat="1" ht="32.25" hidden="1" customHeight="1" thickBot="1">
      <c r="A190" s="49"/>
      <c r="B190" s="1">
        <f t="shared" si="247"/>
        <v>41</v>
      </c>
      <c r="C190" s="129"/>
      <c r="D190" s="129"/>
      <c r="E190" s="47"/>
      <c r="F190" s="135"/>
      <c r="G190" s="136"/>
      <c r="H190" s="131"/>
      <c r="I190" s="132"/>
      <c r="J190" s="133"/>
      <c r="K190" s="134"/>
      <c r="L190" s="53">
        <f t="shared" si="193"/>
        <v>0</v>
      </c>
      <c r="M190" s="58">
        <f t="shared" si="194"/>
        <v>0</v>
      </c>
      <c r="N190" s="138"/>
      <c r="O190" s="139"/>
      <c r="P190" s="140"/>
      <c r="Q190" s="54">
        <f t="shared" si="195"/>
        <v>0</v>
      </c>
      <c r="R190" s="57">
        <f t="shared" si="196"/>
        <v>0</v>
      </c>
      <c r="S190" s="138"/>
      <c r="T190" s="139"/>
      <c r="U190" s="140"/>
      <c r="V190" s="54">
        <f t="shared" si="197"/>
        <v>0</v>
      </c>
      <c r="W190" s="57">
        <f t="shared" si="198"/>
        <v>0</v>
      </c>
      <c r="X190" s="138"/>
      <c r="Y190" s="139"/>
      <c r="Z190" s="140"/>
      <c r="AA190" s="54">
        <f t="shared" si="199"/>
        <v>0</v>
      </c>
      <c r="AB190" s="57">
        <f t="shared" si="200"/>
        <v>0</v>
      </c>
      <c r="AC190" s="55">
        <f t="shared" si="201"/>
        <v>0</v>
      </c>
      <c r="AD190" s="56">
        <f t="shared" si="202"/>
        <v>0</v>
      </c>
      <c r="AE190" s="139"/>
      <c r="AF190" s="140"/>
      <c r="AG190" s="42">
        <f t="shared" si="203"/>
        <v>0</v>
      </c>
      <c r="AH190" s="39">
        <f t="shared" si="204"/>
        <v>0</v>
      </c>
      <c r="AI190" s="138"/>
      <c r="AJ190" s="139"/>
      <c r="AK190" s="140"/>
      <c r="AL190" s="54">
        <f t="shared" si="205"/>
        <v>0</v>
      </c>
      <c r="AM190" s="57">
        <f t="shared" si="206"/>
        <v>0</v>
      </c>
      <c r="AN190" s="138"/>
      <c r="AO190" s="139"/>
      <c r="AP190" s="140"/>
      <c r="AQ190" s="54">
        <f t="shared" si="207"/>
        <v>0</v>
      </c>
      <c r="AR190" s="57">
        <f t="shared" si="208"/>
        <v>0</v>
      </c>
      <c r="AS190" s="40">
        <f t="shared" si="209"/>
        <v>0</v>
      </c>
      <c r="AT190" s="41">
        <f t="shared" si="210"/>
        <v>0</v>
      </c>
      <c r="AU190" s="138"/>
      <c r="AV190" s="139"/>
      <c r="AW190" s="140"/>
      <c r="AX190" s="54">
        <f t="shared" si="211"/>
        <v>0</v>
      </c>
      <c r="AY190" s="57">
        <f t="shared" si="212"/>
        <v>0</v>
      </c>
      <c r="AZ190" s="139"/>
      <c r="BA190" s="140"/>
      <c r="BB190" s="42">
        <f t="shared" si="213"/>
        <v>0</v>
      </c>
      <c r="BC190" s="39">
        <f t="shared" si="214"/>
        <v>0</v>
      </c>
      <c r="BD190" s="40">
        <f t="shared" si="215"/>
        <v>0</v>
      </c>
      <c r="BE190" s="41">
        <f t="shared" si="216"/>
        <v>0</v>
      </c>
      <c r="BF190" s="138"/>
      <c r="BG190" s="139"/>
      <c r="BH190" s="140"/>
      <c r="BI190" s="54">
        <f t="shared" si="217"/>
        <v>0</v>
      </c>
      <c r="BJ190" s="57">
        <f t="shared" si="218"/>
        <v>0</v>
      </c>
      <c r="BK190" s="61">
        <f t="shared" si="219"/>
        <v>0</v>
      </c>
      <c r="BL190" s="41">
        <f t="shared" si="220"/>
        <v>0</v>
      </c>
      <c r="BM190" s="63">
        <f t="shared" si="221"/>
        <v>0</v>
      </c>
      <c r="BN190" s="64">
        <f t="shared" si="222"/>
        <v>0</v>
      </c>
      <c r="BO190" s="138"/>
      <c r="BP190" s="139"/>
      <c r="BQ190" s="140"/>
      <c r="BR190" s="54">
        <f t="shared" si="223"/>
        <v>0</v>
      </c>
      <c r="BS190" s="57">
        <f t="shared" si="224"/>
        <v>0</v>
      </c>
      <c r="BT190" s="138"/>
      <c r="BU190" s="139"/>
      <c r="BV190" s="140"/>
      <c r="BW190" s="54">
        <f t="shared" si="225"/>
        <v>0</v>
      </c>
      <c r="BX190" s="57">
        <f t="shared" si="226"/>
        <v>0</v>
      </c>
      <c r="BY190" s="138"/>
      <c r="BZ190" s="139"/>
      <c r="CA190" s="140"/>
      <c r="CB190" s="54">
        <f t="shared" si="227"/>
        <v>0</v>
      </c>
      <c r="CC190" s="57">
        <f t="shared" si="228"/>
        <v>0</v>
      </c>
      <c r="CD190" s="62">
        <f t="shared" si="229"/>
        <v>0</v>
      </c>
      <c r="CE190" s="56">
        <f t="shared" si="230"/>
        <v>0</v>
      </c>
      <c r="CF190" s="138"/>
      <c r="CG190" s="139"/>
      <c r="CH190" s="140"/>
      <c r="CI190" s="54">
        <f t="shared" si="231"/>
        <v>0</v>
      </c>
      <c r="CJ190" s="57">
        <f t="shared" si="232"/>
        <v>0</v>
      </c>
      <c r="CK190" s="138"/>
      <c r="CL190" s="139"/>
      <c r="CM190" s="140"/>
      <c r="CN190" s="54">
        <f t="shared" si="233"/>
        <v>0</v>
      </c>
      <c r="CO190" s="57">
        <f t="shared" si="234"/>
        <v>0</v>
      </c>
      <c r="CP190" s="55">
        <f t="shared" si="235"/>
        <v>0</v>
      </c>
      <c r="CQ190" s="56">
        <f t="shared" si="236"/>
        <v>0</v>
      </c>
      <c r="CR190" s="138"/>
      <c r="CS190" s="139"/>
      <c r="CT190" s="140"/>
      <c r="CU190" s="54">
        <f t="shared" si="237"/>
        <v>0</v>
      </c>
      <c r="CV190" s="57">
        <f t="shared" si="238"/>
        <v>0</v>
      </c>
      <c r="CW190" s="55">
        <f t="shared" si="239"/>
        <v>0</v>
      </c>
      <c r="CX190" s="56">
        <f t="shared" si="240"/>
        <v>0</v>
      </c>
      <c r="CY190" s="139"/>
      <c r="CZ190" s="140"/>
      <c r="DA190" s="42">
        <f t="shared" si="241"/>
        <v>0</v>
      </c>
      <c r="DB190" s="39">
        <f t="shared" si="242"/>
        <v>0</v>
      </c>
      <c r="DC190" s="55">
        <f t="shared" si="243"/>
        <v>0</v>
      </c>
      <c r="DD190" s="56">
        <f t="shared" si="244"/>
        <v>0</v>
      </c>
      <c r="DE190" s="65">
        <f t="shared" si="245"/>
        <v>0</v>
      </c>
      <c r="DF190" s="66">
        <f t="shared" si="246"/>
        <v>0</v>
      </c>
      <c r="DG190" s="31">
        <f t="shared" si="186"/>
        <v>0</v>
      </c>
      <c r="DH190" s="32">
        <f t="shared" si="187"/>
        <v>0</v>
      </c>
      <c r="DI190" s="33">
        <f t="shared" si="188"/>
        <v>0</v>
      </c>
      <c r="DJ190" s="34">
        <f t="shared" si="189"/>
        <v>0</v>
      </c>
      <c r="DK190" s="67">
        <f t="shared" si="190"/>
        <v>0</v>
      </c>
      <c r="DL190" s="35">
        <f t="shared" si="191"/>
        <v>0</v>
      </c>
      <c r="DM190" s="59">
        <f t="shared" si="192"/>
        <v>0</v>
      </c>
      <c r="DN190" s="43" t="str">
        <f t="shared" si="248"/>
        <v>راسب(ة)</v>
      </c>
      <c r="DP190" s="51"/>
      <c r="DQ190" s="46"/>
    </row>
    <row r="191" spans="1:121" s="37" customFormat="1" ht="46.5" customHeight="1">
      <c r="A191" s="49"/>
      <c r="B191" s="420" t="s">
        <v>47</v>
      </c>
      <c r="C191" s="388"/>
      <c r="D191" s="388"/>
      <c r="E191" s="421"/>
      <c r="F191" s="200"/>
      <c r="G191" s="200"/>
      <c r="H191" s="200"/>
      <c r="I191" s="200"/>
      <c r="J191" s="200"/>
      <c r="K191" s="200"/>
      <c r="L191" s="200"/>
      <c r="M191" s="200"/>
      <c r="N191" s="350" t="s">
        <v>45</v>
      </c>
      <c r="O191" s="351"/>
      <c r="P191" s="351"/>
      <c r="Q191" s="351"/>
      <c r="R191" s="352"/>
      <c r="S191" s="350" t="s">
        <v>45</v>
      </c>
      <c r="T191" s="351"/>
      <c r="U191" s="351"/>
      <c r="V191" s="351"/>
      <c r="W191" s="352"/>
      <c r="X191" s="350" t="s">
        <v>45</v>
      </c>
      <c r="Y191" s="351"/>
      <c r="Z191" s="351"/>
      <c r="AA191" s="351"/>
      <c r="AB191" s="352"/>
      <c r="AC191" s="200"/>
      <c r="AD191" s="200"/>
      <c r="AE191" s="347" t="s">
        <v>45</v>
      </c>
      <c r="AF191" s="348"/>
      <c r="AG191" s="348"/>
      <c r="AH191" s="349"/>
      <c r="AI191" s="350" t="s">
        <v>45</v>
      </c>
      <c r="AJ191" s="351"/>
      <c r="AK191" s="351"/>
      <c r="AL191" s="351"/>
      <c r="AM191" s="352"/>
      <c r="AN191" s="350" t="s">
        <v>45</v>
      </c>
      <c r="AO191" s="351"/>
      <c r="AP191" s="351"/>
      <c r="AQ191" s="351"/>
      <c r="AR191" s="352"/>
      <c r="AS191" s="200"/>
      <c r="AT191" s="200"/>
      <c r="AU191" s="350" t="s">
        <v>45</v>
      </c>
      <c r="AV191" s="351"/>
      <c r="AW191" s="351"/>
      <c r="AX191" s="351"/>
      <c r="AY191" s="352"/>
      <c r="AZ191" s="347" t="s">
        <v>45</v>
      </c>
      <c r="BA191" s="348"/>
      <c r="BB191" s="348"/>
      <c r="BC191" s="349"/>
      <c r="BD191" s="200"/>
      <c r="BE191" s="200"/>
      <c r="BF191" s="350" t="s">
        <v>45</v>
      </c>
      <c r="BG191" s="351"/>
      <c r="BH191" s="351"/>
      <c r="BI191" s="351"/>
      <c r="BJ191" s="352"/>
      <c r="BK191" s="387" t="s">
        <v>46</v>
      </c>
      <c r="BL191" s="388"/>
      <c r="BM191" s="388"/>
      <c r="BN191" s="388"/>
      <c r="BO191" s="350" t="s">
        <v>45</v>
      </c>
      <c r="BP191" s="351"/>
      <c r="BQ191" s="351"/>
      <c r="BR191" s="351"/>
      <c r="BS191" s="352"/>
      <c r="BT191" s="350" t="s">
        <v>45</v>
      </c>
      <c r="BU191" s="351"/>
      <c r="BV191" s="351"/>
      <c r="BW191" s="351"/>
      <c r="BX191" s="352"/>
      <c r="BY191" s="350" t="s">
        <v>45</v>
      </c>
      <c r="BZ191" s="351"/>
      <c r="CA191" s="351"/>
      <c r="CB191" s="351"/>
      <c r="CC191" s="352"/>
      <c r="CD191" s="201"/>
      <c r="CE191" s="202"/>
      <c r="CF191" s="350" t="s">
        <v>45</v>
      </c>
      <c r="CG191" s="351"/>
      <c r="CH191" s="351"/>
      <c r="CI191" s="351"/>
      <c r="CJ191" s="352"/>
      <c r="CK191" s="350" t="s">
        <v>45</v>
      </c>
      <c r="CL191" s="351"/>
      <c r="CM191" s="351"/>
      <c r="CN191" s="351"/>
      <c r="CO191" s="352"/>
      <c r="CP191" s="203"/>
      <c r="CQ191" s="202"/>
      <c r="CR191" s="350" t="s">
        <v>45</v>
      </c>
      <c r="CS191" s="351"/>
      <c r="CT191" s="351"/>
      <c r="CU191" s="351"/>
      <c r="CV191" s="352"/>
      <c r="CW191" s="215"/>
      <c r="CX191" s="216"/>
      <c r="CY191" s="570" t="s">
        <v>45</v>
      </c>
      <c r="CZ191" s="571"/>
      <c r="DA191" s="571"/>
      <c r="DB191" s="572"/>
      <c r="DC191" s="570" t="s">
        <v>46</v>
      </c>
      <c r="DD191" s="571"/>
      <c r="DE191" s="571"/>
      <c r="DF191" s="572"/>
      <c r="DG191" s="200"/>
      <c r="DH191" s="200"/>
      <c r="DI191" s="200"/>
      <c r="DJ191" s="200"/>
      <c r="DK191" s="200"/>
      <c r="DL191" s="200"/>
      <c r="DM191" s="200"/>
      <c r="DN191" s="204" t="s">
        <v>46</v>
      </c>
      <c r="DP191" s="38"/>
    </row>
    <row r="192" spans="1:121" s="37" customFormat="1" ht="74.25" customHeight="1" thickBot="1">
      <c r="A192" s="49"/>
      <c r="B192" s="205"/>
      <c r="C192" s="206"/>
      <c r="D192" s="206"/>
      <c r="E192" s="207"/>
      <c r="F192" s="206"/>
      <c r="G192" s="206"/>
      <c r="H192" s="206"/>
      <c r="I192" s="206"/>
      <c r="J192" s="206"/>
      <c r="K192" s="206"/>
      <c r="L192" s="206"/>
      <c r="M192" s="206"/>
      <c r="N192" s="344"/>
      <c r="O192" s="345"/>
      <c r="P192" s="345"/>
      <c r="Q192" s="345"/>
      <c r="R192" s="346"/>
      <c r="S192" s="344"/>
      <c r="T192" s="345"/>
      <c r="U192" s="345"/>
      <c r="V192" s="345"/>
      <c r="W192" s="346"/>
      <c r="X192" s="344"/>
      <c r="Y192" s="345"/>
      <c r="Z192" s="345"/>
      <c r="AA192" s="345"/>
      <c r="AB192" s="346"/>
      <c r="AC192" s="206"/>
      <c r="AD192" s="206"/>
      <c r="AE192" s="353"/>
      <c r="AF192" s="354"/>
      <c r="AG192" s="354"/>
      <c r="AH192" s="355"/>
      <c r="AI192" s="344"/>
      <c r="AJ192" s="345"/>
      <c r="AK192" s="345"/>
      <c r="AL192" s="345"/>
      <c r="AM192" s="346"/>
      <c r="AN192" s="344"/>
      <c r="AO192" s="345"/>
      <c r="AP192" s="345"/>
      <c r="AQ192" s="345"/>
      <c r="AR192" s="346"/>
      <c r="AS192" s="206"/>
      <c r="AT192" s="206"/>
      <c r="AU192" s="344"/>
      <c r="AV192" s="345"/>
      <c r="AW192" s="345"/>
      <c r="AX192" s="345"/>
      <c r="AY192" s="346"/>
      <c r="AZ192" s="353"/>
      <c r="BA192" s="354"/>
      <c r="BB192" s="354"/>
      <c r="BC192" s="355"/>
      <c r="BD192" s="206"/>
      <c r="BE192" s="206"/>
      <c r="BF192" s="344"/>
      <c r="BG192" s="345"/>
      <c r="BH192" s="345"/>
      <c r="BI192" s="345"/>
      <c r="BJ192" s="346"/>
      <c r="BK192" s="208"/>
      <c r="BL192" s="209"/>
      <c r="BM192" s="209"/>
      <c r="BN192" s="210"/>
      <c r="BO192" s="344"/>
      <c r="BP192" s="345"/>
      <c r="BQ192" s="345"/>
      <c r="BR192" s="345"/>
      <c r="BS192" s="346"/>
      <c r="BT192" s="344"/>
      <c r="BU192" s="345"/>
      <c r="BV192" s="345"/>
      <c r="BW192" s="345"/>
      <c r="BX192" s="346"/>
      <c r="BY192" s="344"/>
      <c r="BZ192" s="345"/>
      <c r="CA192" s="345"/>
      <c r="CB192" s="345"/>
      <c r="CC192" s="346"/>
      <c r="CD192" s="205"/>
      <c r="CE192" s="206"/>
      <c r="CF192" s="344"/>
      <c r="CG192" s="345"/>
      <c r="CH192" s="345"/>
      <c r="CI192" s="345"/>
      <c r="CJ192" s="346"/>
      <c r="CK192" s="344"/>
      <c r="CL192" s="345"/>
      <c r="CM192" s="345"/>
      <c r="CN192" s="345"/>
      <c r="CO192" s="346"/>
      <c r="CP192" s="206"/>
      <c r="CQ192" s="206"/>
      <c r="CR192" s="344"/>
      <c r="CS192" s="345"/>
      <c r="CT192" s="345"/>
      <c r="CU192" s="345"/>
      <c r="CV192" s="346"/>
      <c r="CW192" s="212"/>
      <c r="CX192" s="213"/>
      <c r="CY192" s="442"/>
      <c r="CZ192" s="443"/>
      <c r="DA192" s="443"/>
      <c r="DB192" s="444"/>
      <c r="DC192" s="212"/>
      <c r="DD192" s="213"/>
      <c r="DE192" s="213"/>
      <c r="DF192" s="214"/>
      <c r="DG192" s="206"/>
      <c r="DH192" s="206"/>
      <c r="DI192" s="206"/>
      <c r="DJ192" s="206"/>
      <c r="DK192" s="206"/>
      <c r="DL192" s="206"/>
      <c r="DM192" s="206"/>
      <c r="DN192" s="211"/>
      <c r="DP192" s="38"/>
    </row>
  </sheetData>
  <autoFilter ref="DN1:DN192"/>
  <mergeCells count="336">
    <mergeCell ref="CY191:DB191"/>
    <mergeCell ref="DC191:DF191"/>
    <mergeCell ref="CY192:DB192"/>
    <mergeCell ref="B1:M1"/>
    <mergeCell ref="N1:BN1"/>
    <mergeCell ref="BO1:DF1"/>
    <mergeCell ref="DG1:DN1"/>
    <mergeCell ref="N2:BN2"/>
    <mergeCell ref="BO2:DF2"/>
    <mergeCell ref="DG2:DN2"/>
    <mergeCell ref="CY47:DB47"/>
    <mergeCell ref="CY48:DB48"/>
    <mergeCell ref="DC47:DF47"/>
    <mergeCell ref="BO3:CE3"/>
    <mergeCell ref="CF3:CQ3"/>
    <mergeCell ref="CR3:CX3"/>
    <mergeCell ref="CY3:DD3"/>
    <mergeCell ref="DE3:DF4"/>
    <mergeCell ref="H4:I4"/>
    <mergeCell ref="J4:K4"/>
    <mergeCell ref="N4:R4"/>
    <mergeCell ref="S4:W4"/>
    <mergeCell ref="X4:AB4"/>
    <mergeCell ref="H3:M3"/>
    <mergeCell ref="N3:AD3"/>
    <mergeCell ref="AG3:AT3"/>
    <mergeCell ref="AU3:BE3"/>
    <mergeCell ref="BF3:BL3"/>
    <mergeCell ref="BM3:BN4"/>
    <mergeCell ref="AC4:AD4"/>
    <mergeCell ref="AE4:AH4"/>
    <mergeCell ref="AI4:AM4"/>
    <mergeCell ref="AN4:AR4"/>
    <mergeCell ref="CY4:DB4"/>
    <mergeCell ref="DC4:DD4"/>
    <mergeCell ref="BO4:BS4"/>
    <mergeCell ref="BT4:BX4"/>
    <mergeCell ref="BY4:CC4"/>
    <mergeCell ref="CD4:CE4"/>
    <mergeCell ref="CF4:CJ4"/>
    <mergeCell ref="CK4:CO4"/>
    <mergeCell ref="AS4:AT4"/>
    <mergeCell ref="AU4:AY4"/>
    <mergeCell ref="AZ4:BC4"/>
    <mergeCell ref="BD4:BE4"/>
    <mergeCell ref="BF4:BJ4"/>
    <mergeCell ref="BK4:BL4"/>
    <mergeCell ref="B47:E47"/>
    <mergeCell ref="N47:R47"/>
    <mergeCell ref="S47:W47"/>
    <mergeCell ref="X47:AB47"/>
    <mergeCell ref="AE47:AH47"/>
    <mergeCell ref="AI47:AM47"/>
    <mergeCell ref="CP4:CQ4"/>
    <mergeCell ref="CR4:CV4"/>
    <mergeCell ref="CW4:CX4"/>
    <mergeCell ref="BT47:BX47"/>
    <mergeCell ref="BY47:CC47"/>
    <mergeCell ref="CF47:CJ47"/>
    <mergeCell ref="CK47:CO47"/>
    <mergeCell ref="CR47:CV47"/>
    <mergeCell ref="AN47:AR47"/>
    <mergeCell ref="AU47:AY47"/>
    <mergeCell ref="AZ47:BC47"/>
    <mergeCell ref="BF47:BJ47"/>
    <mergeCell ref="BK47:BN47"/>
    <mergeCell ref="BO47:BS47"/>
    <mergeCell ref="CF48:CJ48"/>
    <mergeCell ref="CK48:CO48"/>
    <mergeCell ref="CR48:CV48"/>
    <mergeCell ref="B49:M49"/>
    <mergeCell ref="N49:BN49"/>
    <mergeCell ref="BO49:DF49"/>
    <mergeCell ref="AU48:AY48"/>
    <mergeCell ref="AZ48:BC48"/>
    <mergeCell ref="BF48:BJ48"/>
    <mergeCell ref="BO48:BS48"/>
    <mergeCell ref="BT48:BX48"/>
    <mergeCell ref="BY48:CC48"/>
    <mergeCell ref="N48:R48"/>
    <mergeCell ref="S48:W48"/>
    <mergeCell ref="X48:AB48"/>
    <mergeCell ref="AE48:AH48"/>
    <mergeCell ref="AI48:AM48"/>
    <mergeCell ref="AN48:AR48"/>
    <mergeCell ref="DG49:DN49"/>
    <mergeCell ref="N50:BN50"/>
    <mergeCell ref="BO50:DF50"/>
    <mergeCell ref="DG50:DN50"/>
    <mergeCell ref="H51:M51"/>
    <mergeCell ref="N51:AD51"/>
    <mergeCell ref="AG51:AT51"/>
    <mergeCell ref="AU51:BE51"/>
    <mergeCell ref="BF51:BL51"/>
    <mergeCell ref="BM51:BN52"/>
    <mergeCell ref="CY52:DB52"/>
    <mergeCell ref="DC52:DD52"/>
    <mergeCell ref="DI51:DJ52"/>
    <mergeCell ref="DK51:DK53"/>
    <mergeCell ref="BY52:CC52"/>
    <mergeCell ref="CD52:CE52"/>
    <mergeCell ref="CF52:CJ52"/>
    <mergeCell ref="CK52:CO52"/>
    <mergeCell ref="CP52:CQ52"/>
    <mergeCell ref="CR52:CV52"/>
    <mergeCell ref="BO51:CE51"/>
    <mergeCell ref="CF51:CQ51"/>
    <mergeCell ref="CR51:CX51"/>
    <mergeCell ref="CY51:DD51"/>
    <mergeCell ref="DE51:DF52"/>
    <mergeCell ref="B95:E95"/>
    <mergeCell ref="N95:R95"/>
    <mergeCell ref="S95:W95"/>
    <mergeCell ref="X95:AB95"/>
    <mergeCell ref="AE95:AH95"/>
    <mergeCell ref="AI95:AM95"/>
    <mergeCell ref="AN95:AR95"/>
    <mergeCell ref="AU95:AY95"/>
    <mergeCell ref="CW52:CX52"/>
    <mergeCell ref="AZ52:BC52"/>
    <mergeCell ref="BD52:BE52"/>
    <mergeCell ref="BF52:BJ52"/>
    <mergeCell ref="BK52:BL52"/>
    <mergeCell ref="BO52:BS52"/>
    <mergeCell ref="BT52:BX52"/>
    <mergeCell ref="AC52:AD52"/>
    <mergeCell ref="AE52:AH52"/>
    <mergeCell ref="AI52:AM52"/>
    <mergeCell ref="AN52:AR52"/>
    <mergeCell ref="AS52:AT52"/>
    <mergeCell ref="AU52:AY52"/>
    <mergeCell ref="H52:I52"/>
    <mergeCell ref="J52:K52"/>
    <mergeCell ref="N52:R52"/>
    <mergeCell ref="CF95:CJ95"/>
    <mergeCell ref="CK95:CO95"/>
    <mergeCell ref="CR95:CV95"/>
    <mergeCell ref="N96:R96"/>
    <mergeCell ref="S96:W96"/>
    <mergeCell ref="X96:AB96"/>
    <mergeCell ref="AE96:AH96"/>
    <mergeCell ref="AI96:AM96"/>
    <mergeCell ref="AN96:AR96"/>
    <mergeCell ref="AZ95:BC95"/>
    <mergeCell ref="BF95:BJ95"/>
    <mergeCell ref="BK95:BN95"/>
    <mergeCell ref="BO95:BS95"/>
    <mergeCell ref="BT95:BX95"/>
    <mergeCell ref="BY95:CC95"/>
    <mergeCell ref="S52:W52"/>
    <mergeCell ref="X52:AB52"/>
    <mergeCell ref="B97:M97"/>
    <mergeCell ref="N97:BN97"/>
    <mergeCell ref="BO97:DF97"/>
    <mergeCell ref="AU96:AY96"/>
    <mergeCell ref="AZ96:BC96"/>
    <mergeCell ref="BF96:BJ96"/>
    <mergeCell ref="BO96:BS96"/>
    <mergeCell ref="BT96:BX96"/>
    <mergeCell ref="BY96:CC96"/>
    <mergeCell ref="BY100:CC100"/>
    <mergeCell ref="CD100:CE100"/>
    <mergeCell ref="CF100:CJ100"/>
    <mergeCell ref="CY95:DB95"/>
    <mergeCell ref="DC95:DF95"/>
    <mergeCell ref="CY96:DB96"/>
    <mergeCell ref="CF96:CJ96"/>
    <mergeCell ref="CK96:CO96"/>
    <mergeCell ref="CR96:CV96"/>
    <mergeCell ref="BK100:BL100"/>
    <mergeCell ref="BO100:BS100"/>
    <mergeCell ref="BT100:BX100"/>
    <mergeCell ref="N98:BN98"/>
    <mergeCell ref="BO98:DF98"/>
    <mergeCell ref="DG98:DN98"/>
    <mergeCell ref="H99:M99"/>
    <mergeCell ref="N99:AD99"/>
    <mergeCell ref="AG99:AT99"/>
    <mergeCell ref="AU99:BE99"/>
    <mergeCell ref="BF99:BL99"/>
    <mergeCell ref="BM99:BN100"/>
    <mergeCell ref="BO99:CE99"/>
    <mergeCell ref="CF99:CQ99"/>
    <mergeCell ref="CR99:CX99"/>
    <mergeCell ref="CY99:DD99"/>
    <mergeCell ref="DE99:DF100"/>
    <mergeCell ref="H100:I100"/>
    <mergeCell ref="J100:K100"/>
    <mergeCell ref="N100:R100"/>
    <mergeCell ref="S100:W100"/>
    <mergeCell ref="X100:AB100"/>
    <mergeCell ref="CY100:DB100"/>
    <mergeCell ref="DC100:DD100"/>
    <mergeCell ref="B143:E143"/>
    <mergeCell ref="N143:R143"/>
    <mergeCell ref="S143:W143"/>
    <mergeCell ref="X143:AB143"/>
    <mergeCell ref="AE143:AH143"/>
    <mergeCell ref="AI143:AM143"/>
    <mergeCell ref="AN143:AR143"/>
    <mergeCell ref="AU143:AY143"/>
    <mergeCell ref="CW100:CX100"/>
    <mergeCell ref="AC100:AD100"/>
    <mergeCell ref="AE100:AH100"/>
    <mergeCell ref="AI100:AM100"/>
    <mergeCell ref="AN100:AR100"/>
    <mergeCell ref="AS100:AT100"/>
    <mergeCell ref="AU100:AY100"/>
    <mergeCell ref="BO143:BS143"/>
    <mergeCell ref="BT143:BX143"/>
    <mergeCell ref="BY143:CC143"/>
    <mergeCell ref="CK100:CO100"/>
    <mergeCell ref="CP100:CQ100"/>
    <mergeCell ref="CR100:CV100"/>
    <mergeCell ref="AZ100:BC100"/>
    <mergeCell ref="BD100:BE100"/>
    <mergeCell ref="BF100:BJ100"/>
    <mergeCell ref="CF143:CJ143"/>
    <mergeCell ref="CK143:CO143"/>
    <mergeCell ref="CR143:CV143"/>
    <mergeCell ref="N144:R144"/>
    <mergeCell ref="S144:W144"/>
    <mergeCell ref="X144:AB144"/>
    <mergeCell ref="AE144:AH144"/>
    <mergeCell ref="AI144:AM144"/>
    <mergeCell ref="AN144:AR144"/>
    <mergeCell ref="AZ143:BC143"/>
    <mergeCell ref="BF143:BJ143"/>
    <mergeCell ref="BK143:BN143"/>
    <mergeCell ref="CY144:DB144"/>
    <mergeCell ref="B145:M145"/>
    <mergeCell ref="N145:BN145"/>
    <mergeCell ref="BO145:DF145"/>
    <mergeCell ref="AU144:AY144"/>
    <mergeCell ref="AZ144:BC144"/>
    <mergeCell ref="BF144:BJ144"/>
    <mergeCell ref="BO144:BS144"/>
    <mergeCell ref="BT144:BX144"/>
    <mergeCell ref="BY144:CC144"/>
    <mergeCell ref="CF144:CJ144"/>
    <mergeCell ref="CK144:CO144"/>
    <mergeCell ref="CR144:CV144"/>
    <mergeCell ref="N146:BN146"/>
    <mergeCell ref="BO146:DF146"/>
    <mergeCell ref="DG146:DN146"/>
    <mergeCell ref="H147:M147"/>
    <mergeCell ref="N147:AD147"/>
    <mergeCell ref="AG147:AT147"/>
    <mergeCell ref="AU147:BE147"/>
    <mergeCell ref="BF147:BL147"/>
    <mergeCell ref="BM147:BN148"/>
    <mergeCell ref="AN148:AR148"/>
    <mergeCell ref="AS148:AT148"/>
    <mergeCell ref="AU148:AY148"/>
    <mergeCell ref="BO147:CE147"/>
    <mergeCell ref="CF147:CQ147"/>
    <mergeCell ref="CR147:CX147"/>
    <mergeCell ref="CY147:DD147"/>
    <mergeCell ref="DE147:DF148"/>
    <mergeCell ref="H148:I148"/>
    <mergeCell ref="J148:K148"/>
    <mergeCell ref="N148:R148"/>
    <mergeCell ref="S148:W148"/>
    <mergeCell ref="X148:AB148"/>
    <mergeCell ref="B191:E191"/>
    <mergeCell ref="N191:R191"/>
    <mergeCell ref="S191:W191"/>
    <mergeCell ref="X191:AB191"/>
    <mergeCell ref="AE191:AH191"/>
    <mergeCell ref="AI191:AM191"/>
    <mergeCell ref="AN191:AR191"/>
    <mergeCell ref="AU191:AY191"/>
    <mergeCell ref="CW148:CX148"/>
    <mergeCell ref="BY148:CC148"/>
    <mergeCell ref="CD148:CE148"/>
    <mergeCell ref="CF148:CJ148"/>
    <mergeCell ref="CK148:CO148"/>
    <mergeCell ref="CP148:CQ148"/>
    <mergeCell ref="CR148:CV148"/>
    <mergeCell ref="AZ148:BC148"/>
    <mergeCell ref="BD148:BE148"/>
    <mergeCell ref="BF148:BJ148"/>
    <mergeCell ref="BK148:BL148"/>
    <mergeCell ref="BO148:BS148"/>
    <mergeCell ref="BT148:BX148"/>
    <mergeCell ref="AC148:AD148"/>
    <mergeCell ref="AE148:AH148"/>
    <mergeCell ref="AI148:AM148"/>
    <mergeCell ref="N192:R192"/>
    <mergeCell ref="S192:W192"/>
    <mergeCell ref="X192:AB192"/>
    <mergeCell ref="AE192:AH192"/>
    <mergeCell ref="AI192:AM192"/>
    <mergeCell ref="AN192:AR192"/>
    <mergeCell ref="AZ191:BC191"/>
    <mergeCell ref="BF191:BJ191"/>
    <mergeCell ref="BK191:BN191"/>
    <mergeCell ref="AU192:AY192"/>
    <mergeCell ref="AZ192:BC192"/>
    <mergeCell ref="BF192:BJ192"/>
    <mergeCell ref="BO192:BS192"/>
    <mergeCell ref="BT192:BX192"/>
    <mergeCell ref="BY192:CC192"/>
    <mergeCell ref="CF191:CJ191"/>
    <mergeCell ref="CK191:CO191"/>
    <mergeCell ref="CR191:CV191"/>
    <mergeCell ref="BO191:BS191"/>
    <mergeCell ref="BT191:BX191"/>
    <mergeCell ref="BY191:CC191"/>
    <mergeCell ref="CF192:CJ192"/>
    <mergeCell ref="CK192:CO192"/>
    <mergeCell ref="CR192:CV192"/>
    <mergeCell ref="DM3:DM5"/>
    <mergeCell ref="DL3:DL5"/>
    <mergeCell ref="DK3:DK5"/>
    <mergeCell ref="DI3:DJ4"/>
    <mergeCell ref="DG3:DH4"/>
    <mergeCell ref="DG51:DH52"/>
    <mergeCell ref="CY148:DB148"/>
    <mergeCell ref="DC148:DD148"/>
    <mergeCell ref="DG147:DH148"/>
    <mergeCell ref="DI147:DJ148"/>
    <mergeCell ref="DK147:DK149"/>
    <mergeCell ref="DG145:DN145"/>
    <mergeCell ref="DL147:DL149"/>
    <mergeCell ref="DM147:DM149"/>
    <mergeCell ref="DL51:DL53"/>
    <mergeCell ref="DM51:DM53"/>
    <mergeCell ref="DG99:DH100"/>
    <mergeCell ref="DI99:DJ100"/>
    <mergeCell ref="DK99:DK101"/>
    <mergeCell ref="DL99:DL101"/>
    <mergeCell ref="DM99:DM101"/>
    <mergeCell ref="DG97:DN97"/>
    <mergeCell ref="CY143:DB143"/>
    <mergeCell ref="DC143:DF143"/>
  </mergeCells>
  <conditionalFormatting sqref="AC6:AC46 AS6:AS46 BK6:BK46 BD6:BD46 CW6:CW46 CD6:CD46 CP6:CP46 DC6:DC46 AC54:AC94 AS54:AS94 BK54:BK94 BD54:BD94 CW54:CW94 CD54:CD94 CP54:CP94 DC54:DC94 AC102:AC142 AS102:AS142 BK102:BK142 BD102:BD142 CW102:CW142 CD102:CD142 CP102:CP142 DC102:DC142 AC150:AC190 AS150:AS190 BK150:BK190 BD150:BD190 CW150:CW190 CD150:CD190 CP150:CP190 DC150:DC190">
    <cfRule type="cellIs" dxfId="126" priority="936" operator="greaterThanOrEqual">
      <formula>10</formula>
    </cfRule>
  </conditionalFormatting>
  <conditionalFormatting sqref="DG6:DG46 DI6:DI46 DG54:DG94 DI54:DI94 DG102:DG142 DI102:DI142 DG150:DG190 DI150:DI190 BM6:BM46 DE6:DE46 BM54:BM94 DE54:DE94 BM102:BM142 DE102:DE142 BM150:BM190 DE150:DE190">
    <cfRule type="cellIs" dxfId="125" priority="935" operator="greaterThanOrEqual">
      <formula>10</formula>
    </cfRule>
  </conditionalFormatting>
  <conditionalFormatting sqref="AD7:AD46 CQ7:CQ46 CE7:CE46 DC6:DD46 CX6:CY46 AE150:AF190 AE6:AE46 AD55:AD94 CQ55:CQ94 CE55:CE94 DC54:DD94 CX54:CZ94 BA102:BA142 AE54:AF94 AD103:AD142 CQ103:CQ142 CE103:CE142 DC102:DD142 CX102:CZ142 BA54:BA94 AE102:AF142 AD151:AD190 CQ151:CQ190 CE151:CE190 DC150:DD190 CX150:CZ190 BA150:BA190">
    <cfRule type="cellIs" dxfId="124" priority="934" operator="equal">
      <formula>18</formula>
    </cfRule>
  </conditionalFormatting>
  <conditionalFormatting sqref="DJ6:DJ46 DH6:DH46 DJ54:DJ94 DH54:DH94 DJ102:DJ142 DH102:DH142 DJ150:DJ190 DH150:DH190 BN6:BN46 DF6:DF46 BN54:BN94 DF54:DF94 BN102:BN142 DF102:DF142 BN150:BN190 DF150:DF190">
    <cfRule type="cellIs" dxfId="123" priority="933" operator="equal">
      <formula>30</formula>
    </cfRule>
  </conditionalFormatting>
  <conditionalFormatting sqref="AT7:AT46 AT103:AT142 AT151:AT190 AT55:AT94">
    <cfRule type="cellIs" dxfId="122" priority="932" operator="equal">
      <formula>9</formula>
    </cfRule>
  </conditionalFormatting>
  <conditionalFormatting sqref="BE7:BE46 DD6:DD46 BE55:BE94 DD54:DD94 BE103:BE142 DD102:DD142 BE151:BE190 DD150:DD190">
    <cfRule type="cellIs" dxfId="121" priority="931" operator="equal">
      <formula>2</formula>
    </cfRule>
  </conditionalFormatting>
  <conditionalFormatting sqref="DQ6:DQ46 CQ7:CQ46 CE7:CE46 DQ54:DQ94 DQ102:DQ142 DQ150:DQ190 BL6:BL46 DC6:DD46 CX6:CY46 AE150:AF190 AE6:AE46 CQ55:CQ94 CE55:CE94 BL54:BL94 DC54:DD94 CX54:CZ94 BA102:BA142 AE54:AF94 CQ103:CQ142 CE103:CE142 BL102:BL142 DC102:DD142 CX102:CZ142 BA54:BA94 AE102:AF142 CQ151:CQ190 CE151:CE190 BL150:BL190 DC150:DD190 CX150:CZ190 BA150:BA190">
    <cfRule type="cellIs" dxfId="120" priority="930" operator="equal">
      <formula>1</formula>
    </cfRule>
  </conditionalFormatting>
  <conditionalFormatting sqref="CQ7:CQ46 DC6:DD46 CX6:CY46 CE6:CE46 AE150:AF190 AE6:AE46 CQ55:CQ94 DC54:DD94 CX54:CZ94 CE54:CE94 BA102:BA142 AE54:AF94 CQ103:CQ142 DC102:DD142 CX102:CZ142 CE102:CE142 BA54:BA94 AE102:AF142 CQ151:CQ190 DC150:DD190 CX150:CZ190 CE150:CE190 BA150:BA190">
    <cfRule type="cellIs" dxfId="119" priority="929" operator="equal">
      <formula>16</formula>
    </cfRule>
  </conditionalFormatting>
  <conditionalFormatting sqref="CQ7:CQ46 DC6:DD46 CX6:CY46 AE150:AF190 AE6:AE46 CQ55:CQ94 DC54:DD94 CX54:CZ94 BA102:BA142 AE54:AF94 CQ103:CQ142 DC102:DD142 CX102:CZ142 BA54:BA94 AE102:AF142 CQ151:CQ190 DC150:DD190 CX150:CZ190 BA150:BA190">
    <cfRule type="cellIs" dxfId="118" priority="928" operator="equal">
      <formula>11</formula>
    </cfRule>
  </conditionalFormatting>
  <conditionalFormatting sqref="BE7:BE46 DC6:DD46 CX6:CY46 AE150:AF190 AE6:AE46 BE55:BE94 DC54:DD94 CX54:CZ94 BA102:BA142 AE54:AF94 BE103:BE142 DC102:DD142 CX102:CZ142 BA54:BA94 AE102:AF142 BE151:BE190 DC150:DD190 CX150:CZ190 BA150:BA190">
    <cfRule type="cellIs" dxfId="117" priority="927" operator="equal">
      <formula>3</formula>
    </cfRule>
  </conditionalFormatting>
  <conditionalFormatting sqref="E54:G94 E102:G142 E150:G190 E6:G46">
    <cfRule type="containsBlanks" dxfId="116" priority="926">
      <formula>LEN(TRIM(E6))=0</formula>
    </cfRule>
  </conditionalFormatting>
  <conditionalFormatting sqref="DL6:DL46 DL54:DL94 M54:M94 DL102:DL142 M102:M142 DL150:DL190 M150:M190 M6:M46">
    <cfRule type="cellIs" dxfId="115" priority="925" operator="equal">
      <formula>60</formula>
    </cfRule>
  </conditionalFormatting>
  <conditionalFormatting sqref="DN55:DN94 DN103:DN142 DN151:DN190 DN7:DN46">
    <cfRule type="containsText" dxfId="114" priority="924" operator="containsText" text="1">
      <formula>NOT(ISERROR(SEARCH("1",DN7)))</formula>
    </cfRule>
  </conditionalFormatting>
  <conditionalFormatting sqref="DN55:DN94 DN103:DN142 DN151:DN190 DN7:DN46">
    <cfRule type="containsText" dxfId="113" priority="922" operator="containsText" text="الدورة1">
      <formula>NOT(ISERROR(SEARCH("الدورة1",DN7)))</formula>
    </cfRule>
    <cfRule type="containsText" dxfId="112" priority="923" operator="containsText" text="ديون مسواة دورة1">
      <formula>NOT(ISERROR(SEARCH("ديون مسواة دورة1",DN7)))</formula>
    </cfRule>
  </conditionalFormatting>
  <conditionalFormatting sqref="DN55:DN94 DN103:DN142 DN151:DN190 DN7:DN46">
    <cfRule type="containsText" dxfId="111" priority="921" operator="containsText" text="ديون مسواة دورة2">
      <formula>NOT(ISERROR(SEARCH("ديون مسواة دورة2",DN7)))</formula>
    </cfRule>
  </conditionalFormatting>
  <conditionalFormatting sqref="AD6:AD46 AD54:AD94 AD102:AD142 AD150:AD190">
    <cfRule type="cellIs" dxfId="110" priority="920" operator="equal">
      <formula>17</formula>
    </cfRule>
  </conditionalFormatting>
  <conditionalFormatting sqref="DM6:DM46 DM54:DM94 DM102:DM142 DM150:DM190">
    <cfRule type="cellIs" dxfId="109" priority="919" operator="equal">
      <formula>120</formula>
    </cfRule>
  </conditionalFormatting>
  <conditionalFormatting sqref="L54:L94 L102:L142 L150:L190 L6:L46">
    <cfRule type="cellIs" dxfId="108" priority="918" operator="greaterThanOrEqual">
      <formula>10</formula>
    </cfRule>
  </conditionalFormatting>
  <conditionalFormatting sqref="CE7:CE46 CE55:CE94 CE103:CE142 CE151:CE190">
    <cfRule type="cellIs" dxfId="107" priority="917" operator="equal">
      <formula>20</formula>
    </cfRule>
  </conditionalFormatting>
  <conditionalFormatting sqref="CQ7:CQ46 BE6:BE46 CQ55:CQ94 BE54:BE94 CQ103:CQ142 BE102:BE142 CQ151:CQ190 BE150:BE190">
    <cfRule type="cellIs" dxfId="106" priority="916" operator="equal">
      <formula>5</formula>
    </cfRule>
  </conditionalFormatting>
  <conditionalFormatting sqref="DK6:DK46 DK54:DK94 DK102:DK142 DK150:DK190">
    <cfRule type="cellIs" dxfId="105" priority="915" operator="greaterThanOrEqual">
      <formula>10</formula>
    </cfRule>
  </conditionalFormatting>
  <conditionalFormatting sqref="A6:A46">
    <cfRule type="duplicateValues" dxfId="104" priority="914"/>
  </conditionalFormatting>
  <conditionalFormatting sqref="AT6:AT46 AT102:AT142 AT150:AT190 AT54:AT94">
    <cfRule type="cellIs" dxfId="103" priority="913" operator="equal">
      <formula>7</formula>
    </cfRule>
  </conditionalFormatting>
  <conditionalFormatting sqref="CQ6:CQ46 CQ54:CQ94 CQ102:CQ142 CQ150:CQ190">
    <cfRule type="cellIs" dxfId="102" priority="909" operator="equal">
      <formula>10</formula>
    </cfRule>
  </conditionalFormatting>
  <conditionalFormatting sqref="DN54:DN94 DN102:DN142 DN150:DN190 DN6:DN46">
    <cfRule type="containsText" dxfId="101" priority="896" operator="containsText" text="راسب">
      <formula>NOT(ISERROR(SEARCH("راسب",DN6)))</formula>
    </cfRule>
    <cfRule type="containsText" dxfId="100" priority="897" operator="containsText" text="بتأخير">
      <formula>NOT(ISERROR(SEARCH("بتأخير",DN6)))</formula>
    </cfRule>
    <cfRule type="containsText" dxfId="99" priority="898" operator="containsText" text="2">
      <formula>NOT(ISERROR(SEARCH("2",DN6)))</formula>
    </cfRule>
  </conditionalFormatting>
  <conditionalFormatting sqref="A54:A94">
    <cfRule type="duplicateValues" dxfId="98" priority="873"/>
  </conditionalFormatting>
  <conditionalFormatting sqref="A102:A142">
    <cfRule type="duplicateValues" dxfId="97" priority="832"/>
  </conditionalFormatting>
  <conditionalFormatting sqref="A150:A190">
    <cfRule type="duplicateValues" dxfId="96" priority="791"/>
  </conditionalFormatting>
  <conditionalFormatting sqref="A54">
    <cfRule type="duplicateValues" dxfId="95" priority="697"/>
  </conditionalFormatting>
  <conditionalFormatting sqref="A102">
    <cfRule type="duplicateValues" dxfId="94" priority="603"/>
  </conditionalFormatting>
  <conditionalFormatting sqref="A150">
    <cfRule type="duplicateValues" dxfId="93" priority="509"/>
  </conditionalFormatting>
  <conditionalFormatting sqref="E6:G6">
    <cfRule type="containsBlanks" dxfId="92" priority="93">
      <formula>LEN(TRIM(E6))=0</formula>
    </cfRule>
  </conditionalFormatting>
  <conditionalFormatting sqref="E6:F42">
    <cfRule type="containsBlanks" dxfId="91" priority="92">
      <formula>LEN(TRIM(E6))=0</formula>
    </cfRule>
  </conditionalFormatting>
  <conditionalFormatting sqref="G6:G42">
    <cfRule type="containsBlanks" dxfId="90" priority="91">
      <formula>LEN(TRIM(G6))=0</formula>
    </cfRule>
  </conditionalFormatting>
  <conditionalFormatting sqref="E54:F88">
    <cfRule type="containsBlanks" dxfId="89" priority="90">
      <formula>LEN(TRIM(E54))=0</formula>
    </cfRule>
  </conditionalFormatting>
  <conditionalFormatting sqref="G54:G88">
    <cfRule type="containsBlanks" dxfId="88" priority="89">
      <formula>LEN(TRIM(G54))=0</formula>
    </cfRule>
  </conditionalFormatting>
  <conditionalFormatting sqref="E102:F131">
    <cfRule type="containsBlanks" dxfId="87" priority="88">
      <formula>LEN(TRIM(E102))=0</formula>
    </cfRule>
  </conditionalFormatting>
  <conditionalFormatting sqref="G102:G130">
    <cfRule type="containsBlanks" dxfId="86" priority="87">
      <formula>LEN(TRIM(G102))=0</formula>
    </cfRule>
  </conditionalFormatting>
  <conditionalFormatting sqref="G102:G131">
    <cfRule type="containsBlanks" dxfId="85" priority="86">
      <formula>LEN(TRIM(G102))=0</formula>
    </cfRule>
  </conditionalFormatting>
  <conditionalFormatting sqref="E150:F178">
    <cfRule type="containsBlanks" dxfId="84" priority="85">
      <formula>LEN(TRIM(E150))=0</formula>
    </cfRule>
  </conditionalFormatting>
  <conditionalFormatting sqref="G150:G178">
    <cfRule type="containsBlanks" dxfId="83" priority="84">
      <formula>LEN(TRIM(G150))=0</formula>
    </cfRule>
  </conditionalFormatting>
  <conditionalFormatting sqref="AE150:AE186">
    <cfRule type="cellIs" dxfId="82" priority="83" operator="equal">
      <formula>18</formula>
    </cfRule>
  </conditionalFormatting>
  <conditionalFormatting sqref="AE150:AE186">
    <cfRule type="cellIs" dxfId="81" priority="82" operator="equal">
      <formula>1</formula>
    </cfRule>
  </conditionalFormatting>
  <conditionalFormatting sqref="AE150:AE186">
    <cfRule type="cellIs" dxfId="80" priority="81" operator="equal">
      <formula>16</formula>
    </cfRule>
  </conditionalFormatting>
  <conditionalFormatting sqref="AE150:AE186">
    <cfRule type="cellIs" dxfId="79" priority="80" operator="equal">
      <formula>11</formula>
    </cfRule>
  </conditionalFormatting>
  <conditionalFormatting sqref="AE150:AE186">
    <cfRule type="cellIs" dxfId="78" priority="79" operator="equal">
      <formula>3</formula>
    </cfRule>
  </conditionalFormatting>
  <conditionalFormatting sqref="AE150:AE186">
    <cfRule type="cellIs" dxfId="77" priority="78" operator="equal">
      <formula>18</formula>
    </cfRule>
  </conditionalFormatting>
  <conditionalFormatting sqref="AE150:AE186">
    <cfRule type="cellIs" dxfId="76" priority="77" operator="equal">
      <formula>1</formula>
    </cfRule>
  </conditionalFormatting>
  <conditionalFormatting sqref="AE150:AE186">
    <cfRule type="cellIs" dxfId="75" priority="76" operator="equal">
      <formula>16</formula>
    </cfRule>
  </conditionalFormatting>
  <conditionalFormatting sqref="AE150:AE186">
    <cfRule type="cellIs" dxfId="74" priority="75" operator="equal">
      <formula>11</formula>
    </cfRule>
  </conditionalFormatting>
  <conditionalFormatting sqref="AE150:AE186">
    <cfRule type="cellIs" dxfId="73" priority="74" operator="equal">
      <formula>3</formula>
    </cfRule>
  </conditionalFormatting>
  <conditionalFormatting sqref="AE6:AE42">
    <cfRule type="cellIs" dxfId="72" priority="73" operator="equal">
      <formula>18</formula>
    </cfRule>
  </conditionalFormatting>
  <conditionalFormatting sqref="AE6:AE42">
    <cfRule type="cellIs" dxfId="71" priority="72" operator="equal">
      <formula>1</formula>
    </cfRule>
  </conditionalFormatting>
  <conditionalFormatting sqref="AE6:AE42">
    <cfRule type="cellIs" dxfId="70" priority="71" operator="equal">
      <formula>16</formula>
    </cfRule>
  </conditionalFormatting>
  <conditionalFormatting sqref="AE6:AE42">
    <cfRule type="cellIs" dxfId="69" priority="70" operator="equal">
      <formula>11</formula>
    </cfRule>
  </conditionalFormatting>
  <conditionalFormatting sqref="AE6:AE42">
    <cfRule type="cellIs" dxfId="68" priority="69" operator="equal">
      <formula>3</formula>
    </cfRule>
  </conditionalFormatting>
  <conditionalFormatting sqref="AE54:AE88">
    <cfRule type="cellIs" dxfId="67" priority="68" operator="equal">
      <formula>18</formula>
    </cfRule>
  </conditionalFormatting>
  <conditionalFormatting sqref="AE54:AE88">
    <cfRule type="cellIs" dxfId="66" priority="67" operator="equal">
      <formula>1</formula>
    </cfRule>
  </conditionalFormatting>
  <conditionalFormatting sqref="AE54:AE88">
    <cfRule type="cellIs" dxfId="65" priority="66" operator="equal">
      <formula>16</formula>
    </cfRule>
  </conditionalFormatting>
  <conditionalFormatting sqref="AE54:AE88">
    <cfRule type="cellIs" dxfId="64" priority="65" operator="equal">
      <formula>11</formula>
    </cfRule>
  </conditionalFormatting>
  <conditionalFormatting sqref="AE54:AE88">
    <cfRule type="cellIs" dxfId="63" priority="64" operator="equal">
      <formula>3</formula>
    </cfRule>
  </conditionalFormatting>
  <conditionalFormatting sqref="AE102:AE131">
    <cfRule type="cellIs" dxfId="62" priority="63" operator="equal">
      <formula>18</formula>
    </cfRule>
  </conditionalFormatting>
  <conditionalFormatting sqref="AE102:AE131">
    <cfRule type="cellIs" dxfId="61" priority="62" operator="equal">
      <formula>1</formula>
    </cfRule>
  </conditionalFormatting>
  <conditionalFormatting sqref="AE102:AE131">
    <cfRule type="cellIs" dxfId="60" priority="61" operator="equal">
      <formula>16</formula>
    </cfRule>
  </conditionalFormatting>
  <conditionalFormatting sqref="AE102:AE131">
    <cfRule type="cellIs" dxfId="59" priority="60" operator="equal">
      <formula>11</formula>
    </cfRule>
  </conditionalFormatting>
  <conditionalFormatting sqref="AE102:AE131">
    <cfRule type="cellIs" dxfId="58" priority="59" operator="equal">
      <formula>3</formula>
    </cfRule>
  </conditionalFormatting>
  <conditionalFormatting sqref="AZ54:AZ88">
    <cfRule type="cellIs" dxfId="57" priority="58" operator="equal">
      <formula>18</formula>
    </cfRule>
  </conditionalFormatting>
  <conditionalFormatting sqref="AZ54:AZ88">
    <cfRule type="cellIs" dxfId="56" priority="57" operator="equal">
      <formula>1</formula>
    </cfRule>
  </conditionalFormatting>
  <conditionalFormatting sqref="AZ54:AZ88">
    <cfRule type="cellIs" dxfId="55" priority="56" operator="equal">
      <formula>16</formula>
    </cfRule>
  </conditionalFormatting>
  <conditionalFormatting sqref="AZ54:AZ88">
    <cfRule type="cellIs" dxfId="54" priority="55" operator="equal">
      <formula>11</formula>
    </cfRule>
  </conditionalFormatting>
  <conditionalFormatting sqref="AZ54:AZ88">
    <cfRule type="cellIs" dxfId="53" priority="54" operator="equal">
      <formula>3</formula>
    </cfRule>
  </conditionalFormatting>
  <conditionalFormatting sqref="AZ102:AZ131">
    <cfRule type="cellIs" dxfId="52" priority="53" operator="equal">
      <formula>18</formula>
    </cfRule>
  </conditionalFormatting>
  <conditionalFormatting sqref="AZ102:AZ131">
    <cfRule type="cellIs" dxfId="51" priority="52" operator="equal">
      <formula>1</formula>
    </cfRule>
  </conditionalFormatting>
  <conditionalFormatting sqref="AZ102:AZ131">
    <cfRule type="cellIs" dxfId="50" priority="51" operator="equal">
      <formula>16</formula>
    </cfRule>
  </conditionalFormatting>
  <conditionalFormatting sqref="AZ102:AZ131">
    <cfRule type="cellIs" dxfId="49" priority="50" operator="equal">
      <formula>11</formula>
    </cfRule>
  </conditionalFormatting>
  <conditionalFormatting sqref="AZ102:AZ131">
    <cfRule type="cellIs" dxfId="48" priority="49" operator="equal">
      <formula>3</formula>
    </cfRule>
  </conditionalFormatting>
  <conditionalFormatting sqref="AZ150:AZ178">
    <cfRule type="cellIs" dxfId="47" priority="48" operator="equal">
      <formula>18</formula>
    </cfRule>
  </conditionalFormatting>
  <conditionalFormatting sqref="AZ150:AZ178">
    <cfRule type="cellIs" dxfId="46" priority="47" operator="equal">
      <formula>1</formula>
    </cfRule>
  </conditionalFormatting>
  <conditionalFormatting sqref="AZ150:AZ178">
    <cfRule type="cellIs" dxfId="45" priority="46" operator="equal">
      <formula>16</formula>
    </cfRule>
  </conditionalFormatting>
  <conditionalFormatting sqref="AZ150:AZ178">
    <cfRule type="cellIs" dxfId="44" priority="45" operator="equal">
      <formula>11</formula>
    </cfRule>
  </conditionalFormatting>
  <conditionalFormatting sqref="AZ150:AZ178">
    <cfRule type="cellIs" dxfId="43" priority="44" operator="equal">
      <formula>3</formula>
    </cfRule>
  </conditionalFormatting>
  <conditionalFormatting sqref="E126">
    <cfRule type="containsBlanks" dxfId="42" priority="43">
      <formula>LEN(TRIM(E126))=0</formula>
    </cfRule>
  </conditionalFormatting>
  <conditionalFormatting sqref="F126">
    <cfRule type="containsBlanks" dxfId="41" priority="42">
      <formula>LEN(TRIM(F126))=0</formula>
    </cfRule>
  </conditionalFormatting>
  <conditionalFormatting sqref="AE150:AE178">
    <cfRule type="cellIs" dxfId="40" priority="41" operator="equal">
      <formula>18</formula>
    </cfRule>
  </conditionalFormatting>
  <conditionalFormatting sqref="AE150:AE178">
    <cfRule type="cellIs" dxfId="39" priority="40" operator="equal">
      <formula>1</formula>
    </cfRule>
  </conditionalFormatting>
  <conditionalFormatting sqref="AE150:AE178">
    <cfRule type="cellIs" dxfId="38" priority="39" operator="equal">
      <formula>16</formula>
    </cfRule>
  </conditionalFormatting>
  <conditionalFormatting sqref="AE150:AE178">
    <cfRule type="cellIs" dxfId="37" priority="38" operator="equal">
      <formula>11</formula>
    </cfRule>
  </conditionalFormatting>
  <conditionalFormatting sqref="AE150:AE178">
    <cfRule type="cellIs" dxfId="36" priority="37" operator="equal">
      <formula>3</formula>
    </cfRule>
  </conditionalFormatting>
  <conditionalFormatting sqref="E6:G42">
    <cfRule type="containsBlanks" dxfId="35" priority="36">
      <formula>LEN(TRIM(E6))=0</formula>
    </cfRule>
  </conditionalFormatting>
  <conditionalFormatting sqref="E6:G6">
    <cfRule type="containsBlanks" dxfId="34" priority="35">
      <formula>LEN(TRIM(E6))=0</formula>
    </cfRule>
  </conditionalFormatting>
  <conditionalFormatting sqref="E6:F42">
    <cfRule type="containsBlanks" dxfId="33" priority="34">
      <formula>LEN(TRIM(E6))=0</formula>
    </cfRule>
  </conditionalFormatting>
  <conditionalFormatting sqref="G6:G42">
    <cfRule type="containsBlanks" dxfId="32" priority="33">
      <formula>LEN(TRIM(G6))=0</formula>
    </cfRule>
  </conditionalFormatting>
  <conditionalFormatting sqref="M6:M42">
    <cfRule type="cellIs" dxfId="31" priority="32" operator="equal">
      <formula>60</formula>
    </cfRule>
  </conditionalFormatting>
  <conditionalFormatting sqref="L6:L42">
    <cfRule type="cellIs" dxfId="30" priority="31" operator="greaterThanOrEqual">
      <formula>10</formula>
    </cfRule>
  </conditionalFormatting>
  <conditionalFormatting sqref="AC6:AC46 AS6:AS46 BK6:BK46 BD6:BD46 CW6:CW46 CD6:CD46 CP6:CP46 DC6:DC46">
    <cfRule type="cellIs" dxfId="29" priority="30" operator="greaterThanOrEqual">
      <formula>10</formula>
    </cfRule>
  </conditionalFormatting>
  <conditionalFormatting sqref="DG6:DG46 DI6:DI46 BM6:BM46 DE6:DE46">
    <cfRule type="cellIs" dxfId="28" priority="29" operator="greaterThanOrEqual">
      <formula>10</formula>
    </cfRule>
  </conditionalFormatting>
  <conditionalFormatting sqref="AD7:AD46 CQ7:CQ46 CE7:CE46 DC6:DD46 CX6:CY46 AE6:AE46">
    <cfRule type="cellIs" dxfId="27" priority="28" operator="equal">
      <formula>18</formula>
    </cfRule>
  </conditionalFormatting>
  <conditionalFormatting sqref="DJ6:DJ46 DH6:DH46 BN6:BN46 DF6:DF46">
    <cfRule type="cellIs" dxfId="26" priority="27" operator="equal">
      <formula>30</formula>
    </cfRule>
  </conditionalFormatting>
  <conditionalFormatting sqref="AT7:AT46">
    <cfRule type="cellIs" dxfId="25" priority="26" operator="equal">
      <formula>9</formula>
    </cfRule>
  </conditionalFormatting>
  <conditionalFormatting sqref="BE7:BE46 DD6:DD46">
    <cfRule type="cellIs" dxfId="24" priority="25" operator="equal">
      <formula>2</formula>
    </cfRule>
  </conditionalFormatting>
  <conditionalFormatting sqref="CQ7:CQ46 CE7:CE46 BL6:BL46 DC6:DD46 CX6:CY46 AE6:AE46">
    <cfRule type="cellIs" dxfId="23" priority="24" operator="equal">
      <formula>1</formula>
    </cfRule>
  </conditionalFormatting>
  <conditionalFormatting sqref="CQ7:CQ46 DC6:DD46 CX6:CY46 CE6:CE46 AE6:AE46">
    <cfRule type="cellIs" dxfId="22" priority="23" operator="equal">
      <formula>16</formula>
    </cfRule>
  </conditionalFormatting>
  <conditionalFormatting sqref="CQ7:CQ46 DC6:DD46 CX6:CY46 AE6:AE46">
    <cfRule type="cellIs" dxfId="21" priority="22" operator="equal">
      <formula>11</formula>
    </cfRule>
  </conditionalFormatting>
  <conditionalFormatting sqref="BE7:BE46 DC6:DD46 CX6:CY46 AE6:AE46">
    <cfRule type="cellIs" dxfId="20" priority="21" operator="equal">
      <formula>3</formula>
    </cfRule>
  </conditionalFormatting>
  <conditionalFormatting sqref="DL6:DL46">
    <cfRule type="cellIs" dxfId="19" priority="20" operator="equal">
      <formula>60</formula>
    </cfRule>
  </conditionalFormatting>
  <conditionalFormatting sqref="DN7:DN46">
    <cfRule type="containsText" dxfId="18" priority="19" operator="containsText" text="1">
      <formula>NOT(ISERROR(SEARCH("1",DN7)))</formula>
    </cfRule>
  </conditionalFormatting>
  <conditionalFormatting sqref="DN7:DN46">
    <cfRule type="containsText" dxfId="17" priority="17" operator="containsText" text="الدورة1">
      <formula>NOT(ISERROR(SEARCH("الدورة1",DN7)))</formula>
    </cfRule>
    <cfRule type="containsText" dxfId="16" priority="18" operator="containsText" text="ديون مسواة دورة1">
      <formula>NOT(ISERROR(SEARCH("ديون مسواة دورة1",DN7)))</formula>
    </cfRule>
  </conditionalFormatting>
  <conditionalFormatting sqref="DN7:DN46">
    <cfRule type="containsText" dxfId="15" priority="16" operator="containsText" text="ديون مسواة دورة2">
      <formula>NOT(ISERROR(SEARCH("ديون مسواة دورة2",DN7)))</formula>
    </cfRule>
  </conditionalFormatting>
  <conditionalFormatting sqref="AD6:AD46">
    <cfRule type="cellIs" dxfId="14" priority="15" operator="equal">
      <formula>17</formula>
    </cfRule>
  </conditionalFormatting>
  <conditionalFormatting sqref="DM6:DM46">
    <cfRule type="cellIs" dxfId="13" priority="14" operator="equal">
      <formula>120</formula>
    </cfRule>
  </conditionalFormatting>
  <conditionalFormatting sqref="CE7:CE46">
    <cfRule type="cellIs" dxfId="12" priority="13" operator="equal">
      <formula>20</formula>
    </cfRule>
  </conditionalFormatting>
  <conditionalFormatting sqref="CQ7:CQ46 BE6:BE46">
    <cfRule type="cellIs" dxfId="11" priority="12" operator="equal">
      <formula>5</formula>
    </cfRule>
  </conditionalFormatting>
  <conditionalFormatting sqref="DK6:DK46">
    <cfRule type="cellIs" dxfId="10" priority="11" operator="greaterThanOrEqual">
      <formula>10</formula>
    </cfRule>
  </conditionalFormatting>
  <conditionalFormatting sqref="AT6:AT46">
    <cfRule type="cellIs" dxfId="9" priority="10" operator="equal">
      <formula>7</formula>
    </cfRule>
  </conditionalFormatting>
  <conditionalFormatting sqref="CQ6:CQ46">
    <cfRule type="cellIs" dxfId="8" priority="9" operator="equal">
      <formula>10</formula>
    </cfRule>
  </conditionalFormatting>
  <conditionalFormatting sqref="DN6:DN46">
    <cfRule type="containsText" dxfId="7" priority="6" operator="containsText" text="راسب">
      <formula>NOT(ISERROR(SEARCH("راسب",DN6)))</formula>
    </cfRule>
    <cfRule type="containsText" dxfId="6" priority="7" operator="containsText" text="بتأخير">
      <formula>NOT(ISERROR(SEARCH("بتأخير",DN6)))</formula>
    </cfRule>
    <cfRule type="containsText" dxfId="5" priority="8" operator="containsText" text="2">
      <formula>NOT(ISERROR(SEARCH("2",DN6)))</formula>
    </cfRule>
  </conditionalFormatting>
  <conditionalFormatting sqref="AE6:AE42">
    <cfRule type="cellIs" dxfId="4" priority="5" operator="equal">
      <formula>18</formula>
    </cfRule>
  </conditionalFormatting>
  <conditionalFormatting sqref="AE6:AE42">
    <cfRule type="cellIs" dxfId="3" priority="4" operator="equal">
      <formula>1</formula>
    </cfRule>
  </conditionalFormatting>
  <conditionalFormatting sqref="AE6:AE42">
    <cfRule type="cellIs" dxfId="2" priority="3" operator="equal">
      <formula>16</formula>
    </cfRule>
  </conditionalFormatting>
  <conditionalFormatting sqref="AE6:AE42">
    <cfRule type="cellIs" dxfId="1" priority="2" operator="equal">
      <formula>11</formula>
    </cfRule>
  </conditionalFormatting>
  <conditionalFormatting sqref="AE6:AE42">
    <cfRule type="cellIs" dxfId="0" priority="1" operator="equal">
      <formula>3</formula>
    </cfRule>
  </conditionalFormatting>
  <printOptions horizontalCentered="1"/>
  <pageMargins left="0" right="0" top="0.78740157480314965" bottom="0" header="0" footer="0"/>
  <pageSetup paperSize="9" scale="36" orientation="landscape" r:id="rId1"/>
  <headerFooter>
    <oddHeader>&amp;C&amp;"-,Gras"&amp;20جامعة باجي مختار-عنابة
كلية العلوم الإقتصادية وعلوم التسيير
قسم علوم المالية</oddHeader>
  </headerFooter>
  <rowBreaks count="3" manualBreakCount="3">
    <brk id="48" max="117" man="1"/>
    <brk id="96" max="117" man="1"/>
    <brk id="144" max="117" man="1"/>
  </rowBreaks>
  <colBreaks count="1" manualBreakCount="1">
    <brk id="1" max="1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0"/>
  <sheetViews>
    <sheetView showGridLines="0" rightToLeft="1" view="pageBreakPreview" topLeftCell="A10" zoomScale="85" zoomScaleSheetLayoutView="85" workbookViewId="0">
      <selection activeCell="M5" sqref="M5"/>
    </sheetView>
  </sheetViews>
  <sheetFormatPr baseColWidth="10" defaultRowHeight="15"/>
  <cols>
    <col min="1" max="1" width="9.140625" customWidth="1"/>
    <col min="2" max="2" width="10" customWidth="1"/>
    <col min="3" max="3" width="16.42578125" customWidth="1"/>
    <col min="4" max="5" width="9.5703125" customWidth="1"/>
    <col min="6" max="6" width="22.28515625" customWidth="1"/>
    <col min="7" max="8" width="8.7109375" customWidth="1"/>
    <col min="9" max="10" width="9.5703125" customWidth="1"/>
    <col min="11" max="11" width="16.28515625" customWidth="1"/>
    <col min="12" max="12" width="7.5703125" customWidth="1"/>
    <col min="13" max="13" width="5.28515625" customWidth="1"/>
    <col min="14" max="14" width="14.85546875" customWidth="1"/>
    <col min="15" max="15" width="14.28515625" customWidth="1"/>
  </cols>
  <sheetData>
    <row r="1" spans="1:18" ht="23.25" customHeight="1" thickBo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445" t="s">
        <v>13</v>
      </c>
      <c r="M1" s="445"/>
      <c r="N1" s="445"/>
      <c r="O1" s="445"/>
      <c r="P1" s="2"/>
      <c r="Q1" s="2"/>
      <c r="R1" s="2"/>
    </row>
    <row r="2" spans="1:18" ht="15.75">
      <c r="A2" s="446" t="s">
        <v>14</v>
      </c>
      <c r="B2" s="446"/>
      <c r="C2" s="446"/>
      <c r="D2" s="446"/>
      <c r="E2" s="446"/>
      <c r="F2" s="3"/>
      <c r="H2" s="4"/>
      <c r="K2" s="4"/>
      <c r="L2" s="4"/>
    </row>
    <row r="3" spans="1:18" ht="15.75">
      <c r="A3" s="85" t="s">
        <v>15</v>
      </c>
      <c r="B3" s="85"/>
      <c r="C3" s="85"/>
      <c r="D3" s="85"/>
      <c r="E3" s="85"/>
      <c r="F3" s="5"/>
      <c r="H3" s="4"/>
      <c r="K3" s="4"/>
      <c r="L3" s="4"/>
      <c r="P3" s="6"/>
    </row>
    <row r="4" spans="1:18" ht="15.75">
      <c r="A4" s="85" t="s">
        <v>100</v>
      </c>
      <c r="B4" s="85"/>
      <c r="C4" s="85"/>
      <c r="D4" s="85"/>
      <c r="E4" s="85"/>
      <c r="F4" s="3"/>
      <c r="H4" s="4"/>
      <c r="K4" s="4"/>
      <c r="L4" s="4"/>
    </row>
    <row r="5" spans="1:18" s="8" customFormat="1" ht="27" customHeight="1">
      <c r="A5" s="7"/>
      <c r="B5" s="7"/>
      <c r="C5" s="7"/>
      <c r="D5" s="447" t="s">
        <v>94</v>
      </c>
      <c r="E5" s="447"/>
      <c r="F5" s="447"/>
      <c r="G5" s="447"/>
      <c r="H5" s="447"/>
      <c r="I5" s="447"/>
      <c r="J5" s="447"/>
      <c r="K5" s="447"/>
      <c r="L5" s="447"/>
      <c r="M5" s="7"/>
      <c r="N5" s="7"/>
      <c r="O5" s="7"/>
    </row>
    <row r="6" spans="1:18" ht="23.25" customHeight="1">
      <c r="A6" s="126" t="s">
        <v>101</v>
      </c>
      <c r="B6" s="126"/>
      <c r="C6" s="126"/>
      <c r="D6" s="126"/>
      <c r="E6" s="126"/>
      <c r="F6" s="126"/>
      <c r="G6" s="122"/>
      <c r="H6" s="122"/>
      <c r="I6" s="122" t="e">
        <f>IF(D31="ناجح(ة) دورة1","-الدورة الأولى-","-الدورة الثانية-")</f>
        <v>#N/A</v>
      </c>
      <c r="J6" s="124" t="s">
        <v>48</v>
      </c>
      <c r="K6" s="124"/>
      <c r="L6" s="87"/>
      <c r="M6" s="88"/>
      <c r="N6" s="89"/>
      <c r="O6" s="9"/>
    </row>
    <row r="7" spans="1:18" ht="20.25" customHeight="1">
      <c r="A7" s="476" t="s">
        <v>93</v>
      </c>
      <c r="B7" s="476"/>
      <c r="C7" s="90" t="e">
        <f>INDEX(Commerce_session2!A6:DN806,MATCH("a",Commerce_session2!A6:A806,0),3)</f>
        <v>#N/A</v>
      </c>
      <c r="D7" s="91" t="s">
        <v>92</v>
      </c>
      <c r="E7" s="448" t="e">
        <f>INDEX(Commerce_session2!A6:DN806,MATCH("a",Commerce_session2!A6:A806,0),4)</f>
        <v>#N/A</v>
      </c>
      <c r="F7" s="448" t="e">
        <f>INDEX(Commerce_session1!D6:DA178,MATCH("a",Commerce_session1!D6:D178,0),3)</f>
        <v>#N/A</v>
      </c>
      <c r="G7" s="477" t="s">
        <v>16</v>
      </c>
      <c r="H7" s="477"/>
      <c r="I7" s="477"/>
      <c r="J7" s="478" t="e">
        <f>INDEX(Commerce_session2!A6:DN806,MATCH("a",Commerce_session2!A6:A806,0),6)</f>
        <v>#N/A</v>
      </c>
      <c r="K7" s="478"/>
      <c r="L7" s="88"/>
      <c r="M7" s="92" t="s">
        <v>17</v>
      </c>
      <c r="N7" s="90" t="e">
        <f>INDEX(Commerce_session2!A6:DN806,MATCH("a",Commerce_session2!A6:A806,0),7)</f>
        <v>#N/A</v>
      </c>
      <c r="O7" s="10"/>
    </row>
    <row r="8" spans="1:18" ht="20.25" customHeight="1">
      <c r="A8" s="476" t="s">
        <v>18</v>
      </c>
      <c r="B8" s="476"/>
      <c r="C8" s="448" t="e">
        <f>INDEX(Commerce_session2!A6:DN806,MATCH("a",Commerce_session2!A6:A806,0),5)</f>
        <v>#N/A</v>
      </c>
      <c r="D8" s="448"/>
      <c r="E8" s="91"/>
      <c r="F8" s="88"/>
      <c r="G8" s="93"/>
      <c r="H8" s="88"/>
      <c r="I8" s="88"/>
      <c r="J8" s="93"/>
      <c r="K8" s="88"/>
      <c r="L8" s="88"/>
      <c r="M8" s="88"/>
      <c r="N8" s="88"/>
      <c r="O8" s="10"/>
    </row>
    <row r="9" spans="1:18" ht="20.25" customHeight="1">
      <c r="A9" s="476" t="s">
        <v>102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</row>
    <row r="10" spans="1:18" ht="20.25" customHeight="1" thickBot="1">
      <c r="A10" s="459" t="s">
        <v>19</v>
      </c>
      <c r="B10" s="459"/>
      <c r="C10" s="459"/>
      <c r="D10" s="459"/>
      <c r="E10" s="459"/>
      <c r="F10" s="459"/>
      <c r="G10" s="459"/>
      <c r="H10" s="94"/>
      <c r="I10" s="94"/>
      <c r="J10" s="95"/>
      <c r="K10" s="94"/>
      <c r="L10" s="94"/>
      <c r="M10" s="94"/>
      <c r="N10" s="94"/>
      <c r="O10" s="11"/>
    </row>
    <row r="11" spans="1:18" ht="18.75" thickBot="1">
      <c r="A11" s="460" t="s">
        <v>20</v>
      </c>
      <c r="B11" s="463" t="s">
        <v>21</v>
      </c>
      <c r="C11" s="464"/>
      <c r="D11" s="464"/>
      <c r="E11" s="464"/>
      <c r="F11" s="464" t="s">
        <v>22</v>
      </c>
      <c r="G11" s="464"/>
      <c r="H11" s="464"/>
      <c r="I11" s="465" t="s">
        <v>23</v>
      </c>
      <c r="J11" s="466"/>
      <c r="K11" s="466"/>
      <c r="L11" s="466"/>
      <c r="M11" s="466"/>
      <c r="N11" s="466"/>
      <c r="O11" s="467"/>
    </row>
    <row r="12" spans="1:18">
      <c r="A12" s="461"/>
      <c r="B12" s="468" t="s">
        <v>24</v>
      </c>
      <c r="C12" s="470" t="s">
        <v>25</v>
      </c>
      <c r="D12" s="472" t="s">
        <v>26</v>
      </c>
      <c r="E12" s="474" t="s">
        <v>27</v>
      </c>
      <c r="F12" s="479" t="s">
        <v>28</v>
      </c>
      <c r="G12" s="468" t="s">
        <v>11</v>
      </c>
      <c r="H12" s="481" t="s">
        <v>27</v>
      </c>
      <c r="I12" s="482" t="s">
        <v>29</v>
      </c>
      <c r="J12" s="483"/>
      <c r="K12" s="484" t="s">
        <v>30</v>
      </c>
      <c r="L12" s="485"/>
      <c r="M12" s="486"/>
      <c r="N12" s="455" t="s">
        <v>20</v>
      </c>
      <c r="O12" s="456"/>
    </row>
    <row r="13" spans="1:18" ht="15.75" thickBot="1">
      <c r="A13" s="462"/>
      <c r="B13" s="469"/>
      <c r="C13" s="471"/>
      <c r="D13" s="473"/>
      <c r="E13" s="475"/>
      <c r="F13" s="480"/>
      <c r="G13" s="469"/>
      <c r="H13" s="473"/>
      <c r="I13" s="106" t="s">
        <v>10</v>
      </c>
      <c r="J13" s="106" t="s">
        <v>31</v>
      </c>
      <c r="K13" s="106" t="s">
        <v>32</v>
      </c>
      <c r="L13" s="457" t="s">
        <v>33</v>
      </c>
      <c r="M13" s="458"/>
      <c r="N13" s="106" t="s">
        <v>34</v>
      </c>
      <c r="O13" s="107" t="s">
        <v>35</v>
      </c>
    </row>
    <row r="14" spans="1:18" ht="18.75" customHeight="1" thickBot="1">
      <c r="A14" s="549" t="s">
        <v>76</v>
      </c>
      <c r="B14" s="552" t="s">
        <v>36</v>
      </c>
      <c r="C14" s="555" t="s">
        <v>90</v>
      </c>
      <c r="D14" s="556">
        <v>17</v>
      </c>
      <c r="E14" s="449">
        <v>6</v>
      </c>
      <c r="F14" s="96" t="s">
        <v>54</v>
      </c>
      <c r="G14" s="70">
        <v>5</v>
      </c>
      <c r="H14" s="71">
        <v>2</v>
      </c>
      <c r="I14" s="12" t="e">
        <f>INDEX(Commerce_session2!A6:DN806,MATCH("a",Commerce_session2!A6:A806,0),17)</f>
        <v>#N/A</v>
      </c>
      <c r="J14" s="13" t="e">
        <f>INDEX(Commerce_session2!A6:DN806,MATCH("a",Commerce_session2!A6:A806,0),18)</f>
        <v>#N/A</v>
      </c>
      <c r="K14" s="452" t="e">
        <f>INDEX(Commerce_session2!A6:DN806,MATCH("a",Commerce_session2!A6:A806,0),29)</f>
        <v>#N/A</v>
      </c>
      <c r="L14" s="494" t="e">
        <f>INDEX(Commerce_session2!A6:DN806,MATCH("a",Commerce_session2!A6:A806,0),30)</f>
        <v>#N/A</v>
      </c>
      <c r="M14" s="495" t="e">
        <f>INDEX(Commerce_session1!D6:CZ44,MATCH("a",Commerce_session1!D6:D44,0),15)</f>
        <v>#N/A</v>
      </c>
      <c r="N14" s="498" t="e">
        <f>INDEX(Commerce_session2!A6:DN806,MATCH("a",Commerce_session2!A6:A806,0),111)</f>
        <v>#N/A</v>
      </c>
      <c r="O14" s="487" t="e">
        <f>INDEX(Commerce_session2!A6:DN806,MATCH("a",Commerce_session2!A6:A806,0),112)</f>
        <v>#N/A</v>
      </c>
    </row>
    <row r="15" spans="1:18" ht="18.75" customHeight="1" thickBot="1">
      <c r="A15" s="550"/>
      <c r="B15" s="553"/>
      <c r="C15" s="503"/>
      <c r="D15" s="557"/>
      <c r="E15" s="450"/>
      <c r="F15" s="97" t="s">
        <v>55</v>
      </c>
      <c r="G15" s="72">
        <v>6</v>
      </c>
      <c r="H15" s="73">
        <v>2</v>
      </c>
      <c r="I15" s="14" t="e">
        <f>INDEX(Commerce_session2!A6:DN806,MATCH("a",Commerce_session2!A6:A806,0),22)</f>
        <v>#N/A</v>
      </c>
      <c r="J15" s="15" t="e">
        <f>INDEX(Commerce_session2!A6:DN806,MATCH("a",Commerce_session2!A6:A806,0),23)</f>
        <v>#N/A</v>
      </c>
      <c r="K15" s="453" t="e">
        <f>INDEX(Commerce_session1!B6:CY44,MATCH("a",Commerce_session1!B6:B44,0),14)</f>
        <v>#N/A</v>
      </c>
      <c r="L15" s="496" t="e">
        <f>INDEX(Commerce_session1!D6:CZ44,MATCH("a",Commerce_session1!D6:D44,0),14)</f>
        <v>#N/A</v>
      </c>
      <c r="M15" s="497" t="e">
        <f>INDEX(Commerce_session1!E6:DA44,MATCH("a",Commerce_session1!E6:E44,0),14)</f>
        <v>#N/A</v>
      </c>
      <c r="N15" s="498" t="e">
        <f>INDEX(Commerce_session1!#REF!,MATCH("a",Commerce_session1!#REF!,0),62)</f>
        <v>#REF!</v>
      </c>
      <c r="O15" s="487" t="e">
        <f>INDEX(Commerce_session1!#REF!,MATCH("a",Commerce_session1!#REF!,0),62)</f>
        <v>#REF!</v>
      </c>
    </row>
    <row r="16" spans="1:18" ht="18.75" customHeight="1" thickBot="1">
      <c r="A16" s="550"/>
      <c r="B16" s="554"/>
      <c r="C16" s="504"/>
      <c r="D16" s="558"/>
      <c r="E16" s="451"/>
      <c r="F16" s="98" t="s">
        <v>56</v>
      </c>
      <c r="G16" s="74">
        <v>6</v>
      </c>
      <c r="H16" s="75">
        <v>2</v>
      </c>
      <c r="I16" s="16" t="e">
        <f>INDEX(Commerce_session2!A6:DN806,MATCH("a",Commerce_session2!A6:A806,0),27)</f>
        <v>#N/A</v>
      </c>
      <c r="J16" s="17" t="e">
        <f>INDEX(Commerce_session2!A6:DN806,MATCH("a",Commerce_session2!A6:A806,0),28)</f>
        <v>#N/A</v>
      </c>
      <c r="K16" s="454" t="e">
        <f>INDEX(Commerce_session1!B7:CY44,MATCH("a",Commerce_session1!B7:B44,0),14)</f>
        <v>#N/A</v>
      </c>
      <c r="L16" s="490" t="e">
        <f>INDEX(Commerce_session1!D7:CZ44,MATCH("a",Commerce_session1!D7:D44,0),14)</f>
        <v>#N/A</v>
      </c>
      <c r="M16" s="491" t="e">
        <f>INDEX(Commerce_session1!E7:DA44,MATCH("a",Commerce_session1!E7:E44,0),14)</f>
        <v>#N/A</v>
      </c>
      <c r="N16" s="498" t="e">
        <f>INDEX(Commerce_session1!#REF!,MATCH("a",Commerce_session1!#REF!,0),62)</f>
        <v>#REF!</v>
      </c>
      <c r="O16" s="487" t="e">
        <f>INDEX(Commerce_session1!#REF!,MATCH("a",Commerce_session1!#REF!,0),62)</f>
        <v>#REF!</v>
      </c>
    </row>
    <row r="17" spans="1:15" ht="19.5" customHeight="1" thickTop="1" thickBot="1">
      <c r="A17" s="550"/>
      <c r="B17" s="499" t="s">
        <v>37</v>
      </c>
      <c r="C17" s="502" t="s">
        <v>89</v>
      </c>
      <c r="D17" s="505">
        <v>7</v>
      </c>
      <c r="E17" s="508">
        <v>5</v>
      </c>
      <c r="F17" s="99" t="s">
        <v>83</v>
      </c>
      <c r="G17" s="76">
        <v>1</v>
      </c>
      <c r="H17" s="77">
        <v>1</v>
      </c>
      <c r="I17" s="18" t="e">
        <f>INDEX(Commerce_session2!A6:DN806,MATCH("a",Commerce_session2!A6:A806,0),33)</f>
        <v>#N/A</v>
      </c>
      <c r="J17" s="19" t="e">
        <f>INDEX(Commerce_session2!A6:DN806,MATCH("a",Commerce_session2!A6:A806,0),34)</f>
        <v>#N/A</v>
      </c>
      <c r="K17" s="509" t="e">
        <f>INDEX(Commerce_session2!A6:DN806,MATCH("a",Commerce_session2!A6:A806,0),45)</f>
        <v>#N/A</v>
      </c>
      <c r="L17" s="488" t="e">
        <f>INDEX(Commerce_session2!A6:DN806,MATCH("a",Commerce_session2!A6:A806,0),46)</f>
        <v>#N/A</v>
      </c>
      <c r="M17" s="489" t="e">
        <f>INDEX(Commerce_session1!D6:CZ44,MATCH("a",Commerce_session1!D6:D44,0),23)</f>
        <v>#N/A</v>
      </c>
      <c r="N17" s="498" t="e">
        <f>INDEX(Commerce_session1!#REF!,MATCH("a",Commerce_session1!#REF!,0),62)</f>
        <v>#REF!</v>
      </c>
      <c r="O17" s="487" t="e">
        <f>INDEX(Commerce_session1!#REF!,MATCH("a",Commerce_session1!#REF!,0),62)</f>
        <v>#REF!</v>
      </c>
    </row>
    <row r="18" spans="1:15" ht="18.75" customHeight="1" thickTop="1" thickBot="1">
      <c r="A18" s="550"/>
      <c r="B18" s="500"/>
      <c r="C18" s="503"/>
      <c r="D18" s="506"/>
      <c r="E18" s="450"/>
      <c r="F18" s="100" t="s">
        <v>99</v>
      </c>
      <c r="G18" s="78">
        <v>3</v>
      </c>
      <c r="H18" s="79">
        <v>2</v>
      </c>
      <c r="I18" s="18" t="e">
        <f>INDEX(Commerce_session2!A6:DN806,MATCH("a",Commerce_session2!A6:A806,0),38)</f>
        <v>#N/A</v>
      </c>
      <c r="J18" s="15" t="e">
        <f>INDEX(Commerce_session2!A6:DN806,MATCH("a",Commerce_session2!A6:A806,0),39)</f>
        <v>#N/A</v>
      </c>
      <c r="K18" s="510" t="e">
        <f>INDEX(Commerce_session1!B5:CY44,MATCH("a",Commerce_session1!B5:B44,0),22)</f>
        <v>#N/A</v>
      </c>
      <c r="L18" s="496" t="e">
        <f>INDEX(Commerce_session1!D5:CZ44,MATCH("a",Commerce_session1!D5:D44,0),22)</f>
        <v>#N/A</v>
      </c>
      <c r="M18" s="497" t="e">
        <f>INDEX(Commerce_session1!E5:DA44,MATCH("a",Commerce_session1!E5:E44,0),22)</f>
        <v>#N/A</v>
      </c>
      <c r="N18" s="498" t="e">
        <f>INDEX(Commerce_session1!#REF!,MATCH("a",Commerce_session1!#REF!,0),62)</f>
        <v>#REF!</v>
      </c>
      <c r="O18" s="487" t="e">
        <f>INDEX(Commerce_session1!#REF!,MATCH("a",Commerce_session1!#REF!,0),62)</f>
        <v>#REF!</v>
      </c>
    </row>
    <row r="19" spans="1:15" ht="18.75" customHeight="1" thickBot="1">
      <c r="A19" s="550"/>
      <c r="B19" s="501"/>
      <c r="C19" s="504"/>
      <c r="D19" s="507"/>
      <c r="E19" s="451"/>
      <c r="F19" s="101" t="s">
        <v>84</v>
      </c>
      <c r="G19" s="80">
        <v>3</v>
      </c>
      <c r="H19" s="81">
        <v>2</v>
      </c>
      <c r="I19" s="20" t="e">
        <f>INDEX(Commerce_session2!A6:DN806,MATCH("a",Commerce_session2!A6:A806,0),43)</f>
        <v>#N/A</v>
      </c>
      <c r="J19" s="17" t="e">
        <f>INDEX(Commerce_session2!A6:DN806,MATCH("a",Commerce_session2!A6:A806,0),44)</f>
        <v>#N/A</v>
      </c>
      <c r="K19" s="511" t="e">
        <f>INDEX(Commerce_session1!B6:CY44,MATCH("a",Commerce_session1!B6:B44,0),22)</f>
        <v>#N/A</v>
      </c>
      <c r="L19" s="490" t="e">
        <f>INDEX(Commerce_session1!D6:CZ44,MATCH("a",Commerce_session1!D6:D44,0),22)</f>
        <v>#N/A</v>
      </c>
      <c r="M19" s="491" t="e">
        <f>INDEX(Commerce_session1!E6:DA44,MATCH("a",Commerce_session1!E6:E44,0),22)</f>
        <v>#N/A</v>
      </c>
      <c r="N19" s="498" t="e">
        <f>INDEX(Commerce_session1!#REF!,MATCH("a",Commerce_session1!#REF!,0),62)</f>
        <v>#REF!</v>
      </c>
      <c r="O19" s="487" t="e">
        <f>INDEX(Commerce_session1!#REF!,MATCH("a",Commerce_session1!#REF!,0),62)</f>
        <v>#REF!</v>
      </c>
    </row>
    <row r="20" spans="1:15" ht="33.75" customHeight="1" thickTop="1" thickBot="1">
      <c r="A20" s="550"/>
      <c r="B20" s="531" t="s">
        <v>38</v>
      </c>
      <c r="C20" s="559" t="s">
        <v>50</v>
      </c>
      <c r="D20" s="520">
        <v>5</v>
      </c>
      <c r="E20" s="508">
        <v>2</v>
      </c>
      <c r="F20" s="102" t="s">
        <v>63</v>
      </c>
      <c r="G20" s="68">
        <v>4</v>
      </c>
      <c r="H20" s="69">
        <v>1</v>
      </c>
      <c r="I20" s="18" t="e">
        <f>INDEX(Commerce_session2!A6:DN806,MATCH("a",Commerce_session2!A6:A806,0),50)</f>
        <v>#N/A</v>
      </c>
      <c r="J20" s="19" t="e">
        <f>INDEX(Commerce_session2!A6:DN806,MATCH("a",Commerce_session2!A6:A806,0),51)</f>
        <v>#N/A</v>
      </c>
      <c r="K20" s="509" t="e">
        <f>INDEX(Commerce_session2!A6:DN806,MATCH("a",Commerce_session2!A6:A806,0),56)</f>
        <v>#N/A</v>
      </c>
      <c r="L20" s="488" t="e">
        <f>INDEX(Commerce_session2!A6:DN806,MATCH("a",Commerce_session2!A6:A806,0),57)</f>
        <v>#N/A</v>
      </c>
      <c r="M20" s="489" t="e">
        <f>INDEX(Commerce_session1!D6:CZ44,MATCH("a",Commerce_session1!D6:D44,0),29)</f>
        <v>#N/A</v>
      </c>
      <c r="N20" s="498" t="e">
        <f>INDEX(Commerce_session1!#REF!,MATCH("a",Commerce_session1!#REF!,0),62)</f>
        <v>#REF!</v>
      </c>
      <c r="O20" s="487" t="e">
        <f>INDEX(Commerce_session1!#REF!,MATCH("a",Commerce_session1!#REF!,0),62)</f>
        <v>#REF!</v>
      </c>
    </row>
    <row r="21" spans="1:15" ht="18.75" customHeight="1" thickBot="1">
      <c r="A21" s="550"/>
      <c r="B21" s="527"/>
      <c r="C21" s="524"/>
      <c r="D21" s="521"/>
      <c r="E21" s="451"/>
      <c r="F21" s="101" t="s">
        <v>62</v>
      </c>
      <c r="G21" s="80">
        <v>1</v>
      </c>
      <c r="H21" s="81">
        <v>1</v>
      </c>
      <c r="I21" s="16" t="e">
        <f>INDEX(Commerce_session2!A6:DN806,MATCH("a",Commerce_session2!A6:A806,0),54)</f>
        <v>#N/A</v>
      </c>
      <c r="J21" s="21" t="e">
        <f>INDEX(Commerce_session2!A6:DN806,MATCH("a",Commerce_session2!A6:A806,0),55)</f>
        <v>#N/A</v>
      </c>
      <c r="K21" s="511" t="e">
        <f>INDEX(Commerce_session1!B6:CY44,MATCH("a",Commerce_session1!B6:B44,0),28)</f>
        <v>#N/A</v>
      </c>
      <c r="L21" s="490" t="e">
        <f>INDEX(Commerce_session1!D6:CZ44,MATCH("a",Commerce_session1!D6:D44,0),28)</f>
        <v>#N/A</v>
      </c>
      <c r="M21" s="491" t="e">
        <f>INDEX(Commerce_session1!E6:DA44,MATCH("a",Commerce_session1!E6:E44,0),28)</f>
        <v>#N/A</v>
      </c>
      <c r="N21" s="498" t="e">
        <f>INDEX(Commerce_session1!#REF!,MATCH("a",Commerce_session1!#REF!,0),62)</f>
        <v>#REF!</v>
      </c>
      <c r="O21" s="487" t="e">
        <f>INDEX(Commerce_session1!#REF!,MATCH("a",Commerce_session1!#REF!,0),62)</f>
        <v>#REF!</v>
      </c>
    </row>
    <row r="22" spans="1:15" ht="20.25" customHeight="1" thickTop="1" thickBot="1">
      <c r="A22" s="551"/>
      <c r="B22" s="105" t="s">
        <v>39</v>
      </c>
      <c r="C22" s="104" t="s">
        <v>51</v>
      </c>
      <c r="D22" s="22">
        <v>1</v>
      </c>
      <c r="E22" s="23">
        <v>1</v>
      </c>
      <c r="F22" s="103" t="s">
        <v>64</v>
      </c>
      <c r="G22" s="82">
        <v>1</v>
      </c>
      <c r="H22" s="83">
        <v>1</v>
      </c>
      <c r="I22" s="20" t="e">
        <f>INDEX(Commerce_session2!A6:DN806,MATCH("a",Commerce_session2!A6:A806,0),61)</f>
        <v>#N/A</v>
      </c>
      <c r="J22" s="24" t="e">
        <f>INDEX(Commerce_session2!A6:DN806,MATCH("a",Commerce_session2!A6:A806,0),62)</f>
        <v>#N/A</v>
      </c>
      <c r="K22" s="36" t="e">
        <f>INDEX(Commerce_session2!A6:DN806,MATCH("a",Commerce_session2!A6:A806,0),63)</f>
        <v>#N/A</v>
      </c>
      <c r="L22" s="492" t="e">
        <f>INDEX(Commerce_session2!A6:DN806,MATCH("a",Commerce_session2!A6:A806,0),64)</f>
        <v>#N/A</v>
      </c>
      <c r="M22" s="493" t="e">
        <f>INDEX(Commerce_session1!D6:CZ44,MATCH("a",Commerce_session1!D6:D44,0),33)</f>
        <v>#N/A</v>
      </c>
      <c r="N22" s="498" t="e">
        <f>INDEX(Commerce_session1!#REF!,MATCH("a",Commerce_session1!#REF!,0),62)</f>
        <v>#REF!</v>
      </c>
      <c r="O22" s="487" t="e">
        <f>INDEX(Commerce_session1!#REF!,MATCH("a",Commerce_session1!#REF!,0),62)</f>
        <v>#REF!</v>
      </c>
    </row>
    <row r="23" spans="1:15" ht="19.5" customHeight="1" thickTop="1" thickBot="1">
      <c r="A23" s="516" t="s">
        <v>77</v>
      </c>
      <c r="B23" s="525" t="s">
        <v>36</v>
      </c>
      <c r="C23" s="522" t="s">
        <v>88</v>
      </c>
      <c r="D23" s="528">
        <v>16</v>
      </c>
      <c r="E23" s="449">
        <v>5</v>
      </c>
      <c r="F23" s="96" t="s">
        <v>67</v>
      </c>
      <c r="G23" s="114">
        <v>6</v>
      </c>
      <c r="H23" s="115">
        <v>2</v>
      </c>
      <c r="I23" s="18" t="e">
        <f>INDEX(Commerce_session2!A6:DN806,MATCH("a",Commerce_session2!A6:A806,0),70)</f>
        <v>#N/A</v>
      </c>
      <c r="J23" s="19" t="e">
        <f>INDEX(Commerce_session2!A6:DN806,MATCH("a",Commerce_session2!A6:A806,0),71)</f>
        <v>#N/A</v>
      </c>
      <c r="K23" s="519" t="e">
        <f>INDEX(Commerce_session2!A6:DN806,MATCH("a",Commerce_session2!A6:A806,0),82)</f>
        <v>#N/A</v>
      </c>
      <c r="L23" s="494" t="e">
        <f>INDEX(Commerce_session2!A6:DN806,MATCH("a",Commerce_session2!A6:A806,0),83)</f>
        <v>#N/A</v>
      </c>
      <c r="M23" s="495"/>
      <c r="N23" s="498" t="e">
        <f>INDEX(Commerce_session2!A6:DN806,MATCH("a",Commerce_session2!A6:A806,0),113)</f>
        <v>#N/A</v>
      </c>
      <c r="O23" s="487" t="e">
        <f>INDEX(Commerce_session2!A6:DN806,MATCH("a",Commerce_session2!A6:A806,0),114)</f>
        <v>#N/A</v>
      </c>
    </row>
    <row r="24" spans="1:15" ht="18.75" customHeight="1" thickBot="1">
      <c r="A24" s="517"/>
      <c r="B24" s="526"/>
      <c r="C24" s="523"/>
      <c r="D24" s="529"/>
      <c r="E24" s="450"/>
      <c r="F24" s="100" t="s">
        <v>68</v>
      </c>
      <c r="G24" s="116">
        <v>6</v>
      </c>
      <c r="H24" s="117">
        <v>2</v>
      </c>
      <c r="I24" s="14" t="e">
        <f>INDEX(Commerce_session2!A6:DN806,MATCH("a",Commerce_session2!A6:A806,0),75)</f>
        <v>#N/A</v>
      </c>
      <c r="J24" s="15" t="e">
        <f>INDEX(Commerce_session2!A6:DN806,MATCH("a",Commerce_session2!A6:A806,0),76)</f>
        <v>#N/A</v>
      </c>
      <c r="K24" s="510"/>
      <c r="L24" s="496"/>
      <c r="M24" s="497"/>
      <c r="N24" s="498" t="e">
        <f>INDEX(Commerce_session1!F6:DA44,MATCH("a",Commerce_session1!F6:F44,0),42)</f>
        <v>#N/A</v>
      </c>
      <c r="O24" s="487" t="e">
        <f>INDEX(Commerce_session1!G6:DA44,MATCH("a",Commerce_session1!G6:G44,0),42)</f>
        <v>#N/A</v>
      </c>
    </row>
    <row r="25" spans="1:15" ht="20.25" customHeight="1" thickBot="1">
      <c r="A25" s="517"/>
      <c r="B25" s="527"/>
      <c r="C25" s="524"/>
      <c r="D25" s="530"/>
      <c r="E25" s="451"/>
      <c r="F25" s="101" t="s">
        <v>103</v>
      </c>
      <c r="G25" s="118">
        <v>4</v>
      </c>
      <c r="H25" s="119">
        <v>1</v>
      </c>
      <c r="I25" s="127" t="e">
        <f>INDEX(Commerce_session2!A6:DN806,MATCH("a",Commerce_session2!A6:A806,0),80)</f>
        <v>#N/A</v>
      </c>
      <c r="J25" s="21" t="e">
        <f>INDEX(Commerce_session2!A6:DN806,MATCH("a",Commerce_session2!A6:A806,0),81)</f>
        <v>#N/A</v>
      </c>
      <c r="K25" s="511"/>
      <c r="L25" s="490"/>
      <c r="M25" s="491"/>
      <c r="N25" s="498" t="e">
        <f>INDEX(Commerce_session1!F7:DA44,MATCH("a",Commerce_session1!F7:F44,0),42)</f>
        <v>#N/A</v>
      </c>
      <c r="O25" s="487" t="e">
        <f>INDEX(Commerce_session1!G7:DA44,MATCH("a",Commerce_session1!G7:G44,0),42)</f>
        <v>#N/A</v>
      </c>
    </row>
    <row r="26" spans="1:15" ht="22.5" customHeight="1" thickTop="1" thickBot="1">
      <c r="A26" s="517"/>
      <c r="B26" s="531" t="s">
        <v>37</v>
      </c>
      <c r="C26" s="559" t="s">
        <v>87</v>
      </c>
      <c r="D26" s="532">
        <v>10</v>
      </c>
      <c r="E26" s="508">
        <v>4</v>
      </c>
      <c r="F26" s="128" t="s">
        <v>104</v>
      </c>
      <c r="G26" s="76">
        <v>5</v>
      </c>
      <c r="H26" s="77">
        <v>2</v>
      </c>
      <c r="I26" s="18" t="e">
        <f>INDEX(Commerce_session2!A6:DN806,MATCH("a",Commerce_session2!A6:A806,0),87)</f>
        <v>#N/A</v>
      </c>
      <c r="J26" s="19" t="e">
        <f>INDEX(Commerce_session2!A6:DN806,MATCH("a",Commerce_session2!A6:A806,0),88)</f>
        <v>#N/A</v>
      </c>
      <c r="K26" s="509" t="e">
        <f>INDEX(Commerce_session2!A6:DN806,MATCH("a",Commerce_session2!A6:A806,0),94)</f>
        <v>#N/A</v>
      </c>
      <c r="L26" s="488" t="e">
        <f>INDEX(Commerce_session2!A6:DN806,MATCH("a",Commerce_session2!A6:A806,0),95)</f>
        <v>#N/A</v>
      </c>
      <c r="M26" s="489"/>
      <c r="N26" s="498" t="e">
        <f>INDEX(Commerce_session1!E8:DA44,MATCH("a",Commerce_session1!E8:E44,0),43)</f>
        <v>#N/A</v>
      </c>
      <c r="O26" s="487" t="e">
        <f>INDEX(Commerce_session1!F8:DA44,MATCH("a",Commerce_session1!F8:F44,0),43)</f>
        <v>#N/A</v>
      </c>
    </row>
    <row r="27" spans="1:15" ht="18.75" customHeight="1" thickBot="1">
      <c r="A27" s="517"/>
      <c r="B27" s="527"/>
      <c r="C27" s="524"/>
      <c r="D27" s="530"/>
      <c r="E27" s="451"/>
      <c r="F27" s="98" t="s">
        <v>69</v>
      </c>
      <c r="G27" s="74">
        <v>5</v>
      </c>
      <c r="H27" s="75">
        <v>2</v>
      </c>
      <c r="I27" s="20" t="e">
        <f>INDEX(Commerce_session2!A6:DN806,MATCH("a",Commerce_session2!A6:A806,0),92)</f>
        <v>#N/A</v>
      </c>
      <c r="J27" s="17" t="e">
        <f>INDEX(Commerce_session2!A6:DN806,MATCH("a",Commerce_session2!A6:A806,0),93)</f>
        <v>#N/A</v>
      </c>
      <c r="K27" s="511"/>
      <c r="L27" s="490"/>
      <c r="M27" s="491"/>
      <c r="N27" s="498" t="e">
        <f>INDEX(Commerce_session1!F9:DA44,MATCH("a",Commerce_session1!F9:F44,0),42)</f>
        <v>#N/A</v>
      </c>
      <c r="O27" s="487" t="e">
        <f>INDEX(Commerce_session1!G9:DA44,MATCH("a",Commerce_session1!G9:G44,0),42)</f>
        <v>#N/A</v>
      </c>
    </row>
    <row r="28" spans="1:15" ht="18.75" customHeight="1" thickTop="1" thickBot="1">
      <c r="A28" s="517"/>
      <c r="B28" s="105" t="s">
        <v>38</v>
      </c>
      <c r="C28" s="104" t="s">
        <v>85</v>
      </c>
      <c r="D28" s="22">
        <v>3</v>
      </c>
      <c r="E28" s="23">
        <v>2</v>
      </c>
      <c r="F28" s="101" t="s">
        <v>74</v>
      </c>
      <c r="G28" s="74">
        <v>3</v>
      </c>
      <c r="H28" s="75">
        <v>2</v>
      </c>
      <c r="I28" s="20" t="e">
        <f>INDEX(Commerce_session2!A6:DN806,MATCH("a",Commerce_session2!A6:A806,0),99)</f>
        <v>#N/A</v>
      </c>
      <c r="J28" s="17" t="e">
        <f>INDEX(Commerce_session2!A6:DN806,MATCH("a",Commerce_session2!A6:A806,0),100)</f>
        <v>#N/A</v>
      </c>
      <c r="K28" s="125" t="e">
        <f>INDEX(Commerce_session2!A6:DN806,MATCH("a",Commerce_session2!A6:A806,0),101)</f>
        <v>#N/A</v>
      </c>
      <c r="L28" s="512" t="e">
        <f>INDEX(Commerce_session2!A6:DN806,MATCH("a",Commerce_session2!A6:A806,0),102)</f>
        <v>#N/A</v>
      </c>
      <c r="M28" s="513"/>
      <c r="N28" s="498" t="e">
        <f>INDEX(Commerce_session1!F11:DA44,MATCH("a",Commerce_session1!F11:F44,0),42)</f>
        <v>#N/A</v>
      </c>
      <c r="O28" s="487" t="e">
        <f>INDEX(Commerce_session1!G11:DA44,MATCH("a",Commerce_session1!G11:G44,0),42)</f>
        <v>#N/A</v>
      </c>
    </row>
    <row r="29" spans="1:15" ht="20.25" customHeight="1" thickTop="1" thickBot="1">
      <c r="A29" s="518"/>
      <c r="B29" s="105" t="s">
        <v>39</v>
      </c>
      <c r="C29" s="104" t="s">
        <v>86</v>
      </c>
      <c r="D29" s="22">
        <v>1</v>
      </c>
      <c r="E29" s="23">
        <v>1</v>
      </c>
      <c r="F29" s="103" t="s">
        <v>73</v>
      </c>
      <c r="G29" s="82">
        <v>1</v>
      </c>
      <c r="H29" s="83">
        <v>1</v>
      </c>
      <c r="I29" s="25" t="e">
        <f>INDEX(Commerce_session2!A6:DN806,MATCH("a",Commerce_session2!A6:A806,0),105)</f>
        <v>#N/A</v>
      </c>
      <c r="J29" s="26" t="e">
        <f>INDEX(Commerce_session2!A6:DN806,MATCH("a",Commerce_session2!A6:A806,0),106)</f>
        <v>#N/A</v>
      </c>
      <c r="K29" s="27" t="e">
        <f>INDEX(Commerce_session2!A6:DN806,MATCH("a",Commerce_session2!A6:A806,0),107)</f>
        <v>#N/A</v>
      </c>
      <c r="L29" s="514" t="e">
        <f>INDEX(Commerce_session2!A6:DN806,MATCH("a",Commerce_session2!A6:A806,0),108)</f>
        <v>#N/A</v>
      </c>
      <c r="M29" s="515" t="e">
        <f>INDEX(Commerce_session1!D6:CZ44,MATCH("a",Commerce_session1!D6:D44,0),61)</f>
        <v>#N/A</v>
      </c>
      <c r="N29" s="498" t="e">
        <f>INDEX(Commerce_session1!F12:DA44,MATCH("a",Commerce_session1!F12:F44,0),42)</f>
        <v>#N/A</v>
      </c>
      <c r="O29" s="487" t="e">
        <f>INDEX(Commerce_session1!G12:DA44,MATCH("a",Commerce_session1!G12:G44,0),42)</f>
        <v>#N/A</v>
      </c>
    </row>
    <row r="30" spans="1:15" ht="20.25">
      <c r="A30" s="535" t="s">
        <v>40</v>
      </c>
      <c r="B30" s="536"/>
      <c r="C30" s="537"/>
      <c r="D30" s="121" t="e">
        <f>INDEX(Commerce_session2!A6:DN806,MATCH("a",Commerce_session2!A6:A806,0),115)</f>
        <v>#N/A</v>
      </c>
      <c r="E30" s="538" t="s">
        <v>41</v>
      </c>
      <c r="F30" s="540"/>
      <c r="G30" s="120" t="e">
        <f>INDEX(Commerce_session2!A6:DN806,MATCH("a",Commerce_session2!A6:A806,0),116)</f>
        <v>#N/A</v>
      </c>
      <c r="H30" s="538" t="s">
        <v>91</v>
      </c>
      <c r="I30" s="539"/>
      <c r="J30" s="539"/>
      <c r="K30" s="540"/>
      <c r="L30" s="541" t="e">
        <f>INDEX(Commerce_session2!A6:DN806,MATCH("a",Commerce_session2!A6:A806,0),117)</f>
        <v>#N/A</v>
      </c>
      <c r="M30" s="542"/>
      <c r="N30" s="8"/>
      <c r="O30" s="8"/>
    </row>
    <row r="31" spans="1:15" ht="22.5">
      <c r="A31" s="546" t="s">
        <v>42</v>
      </c>
      <c r="B31" s="547"/>
      <c r="C31" s="548"/>
      <c r="D31" s="543" t="e">
        <f>INDEX(Commerce_session2!A6:DN806,MATCH("a",Commerce_session2!A6:A806,0),118)</f>
        <v>#N/A</v>
      </c>
      <c r="E31" s="544"/>
      <c r="F31" s="545"/>
      <c r="G31" s="108"/>
      <c r="H31" s="109"/>
      <c r="I31" s="110"/>
      <c r="J31" s="111"/>
      <c r="K31" s="110"/>
      <c r="L31" s="110"/>
      <c r="M31" s="110"/>
      <c r="N31" s="112" t="s">
        <v>43</v>
      </c>
      <c r="O31" s="28">
        <f ca="1">TODAY()</f>
        <v>43626</v>
      </c>
    </row>
    <row r="32" spans="1:15" ht="32.25" customHeight="1">
      <c r="A32" s="113" t="s">
        <v>44</v>
      </c>
      <c r="B32" s="29"/>
      <c r="C32" s="29"/>
      <c r="D32" s="533"/>
      <c r="E32" s="533"/>
      <c r="F32" s="30"/>
      <c r="G32" s="4"/>
      <c r="J32" s="4"/>
      <c r="L32" s="534" t="s">
        <v>46</v>
      </c>
      <c r="M32" s="534"/>
      <c r="N32" s="534"/>
    </row>
    <row r="33" spans="1:18" ht="23.25" customHeight="1" thickBot="1">
      <c r="A33" s="84" t="s">
        <v>12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445" t="s">
        <v>13</v>
      </c>
      <c r="M33" s="445"/>
      <c r="N33" s="445"/>
      <c r="O33" s="445"/>
      <c r="P33" s="2"/>
      <c r="Q33" s="2"/>
      <c r="R33" s="2"/>
    </row>
    <row r="34" spans="1:18" ht="15.75">
      <c r="A34" s="446" t="s">
        <v>14</v>
      </c>
      <c r="B34" s="446"/>
      <c r="C34" s="446"/>
      <c r="D34" s="446"/>
      <c r="E34" s="446"/>
      <c r="F34" s="3"/>
      <c r="H34" s="4"/>
      <c r="K34" s="4"/>
      <c r="L34" s="4"/>
    </row>
    <row r="35" spans="1:18" ht="15.75">
      <c r="A35" s="85" t="s">
        <v>15</v>
      </c>
      <c r="B35" s="85"/>
      <c r="C35" s="85"/>
      <c r="D35" s="85"/>
      <c r="E35" s="85"/>
      <c r="F35" s="5"/>
      <c r="H35" s="4"/>
      <c r="K35" s="4"/>
      <c r="L35" s="4"/>
      <c r="P35" s="6"/>
    </row>
    <row r="36" spans="1:18" ht="15.75">
      <c r="A36" s="85" t="s">
        <v>100</v>
      </c>
      <c r="B36" s="85"/>
      <c r="C36" s="85"/>
      <c r="D36" s="85"/>
      <c r="E36" s="85"/>
      <c r="F36" s="3"/>
      <c r="H36" s="4"/>
      <c r="K36" s="4"/>
      <c r="L36" s="4"/>
    </row>
    <row r="37" spans="1:18" s="8" customFormat="1" ht="27" customHeight="1">
      <c r="A37" s="7"/>
      <c r="B37" s="7"/>
      <c r="C37" s="7"/>
      <c r="D37" s="447" t="s">
        <v>94</v>
      </c>
      <c r="E37" s="447"/>
      <c r="F37" s="447"/>
      <c r="G37" s="447"/>
      <c r="H37" s="447"/>
      <c r="I37" s="447"/>
      <c r="J37" s="447"/>
      <c r="K37" s="447"/>
      <c r="L37" s="447"/>
      <c r="M37" s="7"/>
      <c r="N37" s="7"/>
      <c r="O37" s="7"/>
    </row>
    <row r="38" spans="1:18" ht="23.25" customHeight="1">
      <c r="A38" s="126" t="s">
        <v>101</v>
      </c>
      <c r="B38" s="126"/>
      <c r="C38" s="126"/>
      <c r="D38" s="126"/>
      <c r="E38" s="126"/>
      <c r="F38" s="126"/>
      <c r="G38" s="122"/>
      <c r="H38" s="122"/>
      <c r="I38" s="122" t="e">
        <f>IF(D63="ناجح(ة) دورة1","-الدورة الأولى-","-الدورة الثانية-")</f>
        <v>#N/A</v>
      </c>
      <c r="J38" s="124" t="s">
        <v>48</v>
      </c>
      <c r="K38" s="124"/>
      <c r="L38" s="87"/>
      <c r="M38" s="88"/>
      <c r="N38" s="89"/>
      <c r="O38" s="9"/>
    </row>
    <row r="39" spans="1:18" ht="20.25" customHeight="1">
      <c r="A39" s="476" t="s">
        <v>93</v>
      </c>
      <c r="B39" s="476"/>
      <c r="C39" s="90" t="e">
        <f>INDEX(Commerce_session2!A6:DN806,MATCH("B",Commerce_session2!A6:A806,0),3)</f>
        <v>#N/A</v>
      </c>
      <c r="D39" s="91" t="s">
        <v>92</v>
      </c>
      <c r="E39" s="448" t="e">
        <f>INDEX(Commerce_session2!A6:DN806,MATCH("B",Commerce_session2!A6:A806,0),4)</f>
        <v>#N/A</v>
      </c>
      <c r="F39" s="448" t="e">
        <f>INDEX(Commerce_session1!D36:DA210,MATCH("a",Commerce_session1!D36:D210,0),3)</f>
        <v>#N/A</v>
      </c>
      <c r="G39" s="477" t="s">
        <v>16</v>
      </c>
      <c r="H39" s="477"/>
      <c r="I39" s="477"/>
      <c r="J39" s="478" t="e">
        <f>INDEX(Commerce_session2!A6:DN806,MATCH("B",Commerce_session2!A6:A806,0),6)</f>
        <v>#N/A</v>
      </c>
      <c r="K39" s="478"/>
      <c r="L39" s="88"/>
      <c r="M39" s="92" t="s">
        <v>17</v>
      </c>
      <c r="N39" s="90" t="e">
        <f>INDEX(Commerce_session2!A6:DN806,MATCH("B",Commerce_session2!A6:A806,0),7)</f>
        <v>#N/A</v>
      </c>
      <c r="O39" s="10"/>
    </row>
    <row r="40" spans="1:18" ht="20.25" customHeight="1">
      <c r="A40" s="476" t="s">
        <v>18</v>
      </c>
      <c r="B40" s="476"/>
      <c r="C40" s="448" t="e">
        <f>INDEX(Commerce_session2!A6:DN806,MATCH("B",Commerce_session2!A6:A806,0),5)</f>
        <v>#N/A</v>
      </c>
      <c r="D40" s="448"/>
      <c r="E40" s="91"/>
      <c r="F40" s="88"/>
      <c r="G40" s="93"/>
      <c r="H40" s="88"/>
      <c r="I40" s="88"/>
      <c r="J40" s="93"/>
      <c r="K40" s="88"/>
      <c r="L40" s="88"/>
      <c r="M40" s="88"/>
      <c r="N40" s="88"/>
      <c r="O40" s="10"/>
    </row>
    <row r="41" spans="1:18" ht="20.25" customHeight="1">
      <c r="A41" s="476" t="s">
        <v>102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</row>
    <row r="42" spans="1:18" ht="20.25" customHeight="1" thickBot="1">
      <c r="A42" s="459" t="s">
        <v>19</v>
      </c>
      <c r="B42" s="459"/>
      <c r="C42" s="459"/>
      <c r="D42" s="459"/>
      <c r="E42" s="459"/>
      <c r="F42" s="459"/>
      <c r="G42" s="459"/>
      <c r="H42" s="94"/>
      <c r="I42" s="94"/>
      <c r="J42" s="95"/>
      <c r="K42" s="94"/>
      <c r="L42" s="94"/>
      <c r="M42" s="94"/>
      <c r="N42" s="94"/>
      <c r="O42" s="11"/>
    </row>
    <row r="43" spans="1:18" ht="18.75" thickBot="1">
      <c r="A43" s="460" t="s">
        <v>20</v>
      </c>
      <c r="B43" s="463" t="s">
        <v>21</v>
      </c>
      <c r="C43" s="464"/>
      <c r="D43" s="464"/>
      <c r="E43" s="464"/>
      <c r="F43" s="464" t="s">
        <v>22</v>
      </c>
      <c r="G43" s="464"/>
      <c r="H43" s="464"/>
      <c r="I43" s="465" t="s">
        <v>23</v>
      </c>
      <c r="J43" s="466"/>
      <c r="K43" s="466"/>
      <c r="L43" s="466"/>
      <c r="M43" s="466"/>
      <c r="N43" s="466"/>
      <c r="O43" s="467"/>
    </row>
    <row r="44" spans="1:18">
      <c r="A44" s="461"/>
      <c r="B44" s="468" t="s">
        <v>24</v>
      </c>
      <c r="C44" s="470" t="s">
        <v>25</v>
      </c>
      <c r="D44" s="472" t="s">
        <v>26</v>
      </c>
      <c r="E44" s="474" t="s">
        <v>27</v>
      </c>
      <c r="F44" s="479" t="s">
        <v>28</v>
      </c>
      <c r="G44" s="468" t="s">
        <v>11</v>
      </c>
      <c r="H44" s="481" t="s">
        <v>27</v>
      </c>
      <c r="I44" s="482" t="s">
        <v>29</v>
      </c>
      <c r="J44" s="483"/>
      <c r="K44" s="484" t="s">
        <v>30</v>
      </c>
      <c r="L44" s="485"/>
      <c r="M44" s="486"/>
      <c r="N44" s="455" t="s">
        <v>20</v>
      </c>
      <c r="O44" s="456"/>
    </row>
    <row r="45" spans="1:18" ht="15.75" thickBot="1">
      <c r="A45" s="462"/>
      <c r="B45" s="469"/>
      <c r="C45" s="471"/>
      <c r="D45" s="473"/>
      <c r="E45" s="475"/>
      <c r="F45" s="480"/>
      <c r="G45" s="469"/>
      <c r="H45" s="473"/>
      <c r="I45" s="106" t="s">
        <v>10</v>
      </c>
      <c r="J45" s="106" t="s">
        <v>31</v>
      </c>
      <c r="K45" s="106" t="s">
        <v>32</v>
      </c>
      <c r="L45" s="457" t="s">
        <v>33</v>
      </c>
      <c r="M45" s="458"/>
      <c r="N45" s="106" t="s">
        <v>34</v>
      </c>
      <c r="O45" s="107" t="s">
        <v>35</v>
      </c>
    </row>
    <row r="46" spans="1:18" ht="18.75" customHeight="1" thickBot="1">
      <c r="A46" s="549" t="s">
        <v>76</v>
      </c>
      <c r="B46" s="552" t="s">
        <v>36</v>
      </c>
      <c r="C46" s="555" t="s">
        <v>90</v>
      </c>
      <c r="D46" s="556">
        <v>17</v>
      </c>
      <c r="E46" s="449">
        <v>6</v>
      </c>
      <c r="F46" s="96" t="s">
        <v>54</v>
      </c>
      <c r="G46" s="70">
        <v>5</v>
      </c>
      <c r="H46" s="71">
        <v>2</v>
      </c>
      <c r="I46" s="12" t="e">
        <f>INDEX(Commerce_session2!A6:DN806,MATCH("B",Commerce_session2!A6:A806,0),17)</f>
        <v>#N/A</v>
      </c>
      <c r="J46" s="13" t="e">
        <f>INDEX(Commerce_session2!A6:DN806,MATCH("B",Commerce_session2!A6:A806,0),18)</f>
        <v>#N/A</v>
      </c>
      <c r="K46" s="452" t="e">
        <f>INDEX(Commerce_session2!A6:DN806,MATCH("B",Commerce_session2!A6:A806,0),29)</f>
        <v>#N/A</v>
      </c>
      <c r="L46" s="494" t="e">
        <f>INDEX(Commerce_session2!A6:DN806,MATCH("B",Commerce_session2!A6:A806,0),30)</f>
        <v>#N/A</v>
      </c>
      <c r="M46" s="495" t="e">
        <f>INDEX(Commerce_session1!D36:CZ77,MATCH("a",Commerce_session1!D36:D77,0),15)</f>
        <v>#N/A</v>
      </c>
      <c r="N46" s="498" t="e">
        <f>INDEX(Commerce_session2!A6:DN806,MATCH("B",Commerce_session2!A6:A806,0),111)</f>
        <v>#N/A</v>
      </c>
      <c r="O46" s="487" t="e">
        <f>INDEX(Commerce_session2!A6:DN806,MATCH("B",Commerce_session2!A6:A806,0),112)</f>
        <v>#N/A</v>
      </c>
    </row>
    <row r="47" spans="1:18" ht="18.75" customHeight="1" thickBot="1">
      <c r="A47" s="550"/>
      <c r="B47" s="553"/>
      <c r="C47" s="503"/>
      <c r="D47" s="557"/>
      <c r="E47" s="450"/>
      <c r="F47" s="97" t="s">
        <v>55</v>
      </c>
      <c r="G47" s="72">
        <v>6</v>
      </c>
      <c r="H47" s="73">
        <v>2</v>
      </c>
      <c r="I47" s="14" t="e">
        <f>INDEX(Commerce_session2!A6:DN806,MATCH("B",Commerce_session2!A6:A806,0),22)</f>
        <v>#N/A</v>
      </c>
      <c r="J47" s="15" t="e">
        <f>INDEX(Commerce_session2!A6:DN806,MATCH("B",Commerce_session2!A6:A806,0),23)</f>
        <v>#N/A</v>
      </c>
      <c r="K47" s="453" t="e">
        <f>INDEX(Commerce_session1!B36:CY77,MATCH("a",Commerce_session1!B36:B77,0),14)</f>
        <v>#N/A</v>
      </c>
      <c r="L47" s="496" t="e">
        <f>INDEX(Commerce_session1!D36:CZ77,MATCH("a",Commerce_session1!D36:D77,0),14)</f>
        <v>#N/A</v>
      </c>
      <c r="M47" s="497" t="e">
        <f>INDEX(Commerce_session1!E36:DA77,MATCH("a",Commerce_session1!E36:E77,0),14)</f>
        <v>#N/A</v>
      </c>
      <c r="N47" s="498" t="e">
        <f>INDEX(Commerce_session1!#REF!,MATCH("a",Commerce_session1!#REF!,0),62)</f>
        <v>#REF!</v>
      </c>
      <c r="O47" s="487" t="e">
        <f>INDEX(Commerce_session1!#REF!,MATCH("a",Commerce_session1!#REF!,0),62)</f>
        <v>#REF!</v>
      </c>
    </row>
    <row r="48" spans="1:18" ht="18.75" customHeight="1" thickBot="1">
      <c r="A48" s="550"/>
      <c r="B48" s="554"/>
      <c r="C48" s="504"/>
      <c r="D48" s="558"/>
      <c r="E48" s="451"/>
      <c r="F48" s="98" t="s">
        <v>56</v>
      </c>
      <c r="G48" s="74">
        <v>6</v>
      </c>
      <c r="H48" s="75">
        <v>2</v>
      </c>
      <c r="I48" s="16" t="e">
        <f>INDEX(Commerce_session2!A6:DN806,MATCH("B",Commerce_session2!A6:A806,0),27)</f>
        <v>#N/A</v>
      </c>
      <c r="J48" s="17" t="e">
        <f>INDEX(Commerce_session2!A6:DN806,MATCH("B",Commerce_session2!A6:A806,0),28)</f>
        <v>#N/A</v>
      </c>
      <c r="K48" s="454" t="e">
        <f>INDEX(Commerce_session1!B43:CY77,MATCH("a",Commerce_session1!B43:B77,0),14)</f>
        <v>#N/A</v>
      </c>
      <c r="L48" s="490" t="e">
        <f>INDEX(Commerce_session1!D43:CZ77,MATCH("a",Commerce_session1!D40:D77,0),14)</f>
        <v>#N/A</v>
      </c>
      <c r="M48" s="491" t="e">
        <f>INDEX(Commerce_session1!E43:DA77,MATCH("a",Commerce_session1!E43:E77,0),14)</f>
        <v>#N/A</v>
      </c>
      <c r="N48" s="498" t="e">
        <f>INDEX(Commerce_session1!#REF!,MATCH("a",Commerce_session1!#REF!,0),62)</f>
        <v>#REF!</v>
      </c>
      <c r="O48" s="487" t="e">
        <f>INDEX(Commerce_session1!#REF!,MATCH("a",Commerce_session1!#REF!,0),62)</f>
        <v>#REF!</v>
      </c>
    </row>
    <row r="49" spans="1:15" ht="19.5" customHeight="1" thickTop="1" thickBot="1">
      <c r="A49" s="550"/>
      <c r="B49" s="499" t="s">
        <v>37</v>
      </c>
      <c r="C49" s="502" t="s">
        <v>89</v>
      </c>
      <c r="D49" s="505">
        <v>7</v>
      </c>
      <c r="E49" s="508">
        <v>5</v>
      </c>
      <c r="F49" s="99" t="s">
        <v>83</v>
      </c>
      <c r="G49" s="76">
        <v>1</v>
      </c>
      <c r="H49" s="77">
        <v>1</v>
      </c>
      <c r="I49" s="18" t="e">
        <f>INDEX(Commerce_session2!A6:DN806,MATCH("B",Commerce_session2!A6:A806,0),33)</f>
        <v>#N/A</v>
      </c>
      <c r="J49" s="19" t="e">
        <f>INDEX(Commerce_session2!A6:DN806,MATCH("B",Commerce_session2!A6:A806,0),34)</f>
        <v>#N/A</v>
      </c>
      <c r="K49" s="509" t="e">
        <f>INDEX(Commerce_session2!A6:DN806,MATCH("B",Commerce_session2!A6:A806,0),45)</f>
        <v>#N/A</v>
      </c>
      <c r="L49" s="488" t="e">
        <f>INDEX(Commerce_session2!A6:DN806,MATCH("B",Commerce_session2!A6:A806,0),46)</f>
        <v>#N/A</v>
      </c>
      <c r="M49" s="489" t="e">
        <f>INDEX(Commerce_session1!D36:CZ77,MATCH("a",Commerce_session1!D36:D77,0),23)</f>
        <v>#N/A</v>
      </c>
      <c r="N49" s="498" t="e">
        <f>INDEX(Commerce_session1!#REF!,MATCH("a",Commerce_session1!#REF!,0),62)</f>
        <v>#REF!</v>
      </c>
      <c r="O49" s="487" t="e">
        <f>INDEX(Commerce_session1!#REF!,MATCH("a",Commerce_session1!#REF!,0),62)</f>
        <v>#REF!</v>
      </c>
    </row>
    <row r="50" spans="1:15" ht="18.75" customHeight="1" thickTop="1" thickBot="1">
      <c r="A50" s="550"/>
      <c r="B50" s="500"/>
      <c r="C50" s="503"/>
      <c r="D50" s="506"/>
      <c r="E50" s="450"/>
      <c r="F50" s="100" t="s">
        <v>99</v>
      </c>
      <c r="G50" s="78">
        <v>3</v>
      </c>
      <c r="H50" s="79">
        <v>2</v>
      </c>
      <c r="I50" s="18" t="e">
        <f>INDEX(Commerce_session2!A6:DN806,MATCH("B",Commerce_session2!A6:A806,0),38)</f>
        <v>#N/A</v>
      </c>
      <c r="J50" s="15" t="e">
        <f>INDEX(Commerce_session2!A6:DN806,MATCH("B",Commerce_session2!A6:A806,0),39)</f>
        <v>#N/A</v>
      </c>
      <c r="K50" s="510" t="e">
        <f>INDEX(Commerce_session1!B35:CY77,MATCH("a",Commerce_session1!B35:B77,0),22)</f>
        <v>#N/A</v>
      </c>
      <c r="L50" s="496" t="e">
        <f>INDEX(Commerce_session1!D35:CZ77,MATCH("a",Commerce_session1!D35:D77,0),22)</f>
        <v>#N/A</v>
      </c>
      <c r="M50" s="497" t="e">
        <f>INDEX(Commerce_session1!E35:DA77,MATCH("a",Commerce_session1!E35:E77,0),22)</f>
        <v>#N/A</v>
      </c>
      <c r="N50" s="498" t="e">
        <f>INDEX(Commerce_session1!#REF!,MATCH("a",Commerce_session1!#REF!,0),62)</f>
        <v>#REF!</v>
      </c>
      <c r="O50" s="487" t="e">
        <f>INDEX(Commerce_session1!#REF!,MATCH("a",Commerce_session1!#REF!,0),62)</f>
        <v>#REF!</v>
      </c>
    </row>
    <row r="51" spans="1:15" ht="18.75" customHeight="1" thickBot="1">
      <c r="A51" s="550"/>
      <c r="B51" s="501"/>
      <c r="C51" s="504"/>
      <c r="D51" s="507"/>
      <c r="E51" s="451"/>
      <c r="F51" s="101" t="s">
        <v>84</v>
      </c>
      <c r="G51" s="80">
        <v>3</v>
      </c>
      <c r="H51" s="81">
        <v>2</v>
      </c>
      <c r="I51" s="20" t="e">
        <f>INDEX(Commerce_session2!A6:DN806,MATCH("B",Commerce_session2!A6:A806,0),43)</f>
        <v>#N/A</v>
      </c>
      <c r="J51" s="17" t="e">
        <f>INDEX(Commerce_session2!A6:DN806,MATCH("B",Commerce_session2!A6:A806,0),44)</f>
        <v>#N/A</v>
      </c>
      <c r="K51" s="511" t="e">
        <f>INDEX(Commerce_session1!B36:CY77,MATCH("a",Commerce_session1!B36:B77,0),22)</f>
        <v>#N/A</v>
      </c>
      <c r="L51" s="490" t="e">
        <f>INDEX(Commerce_session1!D36:CZ77,MATCH("a",Commerce_session1!D36:D77,0),22)</f>
        <v>#N/A</v>
      </c>
      <c r="M51" s="491" t="e">
        <f>INDEX(Commerce_session1!E36:DA77,MATCH("a",Commerce_session1!E36:E77,0),22)</f>
        <v>#N/A</v>
      </c>
      <c r="N51" s="498" t="e">
        <f>INDEX(Commerce_session1!#REF!,MATCH("a",Commerce_session1!#REF!,0),62)</f>
        <v>#REF!</v>
      </c>
      <c r="O51" s="487" t="e">
        <f>INDEX(Commerce_session1!#REF!,MATCH("a",Commerce_session1!#REF!,0),62)</f>
        <v>#REF!</v>
      </c>
    </row>
    <row r="52" spans="1:15" ht="33.75" customHeight="1" thickTop="1" thickBot="1">
      <c r="A52" s="550"/>
      <c r="B52" s="531" t="s">
        <v>38</v>
      </c>
      <c r="C52" s="559" t="s">
        <v>50</v>
      </c>
      <c r="D52" s="520">
        <v>5</v>
      </c>
      <c r="E52" s="508">
        <v>2</v>
      </c>
      <c r="F52" s="102" t="s">
        <v>63</v>
      </c>
      <c r="G52" s="68">
        <v>4</v>
      </c>
      <c r="H52" s="69">
        <v>1</v>
      </c>
      <c r="I52" s="18" t="e">
        <f>INDEX(Commerce_session2!A6:DN806,MATCH("B",Commerce_session2!A6:A806,0),50)</f>
        <v>#N/A</v>
      </c>
      <c r="J52" s="19" t="e">
        <f>INDEX(Commerce_session2!A6:DN806,MATCH("B",Commerce_session2!A6:A806,0),51)</f>
        <v>#N/A</v>
      </c>
      <c r="K52" s="509" t="e">
        <f>INDEX(Commerce_session2!A6:DN806,MATCH("B",Commerce_session2!A6:A806,0),56)</f>
        <v>#N/A</v>
      </c>
      <c r="L52" s="488" t="e">
        <f>INDEX(Commerce_session2!A6:DN806,MATCH("B",Commerce_session2!A6:A806,0),57)</f>
        <v>#N/A</v>
      </c>
      <c r="M52" s="489" t="e">
        <f>INDEX(Commerce_session1!D36:CZ77,MATCH("a",Commerce_session1!D36:D77,0),29)</f>
        <v>#N/A</v>
      </c>
      <c r="N52" s="498" t="e">
        <f>INDEX(Commerce_session1!#REF!,MATCH("a",Commerce_session1!#REF!,0),62)</f>
        <v>#REF!</v>
      </c>
      <c r="O52" s="487" t="e">
        <f>INDEX(Commerce_session1!#REF!,MATCH("a",Commerce_session1!#REF!,0),62)</f>
        <v>#REF!</v>
      </c>
    </row>
    <row r="53" spans="1:15" ht="18.75" customHeight="1" thickBot="1">
      <c r="A53" s="550"/>
      <c r="B53" s="527"/>
      <c r="C53" s="524"/>
      <c r="D53" s="521"/>
      <c r="E53" s="451"/>
      <c r="F53" s="101" t="s">
        <v>62</v>
      </c>
      <c r="G53" s="80">
        <v>1</v>
      </c>
      <c r="H53" s="81">
        <v>1</v>
      </c>
      <c r="I53" s="16" t="e">
        <f>INDEX(Commerce_session2!A6:DN806,MATCH("B",Commerce_session2!A6:A806,0),54)</f>
        <v>#N/A</v>
      </c>
      <c r="J53" s="21" t="e">
        <f>INDEX(Commerce_session2!A6:DN806,MATCH("B",Commerce_session2!A6:A806,0),55)</f>
        <v>#N/A</v>
      </c>
      <c r="K53" s="511" t="e">
        <f>INDEX(Commerce_session1!B36:CY77,MATCH("a",Commerce_session1!B36:B77,0),28)</f>
        <v>#N/A</v>
      </c>
      <c r="L53" s="490" t="e">
        <f>INDEX(Commerce_session1!D36:CZ77,MATCH("a",Commerce_session1!D36:D77,0),28)</f>
        <v>#N/A</v>
      </c>
      <c r="M53" s="491" t="e">
        <f>INDEX(Commerce_session1!E36:DA77,MATCH("a",Commerce_session1!E36:E77,0),28)</f>
        <v>#N/A</v>
      </c>
      <c r="N53" s="498" t="e">
        <f>INDEX(Commerce_session1!#REF!,MATCH("a",Commerce_session1!#REF!,0),62)</f>
        <v>#REF!</v>
      </c>
      <c r="O53" s="487" t="e">
        <f>INDEX(Commerce_session1!#REF!,MATCH("a",Commerce_session1!#REF!,0),62)</f>
        <v>#REF!</v>
      </c>
    </row>
    <row r="54" spans="1:15" ht="20.25" customHeight="1" thickTop="1" thickBot="1">
      <c r="A54" s="551"/>
      <c r="B54" s="105" t="s">
        <v>39</v>
      </c>
      <c r="C54" s="104" t="s">
        <v>51</v>
      </c>
      <c r="D54" s="22">
        <v>1</v>
      </c>
      <c r="E54" s="23">
        <v>1</v>
      </c>
      <c r="F54" s="103" t="s">
        <v>64</v>
      </c>
      <c r="G54" s="82">
        <v>1</v>
      </c>
      <c r="H54" s="83">
        <v>1</v>
      </c>
      <c r="I54" s="20" t="e">
        <f>INDEX(Commerce_session2!A6:DN806,MATCH("B",Commerce_session2!A6:A806,0),61)</f>
        <v>#N/A</v>
      </c>
      <c r="J54" s="24" t="e">
        <f>INDEX(Commerce_session2!A6:DN806,MATCH("B",Commerce_session2!A6:A806,0),62)</f>
        <v>#N/A</v>
      </c>
      <c r="K54" s="36" t="e">
        <f>INDEX(Commerce_session2!A6:DN806,MATCH("B",Commerce_session2!A6:A806,0),63)</f>
        <v>#N/A</v>
      </c>
      <c r="L54" s="492" t="e">
        <f>INDEX(Commerce_session2!A6:DN806,MATCH("B",Commerce_session2!A6:A806,0),64)</f>
        <v>#N/A</v>
      </c>
      <c r="M54" s="493" t="e">
        <f>INDEX(Commerce_session1!D36:CZ77,MATCH("a",Commerce_session1!D36:D77,0),33)</f>
        <v>#N/A</v>
      </c>
      <c r="N54" s="498" t="e">
        <f>INDEX(Commerce_session1!#REF!,MATCH("a",Commerce_session1!#REF!,0),62)</f>
        <v>#REF!</v>
      </c>
      <c r="O54" s="487" t="e">
        <f>INDEX(Commerce_session1!#REF!,MATCH("a",Commerce_session1!#REF!,0),62)</f>
        <v>#REF!</v>
      </c>
    </row>
    <row r="55" spans="1:15" ht="19.5" customHeight="1" thickTop="1" thickBot="1">
      <c r="A55" s="516" t="s">
        <v>77</v>
      </c>
      <c r="B55" s="525" t="s">
        <v>36</v>
      </c>
      <c r="C55" s="522" t="s">
        <v>88</v>
      </c>
      <c r="D55" s="528">
        <v>16</v>
      </c>
      <c r="E55" s="449">
        <v>5</v>
      </c>
      <c r="F55" s="96" t="s">
        <v>67</v>
      </c>
      <c r="G55" s="114">
        <v>6</v>
      </c>
      <c r="H55" s="115">
        <v>2</v>
      </c>
      <c r="I55" s="18" t="e">
        <f>INDEX(Commerce_session2!A6:DN806,MATCH("B",Commerce_session2!A6:A806,0),70)</f>
        <v>#N/A</v>
      </c>
      <c r="J55" s="19" t="e">
        <f>INDEX(Commerce_session2!A6:DN806,MATCH("B",Commerce_session2!A6:A806,0),71)</f>
        <v>#N/A</v>
      </c>
      <c r="K55" s="519" t="e">
        <f>INDEX(Commerce_session2!A6:DN806,MATCH("B",Commerce_session2!A6:A806,0),82)</f>
        <v>#N/A</v>
      </c>
      <c r="L55" s="494" t="e">
        <f>INDEX(Commerce_session2!A6:DN806,MATCH("B",Commerce_session2!A6:A806,0),83)</f>
        <v>#N/A</v>
      </c>
      <c r="M55" s="495"/>
      <c r="N55" s="498" t="e">
        <f>INDEX(Commerce_session2!A6:DN806,MATCH("B",Commerce_session2!A6:A806,0),113)</f>
        <v>#N/A</v>
      </c>
      <c r="O55" s="487" t="e">
        <f>INDEX(Commerce_session2!A6:DN806,MATCH("B",Commerce_session2!A6:A806,0),114)</f>
        <v>#N/A</v>
      </c>
    </row>
    <row r="56" spans="1:15" ht="18.75" customHeight="1" thickBot="1">
      <c r="A56" s="517"/>
      <c r="B56" s="526"/>
      <c r="C56" s="523"/>
      <c r="D56" s="529"/>
      <c r="E56" s="450"/>
      <c r="F56" s="100" t="s">
        <v>68</v>
      </c>
      <c r="G56" s="116">
        <v>6</v>
      </c>
      <c r="H56" s="117">
        <v>2</v>
      </c>
      <c r="I56" s="14" t="e">
        <f>INDEX(Commerce_session2!A6:DN806,MATCH("B",Commerce_session2!A6:A806,0),75)</f>
        <v>#N/A</v>
      </c>
      <c r="J56" s="15" t="e">
        <f>INDEX(Commerce_session2!A6:DN806,MATCH("B",Commerce_session2!A6:A806,0),76)</f>
        <v>#N/A</v>
      </c>
      <c r="K56" s="510"/>
      <c r="L56" s="496"/>
      <c r="M56" s="497"/>
      <c r="N56" s="498" t="e">
        <f>INDEX(Commerce_session1!F36:DA77,MATCH("a",Commerce_session1!F36:F77,0),42)</f>
        <v>#N/A</v>
      </c>
      <c r="O56" s="487" t="e">
        <f>INDEX(Commerce_session1!G36:DA77,MATCH("a",Commerce_session1!G36:G77,0),42)</f>
        <v>#N/A</v>
      </c>
    </row>
    <row r="57" spans="1:15" ht="20.25" customHeight="1" thickBot="1">
      <c r="A57" s="517"/>
      <c r="B57" s="527"/>
      <c r="C57" s="524"/>
      <c r="D57" s="530"/>
      <c r="E57" s="451"/>
      <c r="F57" s="101" t="s">
        <v>103</v>
      </c>
      <c r="G57" s="118">
        <v>4</v>
      </c>
      <c r="H57" s="119">
        <v>1</v>
      </c>
      <c r="I57" s="127" t="e">
        <f>INDEX(Commerce_session2!A6:DN806,MATCH("B",Commerce_session2!A6:A806,0),80)</f>
        <v>#N/A</v>
      </c>
      <c r="J57" s="21" t="e">
        <f>INDEX(Commerce_session2!A6:DN806,MATCH("B",Commerce_session2!A6:A806,0),81)</f>
        <v>#N/A</v>
      </c>
      <c r="K57" s="511"/>
      <c r="L57" s="490"/>
      <c r="M57" s="491"/>
      <c r="N57" s="498" t="e">
        <f>INDEX(Commerce_session1!F37:DA77,MATCH("a",Commerce_session1!F37:F77,0),42)</f>
        <v>#N/A</v>
      </c>
      <c r="O57" s="487" t="e">
        <f>INDEX(Commerce_session1!G37:DA77,MATCH("a",Commerce_session1!G37:G77,0),42)</f>
        <v>#N/A</v>
      </c>
    </row>
    <row r="58" spans="1:15" ht="22.5" customHeight="1" thickTop="1" thickBot="1">
      <c r="A58" s="517"/>
      <c r="B58" s="531" t="s">
        <v>37</v>
      </c>
      <c r="C58" s="559" t="s">
        <v>87</v>
      </c>
      <c r="D58" s="532">
        <v>10</v>
      </c>
      <c r="E58" s="508">
        <v>4</v>
      </c>
      <c r="F58" s="128" t="s">
        <v>104</v>
      </c>
      <c r="G58" s="76">
        <v>5</v>
      </c>
      <c r="H58" s="77">
        <v>2</v>
      </c>
      <c r="I58" s="18" t="e">
        <f>INDEX(Commerce_session2!A6:DN806,MATCH("B",Commerce_session2!A6:A806,0),87)</f>
        <v>#N/A</v>
      </c>
      <c r="J58" s="19" t="e">
        <f>INDEX(Commerce_session2!A6:DN806,MATCH("B",Commerce_session2!A6:A806,0),88)</f>
        <v>#N/A</v>
      </c>
      <c r="K58" s="509" t="e">
        <f>INDEX(Commerce_session2!A6:DN806,MATCH("B",Commerce_session2!A6:A806,0),94)</f>
        <v>#N/A</v>
      </c>
      <c r="L58" s="488" t="e">
        <f>INDEX(Commerce_session2!A6:DN806,MATCH("B",Commerce_session2!A6:A806,0),95)</f>
        <v>#N/A</v>
      </c>
      <c r="M58" s="489"/>
      <c r="N58" s="498" t="e">
        <f>INDEX(Commerce_session1!E43:DA77,MATCH("a",Commerce_session1!E41:E77,0),43)</f>
        <v>#N/A</v>
      </c>
      <c r="O58" s="487" t="e">
        <f>INDEX(Commerce_session1!F43:DA77,MATCH("a",Commerce_session1!F41:F77,0),43)</f>
        <v>#N/A</v>
      </c>
    </row>
    <row r="59" spans="1:15" ht="18.75" customHeight="1" thickBot="1">
      <c r="A59" s="517"/>
      <c r="B59" s="527"/>
      <c r="C59" s="524"/>
      <c r="D59" s="530"/>
      <c r="E59" s="451"/>
      <c r="F59" s="98" t="s">
        <v>69</v>
      </c>
      <c r="G59" s="74">
        <v>5</v>
      </c>
      <c r="H59" s="75">
        <v>2</v>
      </c>
      <c r="I59" s="20" t="e">
        <f>INDEX(Commerce_session2!A6:DN806,MATCH("B",Commerce_session2!A6:A806,0),92)</f>
        <v>#N/A</v>
      </c>
      <c r="J59" s="17" t="e">
        <f>INDEX(Commerce_session2!A6:DN806,MATCH("B",Commerce_session2!A6:A806,0),93)</f>
        <v>#N/A</v>
      </c>
      <c r="K59" s="511"/>
      <c r="L59" s="490"/>
      <c r="M59" s="491"/>
      <c r="N59" s="498" t="e">
        <f>INDEX(Commerce_session1!F43:DA77,MATCH("a",Commerce_session1!F43:F77,0),42)</f>
        <v>#N/A</v>
      </c>
      <c r="O59" s="487" t="e">
        <f>INDEX(Commerce_session1!G43:DA77,MATCH("a",Commerce_session1!G43:G77,0),42)</f>
        <v>#N/A</v>
      </c>
    </row>
    <row r="60" spans="1:15" ht="18.75" customHeight="1" thickTop="1" thickBot="1">
      <c r="A60" s="517"/>
      <c r="B60" s="105" t="s">
        <v>38</v>
      </c>
      <c r="C60" s="104" t="s">
        <v>85</v>
      </c>
      <c r="D60" s="22">
        <v>3</v>
      </c>
      <c r="E60" s="23">
        <v>2</v>
      </c>
      <c r="F60" s="101" t="s">
        <v>74</v>
      </c>
      <c r="G60" s="74">
        <v>3</v>
      </c>
      <c r="H60" s="75">
        <v>2</v>
      </c>
      <c r="I60" s="20" t="e">
        <f>INDEX(Commerce_session2!A6:DN806,MATCH("B",Commerce_session2!A6:A806,0),99)</f>
        <v>#N/A</v>
      </c>
      <c r="J60" s="17" t="e">
        <f>INDEX(Commerce_session2!A6:DN806,MATCH("B",Commerce_session2!A6:A806,0),100)</f>
        <v>#N/A</v>
      </c>
      <c r="K60" s="125" t="e">
        <f>INDEX(Commerce_session2!A6:DN806,MATCH("B",Commerce_session2!A6:A806,0),101)</f>
        <v>#N/A</v>
      </c>
      <c r="L60" s="512" t="e">
        <f>INDEX(Commerce_session2!A6:DN806,MATCH("B",Commerce_session2!A6:A806,0),102)</f>
        <v>#N/A</v>
      </c>
      <c r="M60" s="513"/>
      <c r="N60" s="498" t="e">
        <f>INDEX(Commerce_session1!F43:DA77,MATCH("a",Commerce_session1!F43:F77,0),42)</f>
        <v>#N/A</v>
      </c>
      <c r="O60" s="487" t="e">
        <f>INDEX(Commerce_session1!G43:DA77,MATCH("a",Commerce_session1!G43:G77,0),42)</f>
        <v>#N/A</v>
      </c>
    </row>
    <row r="61" spans="1:15" ht="20.25" customHeight="1" thickTop="1" thickBot="1">
      <c r="A61" s="518"/>
      <c r="B61" s="105" t="s">
        <v>39</v>
      </c>
      <c r="C61" s="104" t="s">
        <v>86</v>
      </c>
      <c r="D61" s="22">
        <v>1</v>
      </c>
      <c r="E61" s="23">
        <v>1</v>
      </c>
      <c r="F61" s="103" t="s">
        <v>73</v>
      </c>
      <c r="G61" s="82">
        <v>1</v>
      </c>
      <c r="H61" s="83">
        <v>1</v>
      </c>
      <c r="I61" s="25" t="e">
        <f>INDEX(Commerce_session2!A6:DN806,MATCH("B",Commerce_session2!A6:A806,0),105)</f>
        <v>#N/A</v>
      </c>
      <c r="J61" s="26" t="e">
        <f>INDEX(Commerce_session2!A6:DN806,MATCH("B",Commerce_session2!A6:A806,0),106)</f>
        <v>#N/A</v>
      </c>
      <c r="K61" s="27" t="e">
        <f>INDEX(Commerce_session2!A6:DN806,MATCH("B",Commerce_session2!A6:A806,0),107)</f>
        <v>#N/A</v>
      </c>
      <c r="L61" s="514" t="e">
        <f>INDEX(Commerce_session2!A6:DN806,MATCH("B",Commerce_session2!A6:A806,0),108)</f>
        <v>#N/A</v>
      </c>
      <c r="M61" s="515" t="e">
        <f>INDEX(Commerce_session1!D36:CZ77,MATCH("a",Commerce_session1!D36:D77,0),61)</f>
        <v>#N/A</v>
      </c>
      <c r="N61" s="498" t="e">
        <f>INDEX(Commerce_session1!F43:DA77,MATCH("a",Commerce_session1!F43:F77,0),42)</f>
        <v>#N/A</v>
      </c>
      <c r="O61" s="487" t="e">
        <f>INDEX(Commerce_session1!G43:DA77,MATCH("a",Commerce_session1!G43:G77,0),42)</f>
        <v>#N/A</v>
      </c>
    </row>
    <row r="62" spans="1:15" ht="20.25">
      <c r="A62" s="535" t="s">
        <v>40</v>
      </c>
      <c r="B62" s="536"/>
      <c r="C62" s="537"/>
      <c r="D62" s="121" t="e">
        <f>INDEX(Commerce_session2!A6:DN806,MATCH("B",Commerce_session2!A6:A806,0),115)</f>
        <v>#N/A</v>
      </c>
      <c r="E62" s="538" t="s">
        <v>41</v>
      </c>
      <c r="F62" s="540"/>
      <c r="G62" s="120" t="e">
        <f>INDEX(Commerce_session2!A6:DN806,MATCH("B",Commerce_session2!A6:A806,0),116)</f>
        <v>#N/A</v>
      </c>
      <c r="H62" s="538" t="s">
        <v>91</v>
      </c>
      <c r="I62" s="539"/>
      <c r="J62" s="539"/>
      <c r="K62" s="540"/>
      <c r="L62" s="541" t="e">
        <f>INDEX(Commerce_session2!A6:DN806,MATCH("B",Commerce_session2!A6:A806,0),117)</f>
        <v>#N/A</v>
      </c>
      <c r="M62" s="542"/>
      <c r="N62" s="8"/>
      <c r="O62" s="8"/>
    </row>
    <row r="63" spans="1:15" ht="22.5">
      <c r="A63" s="546" t="s">
        <v>42</v>
      </c>
      <c r="B63" s="547"/>
      <c r="C63" s="548"/>
      <c r="D63" s="543" t="e">
        <f>INDEX(Commerce_session2!A6:DN806,MATCH("B",Commerce_session2!A6:A806,0),118)</f>
        <v>#N/A</v>
      </c>
      <c r="E63" s="544"/>
      <c r="F63" s="545"/>
      <c r="G63" s="108"/>
      <c r="H63" s="109"/>
      <c r="I63" s="110"/>
      <c r="J63" s="111"/>
      <c r="K63" s="110"/>
      <c r="L63" s="110"/>
      <c r="M63" s="110"/>
      <c r="N63" s="112" t="s">
        <v>43</v>
      </c>
      <c r="O63" s="28">
        <f ca="1">TODAY()</f>
        <v>43626</v>
      </c>
    </row>
    <row r="64" spans="1:15" ht="32.25" customHeight="1">
      <c r="A64" s="113" t="s">
        <v>44</v>
      </c>
      <c r="B64" s="29"/>
      <c r="C64" s="29"/>
      <c r="D64" s="533"/>
      <c r="E64" s="533"/>
      <c r="F64" s="30"/>
      <c r="G64" s="4"/>
      <c r="J64" s="4"/>
      <c r="L64" s="534" t="s">
        <v>46</v>
      </c>
      <c r="M64" s="534"/>
      <c r="N64" s="534"/>
    </row>
    <row r="65" spans="1:18" ht="23.25" customHeight="1" thickBot="1">
      <c r="A65" s="84" t="s">
        <v>12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445" t="s">
        <v>13</v>
      </c>
      <c r="M65" s="445"/>
      <c r="N65" s="445"/>
      <c r="O65" s="445"/>
      <c r="P65" s="2"/>
      <c r="Q65" s="2"/>
      <c r="R65" s="2"/>
    </row>
    <row r="66" spans="1:18" ht="15.75">
      <c r="A66" s="446" t="s">
        <v>14</v>
      </c>
      <c r="B66" s="446"/>
      <c r="C66" s="446"/>
      <c r="D66" s="446"/>
      <c r="E66" s="446"/>
      <c r="F66" s="3"/>
      <c r="H66" s="4"/>
      <c r="K66" s="4"/>
      <c r="L66" s="4"/>
    </row>
    <row r="67" spans="1:18" ht="15.75">
      <c r="A67" s="85" t="s">
        <v>15</v>
      </c>
      <c r="B67" s="85"/>
      <c r="C67" s="85"/>
      <c r="D67" s="85"/>
      <c r="E67" s="85"/>
      <c r="F67" s="5"/>
      <c r="H67" s="4"/>
      <c r="K67" s="4"/>
      <c r="L67" s="4"/>
      <c r="P67" s="6"/>
    </row>
    <row r="68" spans="1:18" ht="15.75">
      <c r="A68" s="85" t="s">
        <v>100</v>
      </c>
      <c r="B68" s="85"/>
      <c r="C68" s="85"/>
      <c r="D68" s="85"/>
      <c r="E68" s="85"/>
      <c r="F68" s="3"/>
      <c r="H68" s="4"/>
      <c r="K68" s="4"/>
      <c r="L68" s="4"/>
    </row>
    <row r="69" spans="1:18" s="8" customFormat="1" ht="27" customHeight="1">
      <c r="A69" s="7"/>
      <c r="B69" s="7"/>
      <c r="C69" s="7"/>
      <c r="D69" s="447" t="s">
        <v>94</v>
      </c>
      <c r="E69" s="447"/>
      <c r="F69" s="447"/>
      <c r="G69" s="447"/>
      <c r="H69" s="447"/>
      <c r="I69" s="447"/>
      <c r="J69" s="447"/>
      <c r="K69" s="447"/>
      <c r="L69" s="447"/>
      <c r="M69" s="7"/>
      <c r="N69" s="7"/>
      <c r="O69" s="7"/>
    </row>
    <row r="70" spans="1:18" ht="23.25" customHeight="1">
      <c r="A70" s="126" t="s">
        <v>101</v>
      </c>
      <c r="B70" s="126"/>
      <c r="C70" s="126"/>
      <c r="D70" s="126"/>
      <c r="E70" s="126"/>
      <c r="F70" s="126"/>
      <c r="G70" s="122"/>
      <c r="H70" s="122"/>
      <c r="I70" s="122" t="e">
        <f>IF(D95="ناجح(ة) دورة1","-الدورة الأولى-","-الدورة الثانية-")</f>
        <v>#N/A</v>
      </c>
      <c r="J70" s="124" t="s">
        <v>48</v>
      </c>
      <c r="K70" s="124"/>
      <c r="L70" s="87"/>
      <c r="M70" s="88"/>
      <c r="N70" s="89"/>
      <c r="O70" s="9"/>
    </row>
    <row r="71" spans="1:18" ht="20.25" customHeight="1">
      <c r="A71" s="476" t="s">
        <v>93</v>
      </c>
      <c r="B71" s="476"/>
      <c r="C71" s="90" t="e">
        <f>INDEX(Commerce_session2!A6:DN806,MATCH("C",Commerce_session2!A6:A806,0),3)</f>
        <v>#N/A</v>
      </c>
      <c r="D71" s="91" t="s">
        <v>92</v>
      </c>
      <c r="E71" s="448" t="e">
        <f>INDEX(Commerce_session2!A6:DN806,MATCH("C",Commerce_session2!A6:A806,0),4)</f>
        <v>#N/A</v>
      </c>
      <c r="F71" s="448" t="e">
        <f>INDEX(Commerce_session1!D67:DA242,MATCH("a",Commerce_session1!D67:D242,0),3)</f>
        <v>#N/A</v>
      </c>
      <c r="G71" s="477" t="s">
        <v>16</v>
      </c>
      <c r="H71" s="477"/>
      <c r="I71" s="477"/>
      <c r="J71" s="478" t="e">
        <f>INDEX(Commerce_session2!A6:DN806,MATCH("C",Commerce_session2!A6:A806,0),6)</f>
        <v>#N/A</v>
      </c>
      <c r="K71" s="478"/>
      <c r="L71" s="88"/>
      <c r="M71" s="92" t="s">
        <v>17</v>
      </c>
      <c r="N71" s="90" t="e">
        <f>INDEX(Commerce_session2!A6:DN806,MATCH("C",Commerce_session2!A6:A806,0),7)</f>
        <v>#N/A</v>
      </c>
      <c r="O71" s="10"/>
    </row>
    <row r="72" spans="1:18" ht="20.25" customHeight="1">
      <c r="A72" s="476" t="s">
        <v>18</v>
      </c>
      <c r="B72" s="476"/>
      <c r="C72" s="448" t="e">
        <f>INDEX(Commerce_session2!A6:DN806,MATCH("C",Commerce_session2!A6:A806,0),5)</f>
        <v>#N/A</v>
      </c>
      <c r="D72" s="448"/>
      <c r="E72" s="91"/>
      <c r="F72" s="88"/>
      <c r="G72" s="93"/>
      <c r="H72" s="88"/>
      <c r="I72" s="88"/>
      <c r="J72" s="93"/>
      <c r="K72" s="88"/>
      <c r="L72" s="88"/>
      <c r="M72" s="88"/>
      <c r="N72" s="88"/>
      <c r="O72" s="10"/>
    </row>
    <row r="73" spans="1:18" ht="20.25" customHeight="1">
      <c r="A73" s="476" t="s">
        <v>102</v>
      </c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</row>
    <row r="74" spans="1:18" ht="20.25" customHeight="1" thickBot="1">
      <c r="A74" s="459" t="s">
        <v>19</v>
      </c>
      <c r="B74" s="459"/>
      <c r="C74" s="459"/>
      <c r="D74" s="459"/>
      <c r="E74" s="459"/>
      <c r="F74" s="459"/>
      <c r="G74" s="459"/>
      <c r="H74" s="94"/>
      <c r="I74" s="94"/>
      <c r="J74" s="95"/>
      <c r="K74" s="94"/>
      <c r="L74" s="94"/>
      <c r="M74" s="94"/>
      <c r="N74" s="94"/>
      <c r="O74" s="11"/>
    </row>
    <row r="75" spans="1:18" ht="18.75" thickBot="1">
      <c r="A75" s="460" t="s">
        <v>20</v>
      </c>
      <c r="B75" s="463" t="s">
        <v>21</v>
      </c>
      <c r="C75" s="464"/>
      <c r="D75" s="464"/>
      <c r="E75" s="464"/>
      <c r="F75" s="464" t="s">
        <v>22</v>
      </c>
      <c r="G75" s="464"/>
      <c r="H75" s="464"/>
      <c r="I75" s="465" t="s">
        <v>23</v>
      </c>
      <c r="J75" s="466"/>
      <c r="K75" s="466"/>
      <c r="L75" s="466"/>
      <c r="M75" s="466"/>
      <c r="N75" s="466"/>
      <c r="O75" s="467"/>
    </row>
    <row r="76" spans="1:18">
      <c r="A76" s="461"/>
      <c r="B76" s="468" t="s">
        <v>24</v>
      </c>
      <c r="C76" s="470" t="s">
        <v>25</v>
      </c>
      <c r="D76" s="472" t="s">
        <v>26</v>
      </c>
      <c r="E76" s="474" t="s">
        <v>27</v>
      </c>
      <c r="F76" s="479" t="s">
        <v>28</v>
      </c>
      <c r="G76" s="468" t="s">
        <v>11</v>
      </c>
      <c r="H76" s="481" t="s">
        <v>27</v>
      </c>
      <c r="I76" s="482" t="s">
        <v>29</v>
      </c>
      <c r="J76" s="483"/>
      <c r="K76" s="484" t="s">
        <v>30</v>
      </c>
      <c r="L76" s="485"/>
      <c r="M76" s="486"/>
      <c r="N76" s="455" t="s">
        <v>20</v>
      </c>
      <c r="O76" s="456"/>
    </row>
    <row r="77" spans="1:18" ht="15.75" thickBot="1">
      <c r="A77" s="462"/>
      <c r="B77" s="469"/>
      <c r="C77" s="471"/>
      <c r="D77" s="473"/>
      <c r="E77" s="475"/>
      <c r="F77" s="480"/>
      <c r="G77" s="469"/>
      <c r="H77" s="473"/>
      <c r="I77" s="106" t="s">
        <v>10</v>
      </c>
      <c r="J77" s="106" t="s">
        <v>31</v>
      </c>
      <c r="K77" s="106" t="s">
        <v>32</v>
      </c>
      <c r="L77" s="457" t="s">
        <v>33</v>
      </c>
      <c r="M77" s="458"/>
      <c r="N77" s="106" t="s">
        <v>34</v>
      </c>
      <c r="O77" s="107" t="s">
        <v>35</v>
      </c>
    </row>
    <row r="78" spans="1:18" ht="18.75" customHeight="1" thickBot="1">
      <c r="A78" s="549" t="s">
        <v>76</v>
      </c>
      <c r="B78" s="552" t="s">
        <v>36</v>
      </c>
      <c r="C78" s="555" t="s">
        <v>90</v>
      </c>
      <c r="D78" s="556">
        <v>17</v>
      </c>
      <c r="E78" s="449">
        <v>6</v>
      </c>
      <c r="F78" s="96" t="s">
        <v>54</v>
      </c>
      <c r="G78" s="70">
        <v>5</v>
      </c>
      <c r="H78" s="71">
        <v>2</v>
      </c>
      <c r="I78" s="12" t="e">
        <f>INDEX(Commerce_session2!A6:DN806,MATCH("C",Commerce_session2!A6:A806,0),17)</f>
        <v>#N/A</v>
      </c>
      <c r="J78" s="13" t="e">
        <f>INDEX(Commerce_session2!A6:DN806,MATCH("C",Commerce_session2!A6:A806,0),18)</f>
        <v>#N/A</v>
      </c>
      <c r="K78" s="452" t="e">
        <f>INDEX(Commerce_session2!A6:DN806,MATCH("C",Commerce_session2!A6:A806,0),29)</f>
        <v>#N/A</v>
      </c>
      <c r="L78" s="494" t="e">
        <f>INDEX(Commerce_session2!A6:DN806,MATCH("C",Commerce_session2!A6:A806,0),30)</f>
        <v>#N/A</v>
      </c>
      <c r="M78" s="495" t="e">
        <f>INDEX(Commerce_session1!D67:CZ102,MATCH("a",Commerce_session1!D67:D102,0),15)</f>
        <v>#N/A</v>
      </c>
      <c r="N78" s="498" t="e">
        <f>INDEX(Commerce_session2!A6:DN806,MATCH("C",Commerce_session2!A6:A806,0),111)</f>
        <v>#N/A</v>
      </c>
      <c r="O78" s="487" t="e">
        <f>INDEX(Commerce_session2!A6:DN806,MATCH("C",Commerce_session2!A6:A806,0),112)</f>
        <v>#N/A</v>
      </c>
    </row>
    <row r="79" spans="1:18" ht="18.75" customHeight="1" thickBot="1">
      <c r="A79" s="550"/>
      <c r="B79" s="553"/>
      <c r="C79" s="503"/>
      <c r="D79" s="557"/>
      <c r="E79" s="450"/>
      <c r="F79" s="97" t="s">
        <v>55</v>
      </c>
      <c r="G79" s="72">
        <v>6</v>
      </c>
      <c r="H79" s="73">
        <v>2</v>
      </c>
      <c r="I79" s="14" t="e">
        <f>INDEX(Commerce_session2!A6:DN806,MATCH("C",Commerce_session2!A6:A806,0),22)</f>
        <v>#N/A</v>
      </c>
      <c r="J79" s="15" t="e">
        <f>INDEX(Commerce_session2!A6:DN806,MATCH("C",Commerce_session2!A6:A806,0),23)</f>
        <v>#N/A</v>
      </c>
      <c r="K79" s="453" t="e">
        <f>INDEX(Commerce_session1!B67:CY102,MATCH("a",Commerce_session1!B67:B102,0),14)</f>
        <v>#N/A</v>
      </c>
      <c r="L79" s="496" t="e">
        <f>INDEX(Commerce_session1!D67:CZ102,MATCH("a",Commerce_session1!D67:D102,0),14)</f>
        <v>#N/A</v>
      </c>
      <c r="M79" s="497" t="e">
        <f>INDEX(Commerce_session1!E67:DA102,MATCH("a",Commerce_session1!E67:E102,0),14)</f>
        <v>#N/A</v>
      </c>
      <c r="N79" s="498" t="e">
        <f>INDEX(Commerce_session1!#REF!,MATCH("a",Commerce_session1!#REF!,0),62)</f>
        <v>#REF!</v>
      </c>
      <c r="O79" s="487" t="e">
        <f>INDEX(Commerce_session1!#REF!,MATCH("a",Commerce_session1!#REF!,0),62)</f>
        <v>#REF!</v>
      </c>
    </row>
    <row r="80" spans="1:18" ht="18.75" customHeight="1" thickBot="1">
      <c r="A80" s="550"/>
      <c r="B80" s="554"/>
      <c r="C80" s="504"/>
      <c r="D80" s="558"/>
      <c r="E80" s="451"/>
      <c r="F80" s="98" t="s">
        <v>56</v>
      </c>
      <c r="G80" s="74">
        <v>6</v>
      </c>
      <c r="H80" s="75">
        <v>2</v>
      </c>
      <c r="I80" s="16" t="e">
        <f>INDEX(Commerce_session2!A6:DN806,MATCH("C",Commerce_session2!A6:A806,0),27)</f>
        <v>#N/A</v>
      </c>
      <c r="J80" s="17" t="e">
        <f>INDEX(Commerce_session2!A6:DN806,MATCH("C",Commerce_session2!A6:A806,0),28)</f>
        <v>#N/A</v>
      </c>
      <c r="K80" s="454" t="e">
        <f>INDEX(Commerce_session1!B69:CY102,MATCH("a",Commerce_session1!B69:B102,0),14)</f>
        <v>#N/A</v>
      </c>
      <c r="L80" s="490" t="e">
        <f>INDEX(Commerce_session1!D69:CZ102,MATCH("a",Commerce_session1!D69:D102,0),14)</f>
        <v>#N/A</v>
      </c>
      <c r="M80" s="491" t="e">
        <f>INDEX(Commerce_session1!E69:DA102,MATCH("a",Commerce_session1!E69:E102,0),14)</f>
        <v>#N/A</v>
      </c>
      <c r="N80" s="498" t="e">
        <f>INDEX(Commerce_session1!#REF!,MATCH("a",Commerce_session1!#REF!,0),62)</f>
        <v>#REF!</v>
      </c>
      <c r="O80" s="487" t="e">
        <f>INDEX(Commerce_session1!#REF!,MATCH("a",Commerce_session1!#REF!,0),62)</f>
        <v>#REF!</v>
      </c>
    </row>
    <row r="81" spans="1:15" ht="19.5" customHeight="1" thickTop="1" thickBot="1">
      <c r="A81" s="550"/>
      <c r="B81" s="499" t="s">
        <v>37</v>
      </c>
      <c r="C81" s="502" t="s">
        <v>89</v>
      </c>
      <c r="D81" s="505">
        <v>7</v>
      </c>
      <c r="E81" s="508">
        <v>5</v>
      </c>
      <c r="F81" s="99" t="s">
        <v>83</v>
      </c>
      <c r="G81" s="76">
        <v>1</v>
      </c>
      <c r="H81" s="77">
        <v>1</v>
      </c>
      <c r="I81" s="18" t="e">
        <f>INDEX(Commerce_session2!A6:DN806,MATCH("C",Commerce_session2!A6:A806,0),33)</f>
        <v>#N/A</v>
      </c>
      <c r="J81" s="19" t="e">
        <f>INDEX(Commerce_session2!A6:DN806,MATCH("C",Commerce_session2!A6:A806,0),34)</f>
        <v>#N/A</v>
      </c>
      <c r="K81" s="509" t="e">
        <f>INDEX(Commerce_session2!A6:DN806,MATCH("C",Commerce_session2!A6:A806,0),45)</f>
        <v>#N/A</v>
      </c>
      <c r="L81" s="488" t="e">
        <f>INDEX(Commerce_session2!A6:DN806,MATCH("C",Commerce_session2!A6:A806,0),46)</f>
        <v>#N/A</v>
      </c>
      <c r="M81" s="489" t="e">
        <f>INDEX(Commerce_session1!D67:CZ102,MATCH("a",Commerce_session1!D67:D102,0),23)</f>
        <v>#N/A</v>
      </c>
      <c r="N81" s="498" t="e">
        <f>INDEX(Commerce_session1!#REF!,MATCH("a",Commerce_session1!#REF!,0),62)</f>
        <v>#REF!</v>
      </c>
      <c r="O81" s="487" t="e">
        <f>INDEX(Commerce_session1!#REF!,MATCH("a",Commerce_session1!#REF!,0),62)</f>
        <v>#REF!</v>
      </c>
    </row>
    <row r="82" spans="1:15" ht="18.75" customHeight="1" thickTop="1" thickBot="1">
      <c r="A82" s="550"/>
      <c r="B82" s="500"/>
      <c r="C82" s="503"/>
      <c r="D82" s="506"/>
      <c r="E82" s="450"/>
      <c r="F82" s="100" t="s">
        <v>99</v>
      </c>
      <c r="G82" s="78">
        <v>3</v>
      </c>
      <c r="H82" s="79">
        <v>2</v>
      </c>
      <c r="I82" s="18" t="e">
        <f>INDEX(Commerce_session2!A6:DN806,MATCH("C",Commerce_session2!A6:A806,0),38)</f>
        <v>#N/A</v>
      </c>
      <c r="J82" s="15" t="e">
        <f>INDEX(Commerce_session2!A6:DN806,MATCH("C",Commerce_session2!A6:A806,0),39)</f>
        <v>#N/A</v>
      </c>
      <c r="K82" s="510" t="e">
        <f>INDEX(Commerce_session1!B66:CY102,MATCH("a",Commerce_session1!B66:B102,0),22)</f>
        <v>#N/A</v>
      </c>
      <c r="L82" s="496" t="e">
        <f>INDEX(Commerce_session1!D66:CZ102,MATCH("a",Commerce_session1!D66:D102,0),22)</f>
        <v>#N/A</v>
      </c>
      <c r="M82" s="497" t="e">
        <f>INDEX(Commerce_session1!E66:DA102,MATCH("a",Commerce_session1!E66:E102,0),22)</f>
        <v>#N/A</v>
      </c>
      <c r="N82" s="498" t="e">
        <f>INDEX(Commerce_session1!#REF!,MATCH("a",Commerce_session1!#REF!,0),62)</f>
        <v>#REF!</v>
      </c>
      <c r="O82" s="487" t="e">
        <f>INDEX(Commerce_session1!#REF!,MATCH("a",Commerce_session1!#REF!,0),62)</f>
        <v>#REF!</v>
      </c>
    </row>
    <row r="83" spans="1:15" ht="18.75" customHeight="1" thickBot="1">
      <c r="A83" s="550"/>
      <c r="B83" s="501"/>
      <c r="C83" s="504"/>
      <c r="D83" s="507"/>
      <c r="E83" s="451"/>
      <c r="F83" s="101" t="s">
        <v>84</v>
      </c>
      <c r="G83" s="80">
        <v>3</v>
      </c>
      <c r="H83" s="81">
        <v>2</v>
      </c>
      <c r="I83" s="20" t="e">
        <f>INDEX(Commerce_session2!A6:DN806,MATCH("C",Commerce_session2!A6:A806,0),43)</f>
        <v>#N/A</v>
      </c>
      <c r="J83" s="17" t="e">
        <f>INDEX(Commerce_session2!A6:DN806,MATCH("C",Commerce_session2!A6:A806,0),44)</f>
        <v>#N/A</v>
      </c>
      <c r="K83" s="511" t="e">
        <f>INDEX(Commerce_session1!B67:CY102,MATCH("a",Commerce_session1!B67:B102,0),22)</f>
        <v>#N/A</v>
      </c>
      <c r="L83" s="490" t="e">
        <f>INDEX(Commerce_session1!D67:CZ102,MATCH("a",Commerce_session1!D67:D102,0),22)</f>
        <v>#N/A</v>
      </c>
      <c r="M83" s="491" t="e">
        <f>INDEX(Commerce_session1!E67:DA102,MATCH("a",Commerce_session1!E67:E102,0),22)</f>
        <v>#N/A</v>
      </c>
      <c r="N83" s="498" t="e">
        <f>INDEX(Commerce_session1!#REF!,MATCH("a",Commerce_session1!#REF!,0),62)</f>
        <v>#REF!</v>
      </c>
      <c r="O83" s="487" t="e">
        <f>INDEX(Commerce_session1!#REF!,MATCH("a",Commerce_session1!#REF!,0),62)</f>
        <v>#REF!</v>
      </c>
    </row>
    <row r="84" spans="1:15" ht="33.75" customHeight="1" thickTop="1" thickBot="1">
      <c r="A84" s="550"/>
      <c r="B84" s="531" t="s">
        <v>38</v>
      </c>
      <c r="C84" s="559" t="s">
        <v>50</v>
      </c>
      <c r="D84" s="520">
        <v>5</v>
      </c>
      <c r="E84" s="508">
        <v>2</v>
      </c>
      <c r="F84" s="102" t="s">
        <v>63</v>
      </c>
      <c r="G84" s="68">
        <v>4</v>
      </c>
      <c r="H84" s="69">
        <v>1</v>
      </c>
      <c r="I84" s="18" t="e">
        <f>INDEX(Commerce_session2!A6:DN806,MATCH("C",Commerce_session2!A6:A806,0),50)</f>
        <v>#N/A</v>
      </c>
      <c r="J84" s="19" t="e">
        <f>INDEX(Commerce_session2!A6:DN806,MATCH("C",Commerce_session2!A6:A806,0),51)</f>
        <v>#N/A</v>
      </c>
      <c r="K84" s="509" t="e">
        <f>INDEX(Commerce_session2!A6:DN806,MATCH("C",Commerce_session2!A6:A806,0),56)</f>
        <v>#N/A</v>
      </c>
      <c r="L84" s="488" t="e">
        <f>INDEX(Commerce_session2!A6:DN806,MATCH("C",Commerce_session2!A6:A806,0),57)</f>
        <v>#N/A</v>
      </c>
      <c r="M84" s="489" t="e">
        <f>INDEX(Commerce_session1!D67:CZ102,MATCH("a",Commerce_session1!D67:D102,0),29)</f>
        <v>#N/A</v>
      </c>
      <c r="N84" s="498" t="e">
        <f>INDEX(Commerce_session1!#REF!,MATCH("a",Commerce_session1!#REF!,0),62)</f>
        <v>#REF!</v>
      </c>
      <c r="O84" s="487" t="e">
        <f>INDEX(Commerce_session1!#REF!,MATCH("a",Commerce_session1!#REF!,0),62)</f>
        <v>#REF!</v>
      </c>
    </row>
    <row r="85" spans="1:15" ht="18.75" customHeight="1" thickBot="1">
      <c r="A85" s="550"/>
      <c r="B85" s="527"/>
      <c r="C85" s="524"/>
      <c r="D85" s="521"/>
      <c r="E85" s="451"/>
      <c r="F85" s="101" t="s">
        <v>62</v>
      </c>
      <c r="G85" s="80">
        <v>1</v>
      </c>
      <c r="H85" s="81">
        <v>1</v>
      </c>
      <c r="I85" s="16" t="e">
        <f>INDEX(Commerce_session2!A6:DN806,MATCH("C",Commerce_session2!A6:A806,0),54)</f>
        <v>#N/A</v>
      </c>
      <c r="J85" s="21" t="e">
        <f>INDEX(Commerce_session2!A6:DN806,MATCH("C",Commerce_session2!A6:A806,0),55)</f>
        <v>#N/A</v>
      </c>
      <c r="K85" s="511" t="e">
        <f>INDEX(Commerce_session1!B67:CY102,MATCH("a",Commerce_session1!B67:B102,0),28)</f>
        <v>#N/A</v>
      </c>
      <c r="L85" s="490" t="e">
        <f>INDEX(Commerce_session1!D67:CZ102,MATCH("a",Commerce_session1!D67:D102,0),28)</f>
        <v>#N/A</v>
      </c>
      <c r="M85" s="491" t="e">
        <f>INDEX(Commerce_session1!E67:DA102,MATCH("a",Commerce_session1!E67:E102,0),28)</f>
        <v>#N/A</v>
      </c>
      <c r="N85" s="498" t="e">
        <f>INDEX(Commerce_session1!#REF!,MATCH("a",Commerce_session1!#REF!,0),62)</f>
        <v>#REF!</v>
      </c>
      <c r="O85" s="487" t="e">
        <f>INDEX(Commerce_session1!#REF!,MATCH("a",Commerce_session1!#REF!,0),62)</f>
        <v>#REF!</v>
      </c>
    </row>
    <row r="86" spans="1:15" ht="20.25" customHeight="1" thickTop="1" thickBot="1">
      <c r="A86" s="551"/>
      <c r="B86" s="105" t="s">
        <v>39</v>
      </c>
      <c r="C86" s="104" t="s">
        <v>51</v>
      </c>
      <c r="D86" s="22">
        <v>1</v>
      </c>
      <c r="E86" s="23">
        <v>1</v>
      </c>
      <c r="F86" s="103" t="s">
        <v>64</v>
      </c>
      <c r="G86" s="82">
        <v>1</v>
      </c>
      <c r="H86" s="83">
        <v>1</v>
      </c>
      <c r="I86" s="20" t="e">
        <f>INDEX(Commerce_session2!A6:DN806,MATCH("C",Commerce_session2!A6:A806,0),61)</f>
        <v>#N/A</v>
      </c>
      <c r="J86" s="24" t="e">
        <f>INDEX(Commerce_session2!A6:DN806,MATCH("C",Commerce_session2!A6:A806,0),62)</f>
        <v>#N/A</v>
      </c>
      <c r="K86" s="36" t="e">
        <f>INDEX(Commerce_session2!A6:DN806,MATCH("C",Commerce_session2!A6:A806,0),63)</f>
        <v>#N/A</v>
      </c>
      <c r="L86" s="492" t="e">
        <f>INDEX(Commerce_session2!A6:DN806,MATCH("C",Commerce_session2!A6:A806,0),64)</f>
        <v>#N/A</v>
      </c>
      <c r="M86" s="493" t="e">
        <f>INDEX(Commerce_session1!D67:CZ102,MATCH("a",Commerce_session1!D67:D102,0),33)</f>
        <v>#N/A</v>
      </c>
      <c r="N86" s="498" t="e">
        <f>INDEX(Commerce_session1!#REF!,MATCH("a",Commerce_session1!#REF!,0),62)</f>
        <v>#REF!</v>
      </c>
      <c r="O86" s="487" t="e">
        <f>INDEX(Commerce_session1!#REF!,MATCH("a",Commerce_session1!#REF!,0),62)</f>
        <v>#REF!</v>
      </c>
    </row>
    <row r="87" spans="1:15" ht="19.5" customHeight="1" thickTop="1" thickBot="1">
      <c r="A87" s="516" t="s">
        <v>77</v>
      </c>
      <c r="B87" s="525" t="s">
        <v>36</v>
      </c>
      <c r="C87" s="522" t="s">
        <v>88</v>
      </c>
      <c r="D87" s="528">
        <v>16</v>
      </c>
      <c r="E87" s="449">
        <v>5</v>
      </c>
      <c r="F87" s="96" t="s">
        <v>67</v>
      </c>
      <c r="G87" s="114">
        <v>6</v>
      </c>
      <c r="H87" s="115">
        <v>2</v>
      </c>
      <c r="I87" s="18" t="e">
        <f>INDEX(Commerce_session2!A6:DN806,MATCH("C",Commerce_session2!A6:A806,0),70)</f>
        <v>#N/A</v>
      </c>
      <c r="J87" s="19" t="e">
        <f>INDEX(Commerce_session2!A6:DN806,MATCH("C",Commerce_session2!A6:A806,0),71)</f>
        <v>#N/A</v>
      </c>
      <c r="K87" s="519" t="e">
        <f>INDEX(Commerce_session2!A6:DN806,MATCH("C",Commerce_session2!A6:A806,0),82)</f>
        <v>#N/A</v>
      </c>
      <c r="L87" s="494" t="e">
        <f>INDEX(Commerce_session2!A6:DN806,MATCH("C",Commerce_session2!A6:A806,0),83)</f>
        <v>#N/A</v>
      </c>
      <c r="M87" s="495"/>
      <c r="N87" s="498" t="e">
        <f>INDEX(Commerce_session2!A6:DN806,MATCH("C",Commerce_session2!A6:A806,0),113)</f>
        <v>#N/A</v>
      </c>
      <c r="O87" s="487" t="e">
        <f>INDEX(Commerce_session2!A6:DN806,MATCH("C",Commerce_session2!A6:A806,0),114)</f>
        <v>#N/A</v>
      </c>
    </row>
    <row r="88" spans="1:15" ht="18.75" customHeight="1" thickBot="1">
      <c r="A88" s="517"/>
      <c r="B88" s="526"/>
      <c r="C88" s="523"/>
      <c r="D88" s="529"/>
      <c r="E88" s="450"/>
      <c r="F88" s="100" t="s">
        <v>68</v>
      </c>
      <c r="G88" s="116">
        <v>6</v>
      </c>
      <c r="H88" s="117">
        <v>2</v>
      </c>
      <c r="I88" s="14" t="e">
        <f>INDEX(Commerce_session2!A6:DN806,MATCH("C",Commerce_session2!A6:A806,0),75)</f>
        <v>#N/A</v>
      </c>
      <c r="J88" s="15" t="e">
        <f>INDEX(Commerce_session2!A6:DN806,MATCH("C",Commerce_session2!A6:A806,0),76)</f>
        <v>#N/A</v>
      </c>
      <c r="K88" s="510"/>
      <c r="L88" s="496"/>
      <c r="M88" s="497"/>
      <c r="N88" s="498" t="e">
        <f>INDEX(Commerce_session1!F67:DA102,MATCH("a",Commerce_session1!F67:F102,0),42)</f>
        <v>#N/A</v>
      </c>
      <c r="O88" s="487" t="e">
        <f>INDEX(Commerce_session1!G67:DA102,MATCH("a",Commerce_session1!G67:G102,0),42)</f>
        <v>#N/A</v>
      </c>
    </row>
    <row r="89" spans="1:15" ht="20.25" customHeight="1" thickBot="1">
      <c r="A89" s="517"/>
      <c r="B89" s="527"/>
      <c r="C89" s="524"/>
      <c r="D89" s="530"/>
      <c r="E89" s="451"/>
      <c r="F89" s="101" t="s">
        <v>103</v>
      </c>
      <c r="G89" s="118">
        <v>4</v>
      </c>
      <c r="H89" s="119">
        <v>1</v>
      </c>
      <c r="I89" s="127" t="e">
        <f>INDEX(Commerce_session2!A6:DN806,MATCH("C",Commerce_session2!A6:A806,0),80)</f>
        <v>#N/A</v>
      </c>
      <c r="J89" s="21" t="e">
        <f>INDEX(Commerce_session2!A6:DN806,MATCH("C",Commerce_session2!A6:A806,0),81)</f>
        <v>#N/A</v>
      </c>
      <c r="K89" s="511"/>
      <c r="L89" s="490"/>
      <c r="M89" s="491"/>
      <c r="N89" s="498" t="e">
        <f>INDEX(Commerce_session1!F68:DA102,MATCH("a",Commerce_session1!F68:F102,0),42)</f>
        <v>#N/A</v>
      </c>
      <c r="O89" s="487" t="e">
        <f>INDEX(Commerce_session1!G68:DA102,MATCH("a",Commerce_session1!G68:G102,0),42)</f>
        <v>#N/A</v>
      </c>
    </row>
    <row r="90" spans="1:15" ht="22.5" customHeight="1" thickTop="1" thickBot="1">
      <c r="A90" s="517"/>
      <c r="B90" s="531" t="s">
        <v>37</v>
      </c>
      <c r="C90" s="559" t="s">
        <v>87</v>
      </c>
      <c r="D90" s="532">
        <v>10</v>
      </c>
      <c r="E90" s="508">
        <v>4</v>
      </c>
      <c r="F90" s="128" t="s">
        <v>104</v>
      </c>
      <c r="G90" s="76">
        <v>5</v>
      </c>
      <c r="H90" s="77">
        <v>2</v>
      </c>
      <c r="I90" s="18" t="e">
        <f>INDEX(Commerce_session2!A6:DN806,MATCH("C",Commerce_session2!A6:A806,0),87)</f>
        <v>#N/A</v>
      </c>
      <c r="J90" s="19" t="e">
        <f>INDEX(Commerce_session2!A6:DN806,MATCH("C",Commerce_session2!A6:A806,0),88)</f>
        <v>#N/A</v>
      </c>
      <c r="K90" s="509" t="e">
        <f>INDEX(Commerce_session2!A6:DN806,MATCH("C",Commerce_session2!A6:A806,0),94)</f>
        <v>#N/A</v>
      </c>
      <c r="L90" s="488" t="e">
        <f>INDEX(Commerce_session2!A6:DN806,MATCH("C",Commerce_session2!A6:A806,0),95)</f>
        <v>#N/A</v>
      </c>
      <c r="M90" s="489"/>
      <c r="N90" s="498" t="e">
        <f>INDEX(Commerce_session1!E70:DA102,MATCH("a",Commerce_session1!E70:E102,0),43)</f>
        <v>#N/A</v>
      </c>
      <c r="O90" s="487" t="e">
        <f>INDEX(Commerce_session1!F70:DA102,MATCH("a",Commerce_session1!F70:F102,0),43)</f>
        <v>#N/A</v>
      </c>
    </row>
    <row r="91" spans="1:15" ht="18.75" customHeight="1" thickBot="1">
      <c r="A91" s="517"/>
      <c r="B91" s="527"/>
      <c r="C91" s="524"/>
      <c r="D91" s="530"/>
      <c r="E91" s="451"/>
      <c r="F91" s="98" t="s">
        <v>69</v>
      </c>
      <c r="G91" s="74">
        <v>5</v>
      </c>
      <c r="H91" s="75">
        <v>2</v>
      </c>
      <c r="I91" s="20" t="e">
        <f>INDEX(Commerce_session2!A6:DN806,MATCH("C",Commerce_session2!A6:A806,0),92)</f>
        <v>#N/A</v>
      </c>
      <c r="J91" s="17" t="e">
        <f>INDEX(Commerce_session2!A6:DN806,MATCH("C",Commerce_session2!A6:A806,0),93)</f>
        <v>#N/A</v>
      </c>
      <c r="K91" s="511"/>
      <c r="L91" s="490"/>
      <c r="M91" s="491"/>
      <c r="N91" s="498" t="e">
        <f>INDEX(Commerce_session1!F71:DA102,MATCH("a",Commerce_session1!F71:F102,0),42)</f>
        <v>#N/A</v>
      </c>
      <c r="O91" s="487" t="e">
        <f>INDEX(Commerce_session1!G71:DA102,MATCH("a",Commerce_session1!G71:G102,0),42)</f>
        <v>#N/A</v>
      </c>
    </row>
    <row r="92" spans="1:15" ht="18.75" customHeight="1" thickTop="1" thickBot="1">
      <c r="A92" s="517"/>
      <c r="B92" s="105" t="s">
        <v>38</v>
      </c>
      <c r="C92" s="104" t="s">
        <v>85</v>
      </c>
      <c r="D92" s="22">
        <v>3</v>
      </c>
      <c r="E92" s="23">
        <v>2</v>
      </c>
      <c r="F92" s="101" t="s">
        <v>74</v>
      </c>
      <c r="G92" s="74">
        <v>3</v>
      </c>
      <c r="H92" s="75">
        <v>2</v>
      </c>
      <c r="I92" s="20" t="e">
        <f>INDEX(Commerce_session2!A6:DN806,MATCH("C",Commerce_session2!A6:A806,0),99)</f>
        <v>#N/A</v>
      </c>
      <c r="J92" s="17" t="e">
        <f>INDEX(Commerce_session2!A6:DN806,MATCH("C",Commerce_session2!A6:A806,0),100)</f>
        <v>#N/A</v>
      </c>
      <c r="K92" s="125" t="e">
        <f>INDEX(Commerce_session2!A6:DN806,MATCH("C",Commerce_session2!A6:A806,0),101)</f>
        <v>#N/A</v>
      </c>
      <c r="L92" s="512" t="e">
        <f>INDEX(Commerce_session2!A6:DN806,MATCH("C",Commerce_session2!A6:A806,0),102)</f>
        <v>#N/A</v>
      </c>
      <c r="M92" s="513"/>
      <c r="N92" s="498" t="e">
        <f>INDEX(Commerce_session1!F73:DA102,MATCH("a",Commerce_session1!F73:F102,0),42)</f>
        <v>#N/A</v>
      </c>
      <c r="O92" s="487" t="e">
        <f>INDEX(Commerce_session1!G73:DA102,MATCH("a",Commerce_session1!G73:G102,0),42)</f>
        <v>#N/A</v>
      </c>
    </row>
    <row r="93" spans="1:15" ht="20.25" customHeight="1" thickTop="1" thickBot="1">
      <c r="A93" s="518"/>
      <c r="B93" s="105" t="s">
        <v>39</v>
      </c>
      <c r="C93" s="104" t="s">
        <v>86</v>
      </c>
      <c r="D93" s="22">
        <v>1</v>
      </c>
      <c r="E93" s="23">
        <v>1</v>
      </c>
      <c r="F93" s="103" t="s">
        <v>73</v>
      </c>
      <c r="G93" s="82">
        <v>1</v>
      </c>
      <c r="H93" s="83">
        <v>1</v>
      </c>
      <c r="I93" s="25" t="e">
        <f>INDEX(Commerce_session2!A6:DN806,MATCH("C",Commerce_session2!A6:A806,0),105)</f>
        <v>#N/A</v>
      </c>
      <c r="J93" s="26" t="e">
        <f>INDEX(Commerce_session2!A6:DN806,MATCH("C",Commerce_session2!A6:A806,0),106)</f>
        <v>#N/A</v>
      </c>
      <c r="K93" s="27" t="e">
        <f>INDEX(Commerce_session2!A6:DN806,MATCH("C",Commerce_session2!A6:A806,0),107)</f>
        <v>#N/A</v>
      </c>
      <c r="L93" s="514" t="e">
        <f>INDEX(Commerce_session2!A6:DN806,MATCH("C",Commerce_session2!A6:A806,0),108)</f>
        <v>#N/A</v>
      </c>
      <c r="M93" s="515" t="e">
        <f>INDEX(Commerce_session1!D67:CZ102,MATCH("a",Commerce_session1!D67:D102,0),61)</f>
        <v>#N/A</v>
      </c>
      <c r="N93" s="498" t="e">
        <f>INDEX(Commerce_session1!F74:DA102,MATCH("a",Commerce_session1!F74:F102,0),42)</f>
        <v>#N/A</v>
      </c>
      <c r="O93" s="487" t="e">
        <f>INDEX(Commerce_session1!G74:DA102,MATCH("a",Commerce_session1!G74:G102,0),42)</f>
        <v>#N/A</v>
      </c>
    </row>
    <row r="94" spans="1:15" ht="20.25">
      <c r="A94" s="535" t="s">
        <v>40</v>
      </c>
      <c r="B94" s="536"/>
      <c r="C94" s="537"/>
      <c r="D94" s="121" t="e">
        <f>INDEX(Commerce_session2!A6:DN806,MATCH("C",Commerce_session2!A6:A806,0),115)</f>
        <v>#N/A</v>
      </c>
      <c r="E94" s="538" t="s">
        <v>41</v>
      </c>
      <c r="F94" s="540"/>
      <c r="G94" s="120" t="e">
        <f>INDEX(Commerce_session2!A6:DN806,MATCH("C",Commerce_session2!A6:A806,0),116)</f>
        <v>#N/A</v>
      </c>
      <c r="H94" s="538" t="s">
        <v>91</v>
      </c>
      <c r="I94" s="539"/>
      <c r="J94" s="539"/>
      <c r="K94" s="540"/>
      <c r="L94" s="541" t="e">
        <f>INDEX(Commerce_session2!A6:DN806,MATCH("C",Commerce_session2!A6:A806,0),117)</f>
        <v>#N/A</v>
      </c>
      <c r="M94" s="542"/>
      <c r="N94" s="8"/>
      <c r="O94" s="8"/>
    </row>
    <row r="95" spans="1:15" ht="22.5">
      <c r="A95" s="546" t="s">
        <v>42</v>
      </c>
      <c r="B95" s="547"/>
      <c r="C95" s="548"/>
      <c r="D95" s="543" t="e">
        <f>INDEX(Commerce_session2!A6:DN806,MATCH("C",Commerce_session2!A6:A806,0),118)</f>
        <v>#N/A</v>
      </c>
      <c r="E95" s="544"/>
      <c r="F95" s="545"/>
      <c r="G95" s="108"/>
      <c r="H95" s="109"/>
      <c r="I95" s="110"/>
      <c r="J95" s="111"/>
      <c r="K95" s="110"/>
      <c r="L95" s="110"/>
      <c r="M95" s="110"/>
      <c r="N95" s="112" t="s">
        <v>43</v>
      </c>
      <c r="O95" s="28">
        <f ca="1">TODAY()</f>
        <v>43626</v>
      </c>
    </row>
    <row r="96" spans="1:15" ht="32.25" customHeight="1">
      <c r="A96" s="113" t="s">
        <v>44</v>
      </c>
      <c r="B96" s="29"/>
      <c r="C96" s="29"/>
      <c r="D96" s="533"/>
      <c r="E96" s="533"/>
      <c r="F96" s="30"/>
      <c r="G96" s="4"/>
      <c r="J96" s="4"/>
      <c r="L96" s="534" t="s">
        <v>46</v>
      </c>
      <c r="M96" s="534"/>
      <c r="N96" s="534"/>
    </row>
    <row r="97" spans="1:18" ht="23.25" customHeight="1" thickBot="1">
      <c r="A97" s="84" t="s">
        <v>12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445" t="s">
        <v>13</v>
      </c>
      <c r="M97" s="445"/>
      <c r="N97" s="445"/>
      <c r="O97" s="445"/>
      <c r="P97" s="2"/>
      <c r="Q97" s="2"/>
      <c r="R97" s="2"/>
    </row>
    <row r="98" spans="1:18" ht="15.75">
      <c r="A98" s="446" t="s">
        <v>14</v>
      </c>
      <c r="B98" s="446"/>
      <c r="C98" s="446"/>
      <c r="D98" s="446"/>
      <c r="E98" s="446"/>
      <c r="F98" s="3"/>
      <c r="H98" s="4"/>
      <c r="K98" s="4"/>
      <c r="L98" s="4"/>
    </row>
    <row r="99" spans="1:18" ht="15.75">
      <c r="A99" s="85" t="s">
        <v>15</v>
      </c>
      <c r="B99" s="85"/>
      <c r="C99" s="85"/>
      <c r="D99" s="85"/>
      <c r="E99" s="85"/>
      <c r="F99" s="5"/>
      <c r="H99" s="4"/>
      <c r="K99" s="4"/>
      <c r="L99" s="4"/>
      <c r="P99" s="6"/>
    </row>
    <row r="100" spans="1:18" ht="15.75">
      <c r="A100" s="85" t="s">
        <v>100</v>
      </c>
      <c r="B100" s="85"/>
      <c r="C100" s="85"/>
      <c r="D100" s="85"/>
      <c r="E100" s="85"/>
      <c r="F100" s="3"/>
      <c r="H100" s="4"/>
      <c r="K100" s="4"/>
      <c r="L100" s="4"/>
    </row>
    <row r="101" spans="1:18" s="8" customFormat="1" ht="27" customHeight="1">
      <c r="A101" s="7"/>
      <c r="B101" s="7"/>
      <c r="C101" s="7"/>
      <c r="D101" s="447" t="s">
        <v>94</v>
      </c>
      <c r="E101" s="447"/>
      <c r="F101" s="447"/>
      <c r="G101" s="447"/>
      <c r="H101" s="447"/>
      <c r="I101" s="447"/>
      <c r="J101" s="447"/>
      <c r="K101" s="447"/>
      <c r="L101" s="447"/>
      <c r="M101" s="7"/>
      <c r="N101" s="7"/>
      <c r="O101" s="7"/>
    </row>
    <row r="102" spans="1:18" ht="23.25" customHeight="1">
      <c r="A102" s="126" t="s">
        <v>101</v>
      </c>
      <c r="B102" s="126"/>
      <c r="C102" s="126"/>
      <c r="D102" s="126"/>
      <c r="E102" s="126"/>
      <c r="F102" s="126"/>
      <c r="G102" s="122"/>
      <c r="H102" s="122"/>
      <c r="I102" s="122" t="e">
        <f>IF(D127="ناجح(ة) دورة1","-الدورة الأولى-","-الدورة الثانية-")</f>
        <v>#N/A</v>
      </c>
      <c r="J102" s="124" t="s">
        <v>48</v>
      </c>
      <c r="K102" s="124"/>
      <c r="L102" s="87"/>
      <c r="M102" s="88"/>
      <c r="N102" s="89"/>
      <c r="O102" s="9"/>
    </row>
    <row r="103" spans="1:18" ht="20.25" customHeight="1">
      <c r="A103" s="476" t="s">
        <v>93</v>
      </c>
      <c r="B103" s="476"/>
      <c r="C103" s="90" t="e">
        <f>INDEX(Commerce_session2!A6:DN806,MATCH("D",Commerce_session2!A6:A806,0),3)</f>
        <v>#N/A</v>
      </c>
      <c r="D103" s="91" t="s">
        <v>92</v>
      </c>
      <c r="E103" s="448" t="e">
        <f>INDEX(Commerce_session2!A6:DN806,MATCH("D",Commerce_session2!A6:A806,0),4)</f>
        <v>#N/A</v>
      </c>
      <c r="F103" s="448" t="e">
        <f>INDEX(Commerce_session1!D95:DA274,MATCH("a",Commerce_session1!D95:D274,0),3)</f>
        <v>#N/A</v>
      </c>
      <c r="G103" s="477" t="s">
        <v>16</v>
      </c>
      <c r="H103" s="477"/>
      <c r="I103" s="477"/>
      <c r="J103" s="478" t="e">
        <f>INDEX(Commerce_session2!A6:DN806,MATCH("D",Commerce_session2!A6:A806,0),6)</f>
        <v>#N/A</v>
      </c>
      <c r="K103" s="478"/>
      <c r="L103" s="88"/>
      <c r="M103" s="92" t="s">
        <v>17</v>
      </c>
      <c r="N103" s="90" t="e">
        <f>INDEX(Commerce_session2!A6:DN806,MATCH("D",Commerce_session2!A6:A806,0),7)</f>
        <v>#N/A</v>
      </c>
      <c r="O103" s="10"/>
    </row>
    <row r="104" spans="1:18" ht="20.25" customHeight="1">
      <c r="A104" s="476" t="s">
        <v>18</v>
      </c>
      <c r="B104" s="476"/>
      <c r="C104" s="448" t="e">
        <f>INDEX(Commerce_session2!A6:DN806,MATCH("D",Commerce_session2!A6:A806,0),5)</f>
        <v>#N/A</v>
      </c>
      <c r="D104" s="448"/>
      <c r="E104" s="91"/>
      <c r="F104" s="88"/>
      <c r="G104" s="93"/>
      <c r="H104" s="88"/>
      <c r="I104" s="88"/>
      <c r="J104" s="93"/>
      <c r="K104" s="88"/>
      <c r="L104" s="88"/>
      <c r="M104" s="88"/>
      <c r="N104" s="88"/>
      <c r="O104" s="10"/>
    </row>
    <row r="105" spans="1:18" ht="20.25" customHeight="1">
      <c r="A105" s="476" t="s">
        <v>102</v>
      </c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</row>
    <row r="106" spans="1:18" ht="20.25" customHeight="1" thickBot="1">
      <c r="A106" s="459" t="s">
        <v>19</v>
      </c>
      <c r="B106" s="459"/>
      <c r="C106" s="459"/>
      <c r="D106" s="459"/>
      <c r="E106" s="459"/>
      <c r="F106" s="459"/>
      <c r="G106" s="459"/>
      <c r="H106" s="94"/>
      <c r="I106" s="94"/>
      <c r="J106" s="95"/>
      <c r="K106" s="94"/>
      <c r="L106" s="94"/>
      <c r="M106" s="94"/>
      <c r="N106" s="94"/>
      <c r="O106" s="11"/>
    </row>
    <row r="107" spans="1:18" ht="18.75" thickBot="1">
      <c r="A107" s="460" t="s">
        <v>20</v>
      </c>
      <c r="B107" s="463" t="s">
        <v>21</v>
      </c>
      <c r="C107" s="464"/>
      <c r="D107" s="464"/>
      <c r="E107" s="464"/>
      <c r="F107" s="464" t="s">
        <v>22</v>
      </c>
      <c r="G107" s="464"/>
      <c r="H107" s="464"/>
      <c r="I107" s="465" t="s">
        <v>23</v>
      </c>
      <c r="J107" s="466"/>
      <c r="K107" s="466"/>
      <c r="L107" s="466"/>
      <c r="M107" s="466"/>
      <c r="N107" s="466"/>
      <c r="O107" s="467"/>
    </row>
    <row r="108" spans="1:18">
      <c r="A108" s="461"/>
      <c r="B108" s="468" t="s">
        <v>24</v>
      </c>
      <c r="C108" s="470" t="s">
        <v>25</v>
      </c>
      <c r="D108" s="472" t="s">
        <v>26</v>
      </c>
      <c r="E108" s="474" t="s">
        <v>27</v>
      </c>
      <c r="F108" s="479" t="s">
        <v>28</v>
      </c>
      <c r="G108" s="468" t="s">
        <v>11</v>
      </c>
      <c r="H108" s="481" t="s">
        <v>27</v>
      </c>
      <c r="I108" s="482" t="s">
        <v>29</v>
      </c>
      <c r="J108" s="483"/>
      <c r="K108" s="484" t="s">
        <v>30</v>
      </c>
      <c r="L108" s="485"/>
      <c r="M108" s="486"/>
      <c r="N108" s="455" t="s">
        <v>20</v>
      </c>
      <c r="O108" s="456"/>
    </row>
    <row r="109" spans="1:18" ht="15.75" thickBot="1">
      <c r="A109" s="462"/>
      <c r="B109" s="469"/>
      <c r="C109" s="471"/>
      <c r="D109" s="473"/>
      <c r="E109" s="475"/>
      <c r="F109" s="480"/>
      <c r="G109" s="469"/>
      <c r="H109" s="473"/>
      <c r="I109" s="106" t="s">
        <v>10</v>
      </c>
      <c r="J109" s="106" t="s">
        <v>31</v>
      </c>
      <c r="K109" s="106" t="s">
        <v>32</v>
      </c>
      <c r="L109" s="457" t="s">
        <v>33</v>
      </c>
      <c r="M109" s="458"/>
      <c r="N109" s="106" t="s">
        <v>34</v>
      </c>
      <c r="O109" s="107" t="s">
        <v>35</v>
      </c>
    </row>
    <row r="110" spans="1:18" ht="18.75" customHeight="1" thickBot="1">
      <c r="A110" s="549" t="s">
        <v>76</v>
      </c>
      <c r="B110" s="552" t="s">
        <v>36</v>
      </c>
      <c r="C110" s="555" t="s">
        <v>90</v>
      </c>
      <c r="D110" s="556">
        <v>17</v>
      </c>
      <c r="E110" s="449">
        <v>6</v>
      </c>
      <c r="F110" s="96" t="s">
        <v>54</v>
      </c>
      <c r="G110" s="70">
        <v>5</v>
      </c>
      <c r="H110" s="71">
        <v>2</v>
      </c>
      <c r="I110" s="12" t="e">
        <f>INDEX(Commerce_session2!A6:DN806,MATCH("D",Commerce_session2!A6:A806,0),17)</f>
        <v>#N/A</v>
      </c>
      <c r="J110" s="13" t="e">
        <f>INDEX(Commerce_session2!A6:DN806,MATCH("D",Commerce_session2!A6:A806,0),18)</f>
        <v>#N/A</v>
      </c>
      <c r="K110" s="452" t="e">
        <f>INDEX(Commerce_session2!A6:DN806,MATCH("D",Commerce_session2!A6:A806,0),29)</f>
        <v>#N/A</v>
      </c>
      <c r="L110" s="494" t="e">
        <f>INDEX(Commerce_session2!A6:DN806,MATCH("D",Commerce_session2!A6:A806,0),30)</f>
        <v>#N/A</v>
      </c>
      <c r="M110" s="495" t="e">
        <f>INDEX(Commerce_session1!D95:CZ133,MATCH("a",Commerce_session1!D95:D133,0),15)</f>
        <v>#N/A</v>
      </c>
      <c r="N110" s="498" t="e">
        <f>INDEX(Commerce_session2!A6:DN806,MATCH("D",Commerce_session2!A6:A806,0),111)</f>
        <v>#N/A</v>
      </c>
      <c r="O110" s="487" t="e">
        <f>INDEX(Commerce_session2!A6:DN806,MATCH("D",Commerce_session2!A6:A806,0),112)</f>
        <v>#N/A</v>
      </c>
    </row>
    <row r="111" spans="1:18" ht="18.75" customHeight="1" thickBot="1">
      <c r="A111" s="550"/>
      <c r="B111" s="553"/>
      <c r="C111" s="503"/>
      <c r="D111" s="557"/>
      <c r="E111" s="450"/>
      <c r="F111" s="97" t="s">
        <v>55</v>
      </c>
      <c r="G111" s="72">
        <v>6</v>
      </c>
      <c r="H111" s="73">
        <v>2</v>
      </c>
      <c r="I111" s="14" t="e">
        <f>INDEX(Commerce_session2!A6:DN806,MATCH("D",Commerce_session2!A6:A806,0),22)</f>
        <v>#N/A</v>
      </c>
      <c r="J111" s="15" t="e">
        <f>INDEX(Commerce_session2!A6:DN806,MATCH("D",Commerce_session2!A6:A806,0),23)</f>
        <v>#N/A</v>
      </c>
      <c r="K111" s="453" t="e">
        <f>INDEX(Commerce_session1!B95:CY133,MATCH("a",Commerce_session1!B95:B133,0),14)</f>
        <v>#N/A</v>
      </c>
      <c r="L111" s="496" t="e">
        <f>INDEX(Commerce_session1!D95:CZ133,MATCH("a",Commerce_session1!D95:D133,0),14)</f>
        <v>#N/A</v>
      </c>
      <c r="M111" s="497" t="e">
        <f>INDEX(Commerce_session1!E95:DA133,MATCH("a",Commerce_session1!E95:E133,0),14)</f>
        <v>#N/A</v>
      </c>
      <c r="N111" s="498" t="e">
        <f>INDEX(Commerce_session1!#REF!,MATCH("a",Commerce_session1!#REF!,0),62)</f>
        <v>#REF!</v>
      </c>
      <c r="O111" s="487" t="e">
        <f>INDEX(Commerce_session1!#REF!,MATCH("a",Commerce_session1!#REF!,0),62)</f>
        <v>#REF!</v>
      </c>
    </row>
    <row r="112" spans="1:18" ht="18.75" customHeight="1" thickBot="1">
      <c r="A112" s="550"/>
      <c r="B112" s="554"/>
      <c r="C112" s="504"/>
      <c r="D112" s="558"/>
      <c r="E112" s="451"/>
      <c r="F112" s="98" t="s">
        <v>56</v>
      </c>
      <c r="G112" s="74">
        <v>6</v>
      </c>
      <c r="H112" s="75">
        <v>2</v>
      </c>
      <c r="I112" s="16" t="e">
        <f>INDEX(Commerce_session2!A6:DN806,MATCH("D",Commerce_session2!A6:A806,0),27)</f>
        <v>#N/A</v>
      </c>
      <c r="J112" s="17" t="e">
        <f>INDEX(Commerce_session2!A6:DN806,MATCH("D",Commerce_session2!A6:A806,0),28)</f>
        <v>#N/A</v>
      </c>
      <c r="K112" s="454" t="e">
        <f>INDEX(Commerce_session1!B97:CY133,MATCH("a",Commerce_session1!B97:B133,0),14)</f>
        <v>#N/A</v>
      </c>
      <c r="L112" s="490" t="e">
        <f>INDEX(Commerce_session1!D97:CZ133,MATCH("a",Commerce_session1!D97:D133,0),14)</f>
        <v>#N/A</v>
      </c>
      <c r="M112" s="491" t="e">
        <f>INDEX(Commerce_session1!E97:DA133,MATCH("a",Commerce_session1!E97:E133,0),14)</f>
        <v>#N/A</v>
      </c>
      <c r="N112" s="498" t="e">
        <f>INDEX(Commerce_session1!#REF!,MATCH("a",Commerce_session1!#REF!,0),62)</f>
        <v>#REF!</v>
      </c>
      <c r="O112" s="487" t="e">
        <f>INDEX(Commerce_session1!#REF!,MATCH("a",Commerce_session1!#REF!,0),62)</f>
        <v>#REF!</v>
      </c>
    </row>
    <row r="113" spans="1:15" ht="19.5" customHeight="1" thickTop="1" thickBot="1">
      <c r="A113" s="550"/>
      <c r="B113" s="499" t="s">
        <v>37</v>
      </c>
      <c r="C113" s="502" t="s">
        <v>89</v>
      </c>
      <c r="D113" s="505">
        <v>7</v>
      </c>
      <c r="E113" s="508">
        <v>5</v>
      </c>
      <c r="F113" s="99" t="s">
        <v>83</v>
      </c>
      <c r="G113" s="76">
        <v>1</v>
      </c>
      <c r="H113" s="77">
        <v>1</v>
      </c>
      <c r="I113" s="18" t="e">
        <f>INDEX(Commerce_session2!A6:DN806,MATCH("D",Commerce_session2!A6:A806,0),33)</f>
        <v>#N/A</v>
      </c>
      <c r="J113" s="19" t="e">
        <f>INDEX(Commerce_session2!A6:DN806,MATCH("D",Commerce_session2!A6:A806,0),34)</f>
        <v>#N/A</v>
      </c>
      <c r="K113" s="509" t="e">
        <f>INDEX(Commerce_session2!A6:DN806,MATCH("D",Commerce_session2!A6:A806,0),45)</f>
        <v>#N/A</v>
      </c>
      <c r="L113" s="488" t="e">
        <f>INDEX(Commerce_session2!A6:DN806,MATCH("D",Commerce_session2!A6:A806,0),46)</f>
        <v>#N/A</v>
      </c>
      <c r="M113" s="489" t="e">
        <f>INDEX(Commerce_session1!D95:CZ133,MATCH("a",Commerce_session1!D95:D133,0),23)</f>
        <v>#N/A</v>
      </c>
      <c r="N113" s="498" t="e">
        <f>INDEX(Commerce_session1!#REF!,MATCH("a",Commerce_session1!#REF!,0),62)</f>
        <v>#REF!</v>
      </c>
      <c r="O113" s="487" t="e">
        <f>INDEX(Commerce_session1!#REF!,MATCH("a",Commerce_session1!#REF!,0),62)</f>
        <v>#REF!</v>
      </c>
    </row>
    <row r="114" spans="1:15" ht="18.75" customHeight="1" thickTop="1" thickBot="1">
      <c r="A114" s="550"/>
      <c r="B114" s="500"/>
      <c r="C114" s="503"/>
      <c r="D114" s="506"/>
      <c r="E114" s="450"/>
      <c r="F114" s="100" t="s">
        <v>99</v>
      </c>
      <c r="G114" s="78">
        <v>3</v>
      </c>
      <c r="H114" s="79">
        <v>2</v>
      </c>
      <c r="I114" s="18" t="e">
        <f>INDEX(Commerce_session2!A6:DN806,MATCH("D",Commerce_session2!A6:A806,0),38)</f>
        <v>#N/A</v>
      </c>
      <c r="J114" s="15" t="e">
        <f>INDEX(Commerce_session2!A6:DN806,MATCH("D",Commerce_session2!A6:A806,0),39)</f>
        <v>#N/A</v>
      </c>
      <c r="K114" s="510" t="e">
        <f>INDEX(Commerce_session1!B94:CY133,MATCH("a",Commerce_session1!B94:B133,0),22)</f>
        <v>#N/A</v>
      </c>
      <c r="L114" s="496" t="e">
        <f>INDEX(Commerce_session1!D94:CZ133,MATCH("a",Commerce_session1!D94:D133,0),22)</f>
        <v>#N/A</v>
      </c>
      <c r="M114" s="497" t="e">
        <f>INDEX(Commerce_session1!E94:DA133,MATCH("a",Commerce_session1!E94:E133,0),22)</f>
        <v>#N/A</v>
      </c>
      <c r="N114" s="498" t="e">
        <f>INDEX(Commerce_session1!#REF!,MATCH("a",Commerce_session1!#REF!,0),62)</f>
        <v>#REF!</v>
      </c>
      <c r="O114" s="487" t="e">
        <f>INDEX(Commerce_session1!#REF!,MATCH("a",Commerce_session1!#REF!,0),62)</f>
        <v>#REF!</v>
      </c>
    </row>
    <row r="115" spans="1:15" ht="18.75" customHeight="1" thickBot="1">
      <c r="A115" s="550"/>
      <c r="B115" s="501"/>
      <c r="C115" s="504"/>
      <c r="D115" s="507"/>
      <c r="E115" s="451"/>
      <c r="F115" s="101" t="s">
        <v>84</v>
      </c>
      <c r="G115" s="80">
        <v>3</v>
      </c>
      <c r="H115" s="81">
        <v>2</v>
      </c>
      <c r="I115" s="20" t="e">
        <f>INDEX(Commerce_session2!A6:DN806,MATCH("D",Commerce_session2!A6:A806,0),43)</f>
        <v>#N/A</v>
      </c>
      <c r="J115" s="17" t="e">
        <f>INDEX(Commerce_session2!A6:DN806,MATCH("D",Commerce_session2!A6:A806,0),44)</f>
        <v>#N/A</v>
      </c>
      <c r="K115" s="511" t="e">
        <f>INDEX(Commerce_session1!B95:CY133,MATCH("a",Commerce_session1!B95:B133,0),22)</f>
        <v>#N/A</v>
      </c>
      <c r="L115" s="490" t="e">
        <f>INDEX(Commerce_session1!D95:CZ133,MATCH("a",Commerce_session1!D95:D133,0),22)</f>
        <v>#N/A</v>
      </c>
      <c r="M115" s="491" t="e">
        <f>INDEX(Commerce_session1!E95:DA133,MATCH("a",Commerce_session1!E95:E133,0),22)</f>
        <v>#N/A</v>
      </c>
      <c r="N115" s="498" t="e">
        <f>INDEX(Commerce_session1!#REF!,MATCH("a",Commerce_session1!#REF!,0),62)</f>
        <v>#REF!</v>
      </c>
      <c r="O115" s="487" t="e">
        <f>INDEX(Commerce_session1!#REF!,MATCH("a",Commerce_session1!#REF!,0),62)</f>
        <v>#REF!</v>
      </c>
    </row>
    <row r="116" spans="1:15" ht="33.75" customHeight="1" thickTop="1" thickBot="1">
      <c r="A116" s="550"/>
      <c r="B116" s="531" t="s">
        <v>38</v>
      </c>
      <c r="C116" s="559" t="s">
        <v>50</v>
      </c>
      <c r="D116" s="520">
        <v>5</v>
      </c>
      <c r="E116" s="508">
        <v>2</v>
      </c>
      <c r="F116" s="102" t="s">
        <v>63</v>
      </c>
      <c r="G116" s="68">
        <v>4</v>
      </c>
      <c r="H116" s="69">
        <v>1</v>
      </c>
      <c r="I116" s="18" t="e">
        <f>INDEX(Commerce_session2!A6:DN806,MATCH("D",Commerce_session2!A6:A806,0),50)</f>
        <v>#N/A</v>
      </c>
      <c r="J116" s="19" t="e">
        <f>INDEX(Commerce_session2!A6:DN806,MATCH("D",Commerce_session2!A6:A806,0),51)</f>
        <v>#N/A</v>
      </c>
      <c r="K116" s="509" t="e">
        <f>INDEX(Commerce_session2!A6:DN806,MATCH("D",Commerce_session2!A6:A806,0),56)</f>
        <v>#N/A</v>
      </c>
      <c r="L116" s="488" t="e">
        <f>INDEX(Commerce_session2!A6:DN806,MATCH("D",Commerce_session2!A6:A806,0),57)</f>
        <v>#N/A</v>
      </c>
      <c r="M116" s="489" t="e">
        <f>INDEX(Commerce_session1!D95:CZ133,MATCH("a",Commerce_session1!D95:D133,0),29)</f>
        <v>#N/A</v>
      </c>
      <c r="N116" s="498" t="e">
        <f>INDEX(Commerce_session1!#REF!,MATCH("a",Commerce_session1!#REF!,0),62)</f>
        <v>#REF!</v>
      </c>
      <c r="O116" s="487" t="e">
        <f>INDEX(Commerce_session1!#REF!,MATCH("a",Commerce_session1!#REF!,0),62)</f>
        <v>#REF!</v>
      </c>
    </row>
    <row r="117" spans="1:15" ht="18.75" customHeight="1" thickBot="1">
      <c r="A117" s="550"/>
      <c r="B117" s="527"/>
      <c r="C117" s="524"/>
      <c r="D117" s="521"/>
      <c r="E117" s="451"/>
      <c r="F117" s="101" t="s">
        <v>62</v>
      </c>
      <c r="G117" s="80">
        <v>1</v>
      </c>
      <c r="H117" s="81">
        <v>1</v>
      </c>
      <c r="I117" s="16" t="e">
        <f>INDEX(Commerce_session2!A6:DN806,MATCH("D",Commerce_session2!A6:A806,0),54)</f>
        <v>#N/A</v>
      </c>
      <c r="J117" s="21" t="e">
        <f>INDEX(Commerce_session2!A6:DN806,MATCH("D",Commerce_session2!A6:A806,0),55)</f>
        <v>#N/A</v>
      </c>
      <c r="K117" s="511" t="e">
        <f>INDEX(Commerce_session1!B95:CY133,MATCH("a",Commerce_session1!B95:B133,0),28)</f>
        <v>#N/A</v>
      </c>
      <c r="L117" s="490" t="e">
        <f>INDEX(Commerce_session1!D95:CZ133,MATCH("a",Commerce_session1!D95:D133,0),28)</f>
        <v>#N/A</v>
      </c>
      <c r="M117" s="491" t="e">
        <f>INDEX(Commerce_session1!E95:DA133,MATCH("a",Commerce_session1!E95:E133,0),28)</f>
        <v>#N/A</v>
      </c>
      <c r="N117" s="498" t="e">
        <f>INDEX(Commerce_session1!#REF!,MATCH("a",Commerce_session1!#REF!,0),62)</f>
        <v>#REF!</v>
      </c>
      <c r="O117" s="487" t="e">
        <f>INDEX(Commerce_session1!#REF!,MATCH("a",Commerce_session1!#REF!,0),62)</f>
        <v>#REF!</v>
      </c>
    </row>
    <row r="118" spans="1:15" ht="20.25" customHeight="1" thickTop="1" thickBot="1">
      <c r="A118" s="551"/>
      <c r="B118" s="105" t="s">
        <v>39</v>
      </c>
      <c r="C118" s="104" t="s">
        <v>51</v>
      </c>
      <c r="D118" s="22">
        <v>1</v>
      </c>
      <c r="E118" s="23">
        <v>1</v>
      </c>
      <c r="F118" s="103" t="s">
        <v>64</v>
      </c>
      <c r="G118" s="82">
        <v>1</v>
      </c>
      <c r="H118" s="83">
        <v>1</v>
      </c>
      <c r="I118" s="20" t="e">
        <f>INDEX(Commerce_session2!A6:DN806,MATCH("D",Commerce_session2!A6:A806,0),61)</f>
        <v>#N/A</v>
      </c>
      <c r="J118" s="24" t="e">
        <f>INDEX(Commerce_session2!A6:DN806,MATCH("D",Commerce_session2!A6:A806,0),62)</f>
        <v>#N/A</v>
      </c>
      <c r="K118" s="36" t="e">
        <f>INDEX(Commerce_session2!A6:DN806,MATCH("D",Commerce_session2!A6:A806,0),63)</f>
        <v>#N/A</v>
      </c>
      <c r="L118" s="492" t="e">
        <f>INDEX(Commerce_session2!A6:DN806,MATCH("D",Commerce_session2!A6:A806,0),64)</f>
        <v>#N/A</v>
      </c>
      <c r="M118" s="493" t="e">
        <f>INDEX(Commerce_session1!D95:CZ133,MATCH("a",Commerce_session1!D95:D133,0),33)</f>
        <v>#N/A</v>
      </c>
      <c r="N118" s="498" t="e">
        <f>INDEX(Commerce_session1!#REF!,MATCH("a",Commerce_session1!#REF!,0),62)</f>
        <v>#REF!</v>
      </c>
      <c r="O118" s="487" t="e">
        <f>INDEX(Commerce_session1!#REF!,MATCH("a",Commerce_session1!#REF!,0),62)</f>
        <v>#REF!</v>
      </c>
    </row>
    <row r="119" spans="1:15" ht="19.5" customHeight="1" thickTop="1" thickBot="1">
      <c r="A119" s="516" t="s">
        <v>77</v>
      </c>
      <c r="B119" s="525" t="s">
        <v>36</v>
      </c>
      <c r="C119" s="522" t="s">
        <v>88</v>
      </c>
      <c r="D119" s="528">
        <v>16</v>
      </c>
      <c r="E119" s="449">
        <v>5</v>
      </c>
      <c r="F119" s="96" t="s">
        <v>67</v>
      </c>
      <c r="G119" s="114">
        <v>6</v>
      </c>
      <c r="H119" s="115">
        <v>2</v>
      </c>
      <c r="I119" s="18" t="e">
        <f>INDEX(Commerce_session2!A6:DN806,MATCH("D",Commerce_session2!A6:A806,0),70)</f>
        <v>#N/A</v>
      </c>
      <c r="J119" s="19" t="e">
        <f>INDEX(Commerce_session2!A6:DN806,MATCH("D",Commerce_session2!A6:A806,0),71)</f>
        <v>#N/A</v>
      </c>
      <c r="K119" s="519" t="e">
        <f>INDEX(Commerce_session2!A6:DN806,MATCH("D",Commerce_session2!A6:A806,0),82)</f>
        <v>#N/A</v>
      </c>
      <c r="L119" s="494" t="e">
        <f>INDEX(Commerce_session2!A6:DN806,MATCH("D",Commerce_session2!A6:A806,0),83)</f>
        <v>#N/A</v>
      </c>
      <c r="M119" s="495"/>
      <c r="N119" s="498" t="e">
        <f>INDEX(Commerce_session2!A6:DN806,MATCH("D",Commerce_session2!A6:A806,0),113)</f>
        <v>#N/A</v>
      </c>
      <c r="O119" s="487" t="e">
        <f>INDEX(Commerce_session2!A6:DN806,MATCH("D",Commerce_session2!A6:A806,0),114)</f>
        <v>#N/A</v>
      </c>
    </row>
    <row r="120" spans="1:15" ht="18.75" customHeight="1" thickBot="1">
      <c r="A120" s="517"/>
      <c r="B120" s="526"/>
      <c r="C120" s="523"/>
      <c r="D120" s="529"/>
      <c r="E120" s="450"/>
      <c r="F120" s="100" t="s">
        <v>68</v>
      </c>
      <c r="G120" s="116">
        <v>6</v>
      </c>
      <c r="H120" s="117">
        <v>2</v>
      </c>
      <c r="I120" s="14" t="e">
        <f>INDEX(Commerce_session2!A6:DN806,MATCH("D",Commerce_session2!A6:A806,0),75)</f>
        <v>#N/A</v>
      </c>
      <c r="J120" s="15" t="e">
        <f>INDEX(Commerce_session2!A6:DN806,MATCH("D",Commerce_session2!A6:A806,0),76)</f>
        <v>#N/A</v>
      </c>
      <c r="K120" s="510"/>
      <c r="L120" s="496"/>
      <c r="M120" s="497"/>
      <c r="N120" s="498" t="e">
        <f>INDEX(Commerce_session1!F95:DA133,MATCH("a",Commerce_session1!F95:F133,0),42)</f>
        <v>#N/A</v>
      </c>
      <c r="O120" s="487" t="e">
        <f>INDEX(Commerce_session1!G95:DA133,MATCH("a",Commerce_session1!G95:G133,0),42)</f>
        <v>#N/A</v>
      </c>
    </row>
    <row r="121" spans="1:15" ht="20.25" customHeight="1" thickBot="1">
      <c r="A121" s="517"/>
      <c r="B121" s="527"/>
      <c r="C121" s="524"/>
      <c r="D121" s="530"/>
      <c r="E121" s="451"/>
      <c r="F121" s="101" t="s">
        <v>103</v>
      </c>
      <c r="G121" s="118">
        <v>4</v>
      </c>
      <c r="H121" s="119">
        <v>1</v>
      </c>
      <c r="I121" s="127" t="e">
        <f>INDEX(Commerce_session2!A6:DN806,MATCH("D",Commerce_session2!A6:A806,0),80)</f>
        <v>#N/A</v>
      </c>
      <c r="J121" s="21" t="e">
        <f>INDEX(Commerce_session2!A6:DN806,MATCH("D",Commerce_session2!A6:A806,0),81)</f>
        <v>#N/A</v>
      </c>
      <c r="K121" s="511"/>
      <c r="L121" s="490"/>
      <c r="M121" s="491"/>
      <c r="N121" s="498" t="e">
        <f>INDEX(Commerce_session1!F96:DA133,MATCH("a",Commerce_session1!F96:F133,0),42)</f>
        <v>#N/A</v>
      </c>
      <c r="O121" s="487" t="e">
        <f>INDEX(Commerce_session1!G96:DA133,MATCH("a",Commerce_session1!G96:G133,0),42)</f>
        <v>#N/A</v>
      </c>
    </row>
    <row r="122" spans="1:15" ht="22.5" customHeight="1" thickTop="1" thickBot="1">
      <c r="A122" s="517"/>
      <c r="B122" s="531" t="s">
        <v>37</v>
      </c>
      <c r="C122" s="559" t="s">
        <v>87</v>
      </c>
      <c r="D122" s="532">
        <v>10</v>
      </c>
      <c r="E122" s="508">
        <v>4</v>
      </c>
      <c r="F122" s="128" t="s">
        <v>104</v>
      </c>
      <c r="G122" s="76">
        <v>5</v>
      </c>
      <c r="H122" s="77">
        <v>2</v>
      </c>
      <c r="I122" s="18" t="e">
        <f>INDEX(Commerce_session2!A6:DN806,MATCH("D",Commerce_session2!A6:A806,0),87)</f>
        <v>#N/A</v>
      </c>
      <c r="J122" s="19" t="e">
        <f>INDEX(Commerce_session2!A6:DN806,MATCH("D",Commerce_session2!A6:A806,0),88)</f>
        <v>#N/A</v>
      </c>
      <c r="K122" s="509" t="e">
        <f>INDEX(Commerce_session2!A6:DN806,MATCH("D",Commerce_session2!A6:A806,0),94)</f>
        <v>#N/A</v>
      </c>
      <c r="L122" s="488" t="e">
        <f>INDEX(Commerce_session2!A6:DN806,MATCH("D",Commerce_session2!A6:A806,0),95)</f>
        <v>#N/A</v>
      </c>
      <c r="M122" s="489"/>
      <c r="N122" s="498" t="e">
        <f>INDEX(Commerce_session1!E98:DA133,MATCH("a",Commerce_session1!E98:E133,0),43)</f>
        <v>#N/A</v>
      </c>
      <c r="O122" s="487" t="e">
        <f>INDEX(Commerce_session1!F98:DA133,MATCH("a",Commerce_session1!F98:F133,0),43)</f>
        <v>#N/A</v>
      </c>
    </row>
    <row r="123" spans="1:15" ht="18.75" customHeight="1" thickBot="1">
      <c r="A123" s="517"/>
      <c r="B123" s="527"/>
      <c r="C123" s="524"/>
      <c r="D123" s="530"/>
      <c r="E123" s="451"/>
      <c r="F123" s="98" t="s">
        <v>69</v>
      </c>
      <c r="G123" s="74">
        <v>5</v>
      </c>
      <c r="H123" s="75">
        <v>2</v>
      </c>
      <c r="I123" s="20" t="e">
        <f>INDEX(Commerce_session2!A6:DN806,MATCH("D",Commerce_session2!A6:A806,0),92)</f>
        <v>#N/A</v>
      </c>
      <c r="J123" s="17" t="e">
        <f>INDEX(Commerce_session2!A6:DN806,MATCH("D",Commerce_session2!A6:A806,0),93)</f>
        <v>#N/A</v>
      </c>
      <c r="K123" s="511"/>
      <c r="L123" s="490"/>
      <c r="M123" s="491"/>
      <c r="N123" s="498" t="e">
        <f>INDEX(Commerce_session1!F99:DA133,MATCH("a",Commerce_session1!F99:F133,0),42)</f>
        <v>#N/A</v>
      </c>
      <c r="O123" s="487" t="e">
        <f>INDEX(Commerce_session1!G99:DA133,MATCH("a",Commerce_session1!G99:G133,0),42)</f>
        <v>#N/A</v>
      </c>
    </row>
    <row r="124" spans="1:15" ht="18.75" customHeight="1" thickTop="1" thickBot="1">
      <c r="A124" s="517"/>
      <c r="B124" s="105" t="s">
        <v>38</v>
      </c>
      <c r="C124" s="104" t="s">
        <v>85</v>
      </c>
      <c r="D124" s="22">
        <v>3</v>
      </c>
      <c r="E124" s="23">
        <v>2</v>
      </c>
      <c r="F124" s="101" t="s">
        <v>74</v>
      </c>
      <c r="G124" s="74">
        <v>3</v>
      </c>
      <c r="H124" s="75">
        <v>2</v>
      </c>
      <c r="I124" s="20" t="e">
        <f>INDEX(Commerce_session2!A6:DN806,MATCH("D",Commerce_session2!A6:A806,0),99)</f>
        <v>#N/A</v>
      </c>
      <c r="J124" s="17" t="e">
        <f>INDEX(Commerce_session2!A6:DN806,MATCH("D",Commerce_session2!A6:A806,0),100)</f>
        <v>#N/A</v>
      </c>
      <c r="K124" s="125" t="e">
        <f>INDEX(Commerce_session2!A6:DN806,MATCH("D",Commerce_session2!A6:A806,0),101)</f>
        <v>#N/A</v>
      </c>
      <c r="L124" s="512" t="e">
        <f>INDEX(Commerce_session2!A6:DN806,MATCH("D",Commerce_session2!A6:A806,0),102)</f>
        <v>#N/A</v>
      </c>
      <c r="M124" s="513"/>
      <c r="N124" s="498" t="e">
        <f>INDEX(Commerce_session1!F100:DA133,MATCH("a",Commerce_session1!F100:F133,0),42)</f>
        <v>#N/A</v>
      </c>
      <c r="O124" s="487" t="e">
        <f>INDEX(Commerce_session1!G100:DA133,MATCH("a",Commerce_session1!G100:G133,0),42)</f>
        <v>#N/A</v>
      </c>
    </row>
    <row r="125" spans="1:15" ht="20.25" customHeight="1" thickTop="1" thickBot="1">
      <c r="A125" s="518"/>
      <c r="B125" s="105" t="s">
        <v>39</v>
      </c>
      <c r="C125" s="104" t="s">
        <v>86</v>
      </c>
      <c r="D125" s="22">
        <v>1</v>
      </c>
      <c r="E125" s="23">
        <v>1</v>
      </c>
      <c r="F125" s="103" t="s">
        <v>73</v>
      </c>
      <c r="G125" s="82">
        <v>1</v>
      </c>
      <c r="H125" s="83">
        <v>1</v>
      </c>
      <c r="I125" s="25" t="e">
        <f>INDEX(Commerce_session2!A6:DN806,MATCH("D",Commerce_session2!A6:A806,0),105)</f>
        <v>#N/A</v>
      </c>
      <c r="J125" s="26" t="e">
        <f>INDEX(Commerce_session2!A6:DN806,MATCH("D",Commerce_session2!A6:A806,0),106)</f>
        <v>#N/A</v>
      </c>
      <c r="K125" s="27" t="e">
        <f>INDEX(Commerce_session2!A6:DN806,MATCH("D",Commerce_session2!A6:A806,0),107)</f>
        <v>#N/A</v>
      </c>
      <c r="L125" s="514" t="e">
        <f>INDEX(Commerce_session2!A6:DN806,MATCH("D",Commerce_session2!A6:A806,0),108)</f>
        <v>#N/A</v>
      </c>
      <c r="M125" s="515" t="e">
        <f>INDEX(Commerce_session1!D95:CZ133,MATCH("a",Commerce_session1!D95:D133,0),61)</f>
        <v>#N/A</v>
      </c>
      <c r="N125" s="498" t="e">
        <f>INDEX(Commerce_session1!F100:DA133,MATCH("a",Commerce_session1!F100:F133,0),42)</f>
        <v>#N/A</v>
      </c>
      <c r="O125" s="487" t="e">
        <f>INDEX(Commerce_session1!G100:DA133,MATCH("a",Commerce_session1!G100:G133,0),42)</f>
        <v>#N/A</v>
      </c>
    </row>
    <row r="126" spans="1:15" ht="20.25">
      <c r="A126" s="535" t="s">
        <v>40</v>
      </c>
      <c r="B126" s="536"/>
      <c r="C126" s="537"/>
      <c r="D126" s="121" t="e">
        <f>INDEX(Commerce_session2!A6:DN806,MATCH("D",Commerce_session2!A6:A806,0),115)</f>
        <v>#N/A</v>
      </c>
      <c r="E126" s="538" t="s">
        <v>41</v>
      </c>
      <c r="F126" s="540"/>
      <c r="G126" s="120" t="e">
        <f>INDEX(Commerce_session2!A6:DN806,MATCH("D",Commerce_session2!A6:A806,0),116)</f>
        <v>#N/A</v>
      </c>
      <c r="H126" s="538" t="s">
        <v>91</v>
      </c>
      <c r="I126" s="539"/>
      <c r="J126" s="539"/>
      <c r="K126" s="540"/>
      <c r="L126" s="541" t="e">
        <f>INDEX(Commerce_session2!A6:DN806,MATCH("D",Commerce_session2!A6:A806,0),117)</f>
        <v>#N/A</v>
      </c>
      <c r="M126" s="542"/>
      <c r="N126" s="8"/>
      <c r="O126" s="8"/>
    </row>
    <row r="127" spans="1:15" ht="22.5">
      <c r="A127" s="546" t="s">
        <v>42</v>
      </c>
      <c r="B127" s="547"/>
      <c r="C127" s="548"/>
      <c r="D127" s="543" t="e">
        <f>INDEX(Commerce_session2!A6:DN806,MATCH("D",Commerce_session2!A6:A806,0),118)</f>
        <v>#N/A</v>
      </c>
      <c r="E127" s="544"/>
      <c r="F127" s="545"/>
      <c r="G127" s="108"/>
      <c r="H127" s="109"/>
      <c r="I127" s="110"/>
      <c r="J127" s="111"/>
      <c r="K127" s="110"/>
      <c r="L127" s="110"/>
      <c r="M127" s="110"/>
      <c r="N127" s="112" t="s">
        <v>43</v>
      </c>
      <c r="O127" s="28">
        <f ca="1">TODAY()</f>
        <v>43626</v>
      </c>
    </row>
    <row r="128" spans="1:15" ht="32.25" customHeight="1">
      <c r="A128" s="113" t="s">
        <v>44</v>
      </c>
      <c r="B128" s="29"/>
      <c r="C128" s="29"/>
      <c r="D128" s="533"/>
      <c r="E128" s="533"/>
      <c r="F128" s="30"/>
      <c r="G128" s="4"/>
      <c r="J128" s="4"/>
      <c r="L128" s="534" t="s">
        <v>46</v>
      </c>
      <c r="M128" s="534"/>
      <c r="N128" s="534"/>
    </row>
    <row r="129" spans="1:18" ht="23.25" customHeight="1" thickBot="1">
      <c r="A129" s="84" t="s">
        <v>12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445" t="s">
        <v>13</v>
      </c>
      <c r="M129" s="445"/>
      <c r="N129" s="445"/>
      <c r="O129" s="445"/>
      <c r="P129" s="2"/>
      <c r="Q129" s="2"/>
      <c r="R129" s="2"/>
    </row>
    <row r="130" spans="1:18" ht="15.75">
      <c r="A130" s="446" t="s">
        <v>14</v>
      </c>
      <c r="B130" s="446"/>
      <c r="C130" s="446"/>
      <c r="D130" s="446"/>
      <c r="E130" s="446"/>
      <c r="F130" s="3"/>
      <c r="H130" s="4"/>
      <c r="K130" s="4"/>
      <c r="L130" s="4"/>
    </row>
    <row r="131" spans="1:18" ht="15.75">
      <c r="A131" s="85" t="s">
        <v>15</v>
      </c>
      <c r="B131" s="85"/>
      <c r="C131" s="85"/>
      <c r="D131" s="85"/>
      <c r="E131" s="85"/>
      <c r="F131" s="5"/>
      <c r="H131" s="4"/>
      <c r="K131" s="4"/>
      <c r="L131" s="4"/>
      <c r="P131" s="6"/>
    </row>
    <row r="132" spans="1:18" ht="15.75">
      <c r="A132" s="85" t="s">
        <v>100</v>
      </c>
      <c r="B132" s="85"/>
      <c r="C132" s="85"/>
      <c r="D132" s="85"/>
      <c r="E132" s="85"/>
      <c r="F132" s="3"/>
      <c r="H132" s="4"/>
      <c r="K132" s="4"/>
      <c r="L132" s="4"/>
    </row>
    <row r="133" spans="1:18" s="8" customFormat="1" ht="27" customHeight="1">
      <c r="A133" s="7"/>
      <c r="B133" s="7"/>
      <c r="C133" s="7"/>
      <c r="D133" s="447" t="s">
        <v>94</v>
      </c>
      <c r="E133" s="447"/>
      <c r="F133" s="447"/>
      <c r="G133" s="447"/>
      <c r="H133" s="447"/>
      <c r="I133" s="447"/>
      <c r="J133" s="447"/>
      <c r="K133" s="447"/>
      <c r="L133" s="447"/>
      <c r="M133" s="7"/>
      <c r="N133" s="7"/>
      <c r="O133" s="7"/>
    </row>
    <row r="134" spans="1:18" ht="23.25" customHeight="1">
      <c r="A134" s="126" t="s">
        <v>101</v>
      </c>
      <c r="B134" s="126"/>
      <c r="C134" s="126"/>
      <c r="D134" s="126"/>
      <c r="E134" s="126"/>
      <c r="F134" s="126"/>
      <c r="G134" s="122"/>
      <c r="H134" s="122"/>
      <c r="I134" s="122" t="e">
        <f>IF(D159="ناجح(ة) دورة1","-الدورة الأولى-","-الدورة الثانية-")</f>
        <v>#N/A</v>
      </c>
      <c r="J134" s="124" t="s">
        <v>48</v>
      </c>
      <c r="K134" s="124"/>
      <c r="L134" s="87"/>
      <c r="M134" s="88"/>
      <c r="N134" s="89"/>
      <c r="O134" s="9"/>
    </row>
    <row r="135" spans="1:18" ht="20.25" customHeight="1">
      <c r="A135" s="476" t="s">
        <v>93</v>
      </c>
      <c r="B135" s="476"/>
      <c r="C135" s="90" t="e">
        <f>INDEX(Commerce_session2!A6:DN806,MATCH("E",Commerce_session2!A6:A806,0),3)</f>
        <v>#N/A</v>
      </c>
      <c r="D135" s="91" t="s">
        <v>92</v>
      </c>
      <c r="E135" s="448" t="e">
        <f>INDEX(Commerce_session2!A6:DN806,MATCH("E",Commerce_session2!A6:A806,0),4)</f>
        <v>#N/A</v>
      </c>
      <c r="F135" s="448" t="e">
        <f>INDEX(Commerce_session1!D132:DA306,MATCH("a",Commerce_session1!D132:D306,0),3)</f>
        <v>#N/A</v>
      </c>
      <c r="G135" s="477" t="s">
        <v>16</v>
      </c>
      <c r="H135" s="477"/>
      <c r="I135" s="477"/>
      <c r="J135" s="478" t="e">
        <f>INDEX(Commerce_session2!A6:DN806,MATCH("E",Commerce_session2!A6:A806,0),6)</f>
        <v>#N/A</v>
      </c>
      <c r="K135" s="478"/>
      <c r="L135" s="88"/>
      <c r="M135" s="92" t="s">
        <v>17</v>
      </c>
      <c r="N135" s="90" t="e">
        <f>INDEX(Commerce_session2!A6:DN806,MATCH("E",Commerce_session2!A6:A806,0),7)</f>
        <v>#N/A</v>
      </c>
      <c r="O135" s="10"/>
    </row>
    <row r="136" spans="1:18" ht="20.25" customHeight="1">
      <c r="A136" s="476" t="s">
        <v>18</v>
      </c>
      <c r="B136" s="476"/>
      <c r="C136" s="448" t="e">
        <f>INDEX(Commerce_session2!A6:DN806,MATCH("E",Commerce_session2!A6:A806,0),5)</f>
        <v>#N/A</v>
      </c>
      <c r="D136" s="448"/>
      <c r="E136" s="91"/>
      <c r="F136" s="88"/>
      <c r="G136" s="93"/>
      <c r="H136" s="88"/>
      <c r="I136" s="88"/>
      <c r="J136" s="93"/>
      <c r="K136" s="88"/>
      <c r="L136" s="88"/>
      <c r="M136" s="88"/>
      <c r="N136" s="88"/>
      <c r="O136" s="10"/>
    </row>
    <row r="137" spans="1:18" ht="20.25" customHeight="1">
      <c r="A137" s="476" t="s">
        <v>102</v>
      </c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</row>
    <row r="138" spans="1:18" ht="20.25" customHeight="1" thickBot="1">
      <c r="A138" s="459" t="s">
        <v>19</v>
      </c>
      <c r="B138" s="459"/>
      <c r="C138" s="459"/>
      <c r="D138" s="459"/>
      <c r="E138" s="459"/>
      <c r="F138" s="459"/>
      <c r="G138" s="459"/>
      <c r="H138" s="94"/>
      <c r="I138" s="94"/>
      <c r="J138" s="95"/>
      <c r="K138" s="94"/>
      <c r="L138" s="94"/>
      <c r="M138" s="94"/>
      <c r="N138" s="94"/>
      <c r="O138" s="11"/>
    </row>
    <row r="139" spans="1:18" ht="18.75" thickBot="1">
      <c r="A139" s="460" t="s">
        <v>20</v>
      </c>
      <c r="B139" s="463" t="s">
        <v>21</v>
      </c>
      <c r="C139" s="464"/>
      <c r="D139" s="464"/>
      <c r="E139" s="464"/>
      <c r="F139" s="464" t="s">
        <v>22</v>
      </c>
      <c r="G139" s="464"/>
      <c r="H139" s="464"/>
      <c r="I139" s="465" t="s">
        <v>23</v>
      </c>
      <c r="J139" s="466"/>
      <c r="K139" s="466"/>
      <c r="L139" s="466"/>
      <c r="M139" s="466"/>
      <c r="N139" s="466"/>
      <c r="O139" s="467"/>
    </row>
    <row r="140" spans="1:18">
      <c r="A140" s="461"/>
      <c r="B140" s="468" t="s">
        <v>24</v>
      </c>
      <c r="C140" s="470" t="s">
        <v>25</v>
      </c>
      <c r="D140" s="472" t="s">
        <v>26</v>
      </c>
      <c r="E140" s="474" t="s">
        <v>27</v>
      </c>
      <c r="F140" s="479" t="s">
        <v>28</v>
      </c>
      <c r="G140" s="468" t="s">
        <v>11</v>
      </c>
      <c r="H140" s="481" t="s">
        <v>27</v>
      </c>
      <c r="I140" s="482" t="s">
        <v>29</v>
      </c>
      <c r="J140" s="483"/>
      <c r="K140" s="484" t="s">
        <v>30</v>
      </c>
      <c r="L140" s="485"/>
      <c r="M140" s="486"/>
      <c r="N140" s="455" t="s">
        <v>20</v>
      </c>
      <c r="O140" s="456"/>
    </row>
    <row r="141" spans="1:18" ht="15.75" thickBot="1">
      <c r="A141" s="462"/>
      <c r="B141" s="469"/>
      <c r="C141" s="471"/>
      <c r="D141" s="473"/>
      <c r="E141" s="475"/>
      <c r="F141" s="480"/>
      <c r="G141" s="469"/>
      <c r="H141" s="473"/>
      <c r="I141" s="106" t="s">
        <v>10</v>
      </c>
      <c r="J141" s="106" t="s">
        <v>31</v>
      </c>
      <c r="K141" s="106" t="s">
        <v>32</v>
      </c>
      <c r="L141" s="457" t="s">
        <v>33</v>
      </c>
      <c r="M141" s="458"/>
      <c r="N141" s="106" t="s">
        <v>34</v>
      </c>
      <c r="O141" s="107" t="s">
        <v>35</v>
      </c>
    </row>
    <row r="142" spans="1:18" ht="18.75" customHeight="1" thickBot="1">
      <c r="A142" s="549" t="s">
        <v>76</v>
      </c>
      <c r="B142" s="552" t="s">
        <v>36</v>
      </c>
      <c r="C142" s="555" t="s">
        <v>90</v>
      </c>
      <c r="D142" s="556">
        <v>17</v>
      </c>
      <c r="E142" s="449">
        <v>6</v>
      </c>
      <c r="F142" s="96" t="s">
        <v>54</v>
      </c>
      <c r="G142" s="70">
        <v>5</v>
      </c>
      <c r="H142" s="71">
        <v>2</v>
      </c>
      <c r="I142" s="12" t="e">
        <f>INDEX(Commerce_session2!A6:DN806,MATCH("E",Commerce_session2!A6:A806,0),17)</f>
        <v>#N/A</v>
      </c>
      <c r="J142" s="13" t="e">
        <f>INDEX(Commerce_session2!A6:DN806,MATCH("E",Commerce_session2!A6:A806,0),18)</f>
        <v>#N/A</v>
      </c>
      <c r="K142" s="452" t="e">
        <f>INDEX(Commerce_session2!A6:DN806,MATCH("E",Commerce_session2!A6:A806,0),29)</f>
        <v>#N/A</v>
      </c>
      <c r="L142" s="494" t="e">
        <f>INDEX(Commerce_session2!A6:DN806,MATCH("E",Commerce_session2!A6:A806,0),30)</f>
        <v>#N/A</v>
      </c>
      <c r="M142" s="495" t="e">
        <f>INDEX(Commerce_session1!D132:CZ175,MATCH("a",Commerce_session1!D132:D175,0),15)</f>
        <v>#N/A</v>
      </c>
      <c r="N142" s="498" t="e">
        <f>INDEX(Commerce_session2!A6:DN806,MATCH("E",Commerce_session2!A6:A806,0),111)</f>
        <v>#N/A</v>
      </c>
      <c r="O142" s="487" t="e">
        <f>INDEX(Commerce_session2!A6:DN806,MATCH("E",Commerce_session2!A6:A806,0),112)</f>
        <v>#N/A</v>
      </c>
    </row>
    <row r="143" spans="1:18" ht="18.75" customHeight="1" thickBot="1">
      <c r="A143" s="550"/>
      <c r="B143" s="553"/>
      <c r="C143" s="503"/>
      <c r="D143" s="557"/>
      <c r="E143" s="450"/>
      <c r="F143" s="97" t="s">
        <v>55</v>
      </c>
      <c r="G143" s="72">
        <v>6</v>
      </c>
      <c r="H143" s="73">
        <v>2</v>
      </c>
      <c r="I143" s="14" t="e">
        <f>INDEX(Commerce_session2!A6:DN806,MATCH("E",Commerce_session2!A6:A806,0),22)</f>
        <v>#N/A</v>
      </c>
      <c r="J143" s="15" t="e">
        <f>INDEX(Commerce_session2!A6:DN806,MATCH("E",Commerce_session2!A6:A806,0),23)</f>
        <v>#N/A</v>
      </c>
      <c r="K143" s="453" t="e">
        <f>INDEX(Commerce_session1!B132:CY175,MATCH("a",Commerce_session1!B132:B175,0),14)</f>
        <v>#N/A</v>
      </c>
      <c r="L143" s="496" t="e">
        <f>INDEX(Commerce_session1!D132:CZ175,MATCH("a",Commerce_session1!D132:D175,0),14)</f>
        <v>#N/A</v>
      </c>
      <c r="M143" s="497" t="e">
        <f>INDEX(Commerce_session1!E132:DA175,MATCH("a",Commerce_session1!E132:E175,0),14)</f>
        <v>#N/A</v>
      </c>
      <c r="N143" s="498" t="e">
        <f>INDEX(Commerce_session1!#REF!,MATCH("a",Commerce_session1!#REF!,0),62)</f>
        <v>#REF!</v>
      </c>
      <c r="O143" s="487" t="e">
        <f>INDEX(Commerce_session1!#REF!,MATCH("a",Commerce_session1!#REF!,0),62)</f>
        <v>#REF!</v>
      </c>
    </row>
    <row r="144" spans="1:18" ht="18.75" customHeight="1" thickBot="1">
      <c r="A144" s="550"/>
      <c r="B144" s="554"/>
      <c r="C144" s="504"/>
      <c r="D144" s="558"/>
      <c r="E144" s="451"/>
      <c r="F144" s="98" t="s">
        <v>56</v>
      </c>
      <c r="G144" s="74">
        <v>6</v>
      </c>
      <c r="H144" s="75">
        <v>2</v>
      </c>
      <c r="I144" s="16" t="e">
        <f>INDEX(Commerce_session2!A6:DN806,MATCH("E",Commerce_session2!A6:A806,0),27)</f>
        <v>#N/A</v>
      </c>
      <c r="J144" s="17" t="e">
        <f>INDEX(Commerce_session2!A6:DN806,MATCH("E",Commerce_session2!A6:A806,0),28)</f>
        <v>#N/A</v>
      </c>
      <c r="K144" s="454" t="e">
        <f>INDEX(Commerce_session1!B132:CY175,MATCH("a",Commerce_session1!B132:B175,0),14)</f>
        <v>#N/A</v>
      </c>
      <c r="L144" s="490" t="e">
        <f>INDEX(Commerce_session1!D132:CZ175,MATCH("a",Commerce_session1!D132:D175,0),14)</f>
        <v>#N/A</v>
      </c>
      <c r="M144" s="491" t="e">
        <f>INDEX(Commerce_session1!E132:DA175,MATCH("a",Commerce_session1!E132:E175,0),14)</f>
        <v>#N/A</v>
      </c>
      <c r="N144" s="498" t="e">
        <f>INDEX(Commerce_session1!#REF!,MATCH("a",Commerce_session1!#REF!,0),62)</f>
        <v>#REF!</v>
      </c>
      <c r="O144" s="487" t="e">
        <f>INDEX(Commerce_session1!#REF!,MATCH("a",Commerce_session1!#REF!,0),62)</f>
        <v>#REF!</v>
      </c>
    </row>
    <row r="145" spans="1:15" ht="19.5" customHeight="1" thickTop="1" thickBot="1">
      <c r="A145" s="550"/>
      <c r="B145" s="499" t="s">
        <v>37</v>
      </c>
      <c r="C145" s="502" t="s">
        <v>89</v>
      </c>
      <c r="D145" s="505">
        <v>7</v>
      </c>
      <c r="E145" s="508">
        <v>5</v>
      </c>
      <c r="F145" s="99" t="s">
        <v>83</v>
      </c>
      <c r="G145" s="76">
        <v>1</v>
      </c>
      <c r="H145" s="77">
        <v>1</v>
      </c>
      <c r="I145" s="18" t="e">
        <f>INDEX(Commerce_session2!A6:DN806,MATCH("E",Commerce_session2!A6:A806,0),33)</f>
        <v>#N/A</v>
      </c>
      <c r="J145" s="19" t="e">
        <f>INDEX(Commerce_session2!A6:DN806,MATCH("E",Commerce_session2!A6:A806,0),34)</f>
        <v>#N/A</v>
      </c>
      <c r="K145" s="509" t="e">
        <f>INDEX(Commerce_session2!A6:DN806,MATCH("E",Commerce_session2!A6:A806,0),45)</f>
        <v>#N/A</v>
      </c>
      <c r="L145" s="488" t="e">
        <f>INDEX(Commerce_session2!A6:DN806,MATCH("E",Commerce_session2!A6:A806,0),46)</f>
        <v>#N/A</v>
      </c>
      <c r="M145" s="489" t="e">
        <f>INDEX(Commerce_session1!D132:CZ175,MATCH("a",Commerce_session1!D132:D175,0),23)</f>
        <v>#N/A</v>
      </c>
      <c r="N145" s="498" t="e">
        <f>INDEX(Commerce_session1!#REF!,MATCH("a",Commerce_session1!#REF!,0),62)</f>
        <v>#REF!</v>
      </c>
      <c r="O145" s="487" t="e">
        <f>INDEX(Commerce_session1!#REF!,MATCH("a",Commerce_session1!#REF!,0),62)</f>
        <v>#REF!</v>
      </c>
    </row>
    <row r="146" spans="1:15" ht="18.75" customHeight="1" thickTop="1" thickBot="1">
      <c r="A146" s="550"/>
      <c r="B146" s="500"/>
      <c r="C146" s="503"/>
      <c r="D146" s="506"/>
      <c r="E146" s="450"/>
      <c r="F146" s="100" t="s">
        <v>99</v>
      </c>
      <c r="G146" s="78">
        <v>3</v>
      </c>
      <c r="H146" s="79">
        <v>2</v>
      </c>
      <c r="I146" s="18" t="e">
        <f>INDEX(Commerce_session2!A6:DN806,MATCH("E",Commerce_session2!A6:A806,0),38)</f>
        <v>#N/A</v>
      </c>
      <c r="J146" s="15" t="e">
        <f>INDEX(Commerce_session2!A6:DN806,MATCH("E",Commerce_session2!A6:A806,0),39)</f>
        <v>#N/A</v>
      </c>
      <c r="K146" s="510" t="e">
        <f>INDEX(Commerce_session1!B132:CY175,MATCH("a",Commerce_session1!B132:B175,0),22)</f>
        <v>#N/A</v>
      </c>
      <c r="L146" s="496" t="e">
        <f>INDEX(Commerce_session1!D132:CZ175,MATCH("a",Commerce_session1!D132:D175,0),22)</f>
        <v>#N/A</v>
      </c>
      <c r="M146" s="497" t="e">
        <f>INDEX(Commerce_session1!E132:DA175,MATCH("a",Commerce_session1!E132:E175,0),22)</f>
        <v>#N/A</v>
      </c>
      <c r="N146" s="498" t="e">
        <f>INDEX(Commerce_session1!#REF!,MATCH("a",Commerce_session1!#REF!,0),62)</f>
        <v>#REF!</v>
      </c>
      <c r="O146" s="487" t="e">
        <f>INDEX(Commerce_session1!#REF!,MATCH("a",Commerce_session1!#REF!,0),62)</f>
        <v>#REF!</v>
      </c>
    </row>
    <row r="147" spans="1:15" ht="18.75" customHeight="1" thickBot="1">
      <c r="A147" s="550"/>
      <c r="B147" s="501"/>
      <c r="C147" s="504"/>
      <c r="D147" s="507"/>
      <c r="E147" s="451"/>
      <c r="F147" s="101" t="s">
        <v>84</v>
      </c>
      <c r="G147" s="80">
        <v>3</v>
      </c>
      <c r="H147" s="81">
        <v>2</v>
      </c>
      <c r="I147" s="20" t="e">
        <f>INDEX(Commerce_session2!A6:DN806,MATCH("E",Commerce_session2!A6:A806,0),43)</f>
        <v>#N/A</v>
      </c>
      <c r="J147" s="17" t="e">
        <f>INDEX(Commerce_session2!A6:DN806,MATCH("E",Commerce_session2!A6:A806,0),44)</f>
        <v>#N/A</v>
      </c>
      <c r="K147" s="511" t="e">
        <f>INDEX(Commerce_session1!B132:CY175,MATCH("a",Commerce_session1!B132:B175,0),22)</f>
        <v>#N/A</v>
      </c>
      <c r="L147" s="490" t="e">
        <f>INDEX(Commerce_session1!D132:CZ175,MATCH("a",Commerce_session1!D132:D175,0),22)</f>
        <v>#N/A</v>
      </c>
      <c r="M147" s="491" t="e">
        <f>INDEX(Commerce_session1!E132:DA175,MATCH("a",Commerce_session1!E132:E175,0),22)</f>
        <v>#N/A</v>
      </c>
      <c r="N147" s="498" t="e">
        <f>INDEX(Commerce_session1!#REF!,MATCH("a",Commerce_session1!#REF!,0),62)</f>
        <v>#REF!</v>
      </c>
      <c r="O147" s="487" t="e">
        <f>INDEX(Commerce_session1!#REF!,MATCH("a",Commerce_session1!#REF!,0),62)</f>
        <v>#REF!</v>
      </c>
    </row>
    <row r="148" spans="1:15" ht="33.75" customHeight="1" thickTop="1" thickBot="1">
      <c r="A148" s="550"/>
      <c r="B148" s="531" t="s">
        <v>38</v>
      </c>
      <c r="C148" s="559" t="s">
        <v>50</v>
      </c>
      <c r="D148" s="520">
        <v>5</v>
      </c>
      <c r="E148" s="508">
        <v>2</v>
      </c>
      <c r="F148" s="102" t="s">
        <v>63</v>
      </c>
      <c r="G148" s="68">
        <v>4</v>
      </c>
      <c r="H148" s="69">
        <v>1</v>
      </c>
      <c r="I148" s="18" t="e">
        <f>INDEX(Commerce_session2!A6:DN806,MATCH("E",Commerce_session2!A6:A806,0),50)</f>
        <v>#N/A</v>
      </c>
      <c r="J148" s="19" t="e">
        <f>INDEX(Commerce_session2!A6:DN806,MATCH("E",Commerce_session2!A6:A806,0),51)</f>
        <v>#N/A</v>
      </c>
      <c r="K148" s="509" t="e">
        <f>INDEX(Commerce_session2!A6:DN806,MATCH("E",Commerce_session2!A6:A806,0),56)</f>
        <v>#N/A</v>
      </c>
      <c r="L148" s="488" t="e">
        <f>INDEX(Commerce_session2!A6:DN806,MATCH("E",Commerce_session2!A6:A806,0),57)</f>
        <v>#N/A</v>
      </c>
      <c r="M148" s="489" t="e">
        <f>INDEX(Commerce_session1!D132:CZ175,MATCH("a",Commerce_session1!D132:D175,0),29)</f>
        <v>#N/A</v>
      </c>
      <c r="N148" s="498" t="e">
        <f>INDEX(Commerce_session1!#REF!,MATCH("a",Commerce_session1!#REF!,0),62)</f>
        <v>#REF!</v>
      </c>
      <c r="O148" s="487" t="e">
        <f>INDEX(Commerce_session1!#REF!,MATCH("a",Commerce_session1!#REF!,0),62)</f>
        <v>#REF!</v>
      </c>
    </row>
    <row r="149" spans="1:15" ht="18.75" customHeight="1" thickBot="1">
      <c r="A149" s="550"/>
      <c r="B149" s="527"/>
      <c r="C149" s="524"/>
      <c r="D149" s="521"/>
      <c r="E149" s="451"/>
      <c r="F149" s="101" t="s">
        <v>62</v>
      </c>
      <c r="G149" s="80">
        <v>1</v>
      </c>
      <c r="H149" s="81">
        <v>1</v>
      </c>
      <c r="I149" s="16" t="e">
        <f>INDEX(Commerce_session2!A6:DN806,MATCH("E",Commerce_session2!A6:A806,0),54)</f>
        <v>#N/A</v>
      </c>
      <c r="J149" s="21" t="e">
        <f>INDEX(Commerce_session2!A6:DN806,MATCH("E",Commerce_session2!A6:A806,0),55)</f>
        <v>#N/A</v>
      </c>
      <c r="K149" s="511" t="e">
        <f>INDEX(Commerce_session1!B132:CY175,MATCH("a",Commerce_session1!B132:B175,0),28)</f>
        <v>#N/A</v>
      </c>
      <c r="L149" s="490" t="e">
        <f>INDEX(Commerce_session1!D132:CZ175,MATCH("a",Commerce_session1!D132:D175,0),28)</f>
        <v>#N/A</v>
      </c>
      <c r="M149" s="491" t="e">
        <f>INDEX(Commerce_session1!E132:DA175,MATCH("a",Commerce_session1!E132:E175,0),28)</f>
        <v>#N/A</v>
      </c>
      <c r="N149" s="498" t="e">
        <f>INDEX(Commerce_session1!#REF!,MATCH("a",Commerce_session1!#REF!,0),62)</f>
        <v>#REF!</v>
      </c>
      <c r="O149" s="487" t="e">
        <f>INDEX(Commerce_session1!#REF!,MATCH("a",Commerce_session1!#REF!,0),62)</f>
        <v>#REF!</v>
      </c>
    </row>
    <row r="150" spans="1:15" ht="20.25" customHeight="1" thickTop="1" thickBot="1">
      <c r="A150" s="551"/>
      <c r="B150" s="105" t="s">
        <v>39</v>
      </c>
      <c r="C150" s="104" t="s">
        <v>51</v>
      </c>
      <c r="D150" s="22">
        <v>1</v>
      </c>
      <c r="E150" s="23">
        <v>1</v>
      </c>
      <c r="F150" s="103" t="s">
        <v>64</v>
      </c>
      <c r="G150" s="82">
        <v>1</v>
      </c>
      <c r="H150" s="83">
        <v>1</v>
      </c>
      <c r="I150" s="20" t="e">
        <f>INDEX(Commerce_session2!A6:DN806,MATCH("E",Commerce_session2!A6:A806,0),61)</f>
        <v>#N/A</v>
      </c>
      <c r="J150" s="24" t="e">
        <f>INDEX(Commerce_session2!A6:DN806,MATCH("E",Commerce_session2!A6:A806,0),62)</f>
        <v>#N/A</v>
      </c>
      <c r="K150" s="36" t="e">
        <f>INDEX(Commerce_session2!A6:DN806,MATCH("E",Commerce_session2!A6:A806,0),63)</f>
        <v>#N/A</v>
      </c>
      <c r="L150" s="492" t="e">
        <f>INDEX(Commerce_session2!A6:DN806,MATCH("E",Commerce_session2!A6:A806,0),64)</f>
        <v>#N/A</v>
      </c>
      <c r="M150" s="493" t="e">
        <f>INDEX(Commerce_session1!D132:CZ175,MATCH("a",Commerce_session1!D132:D175,0),33)</f>
        <v>#N/A</v>
      </c>
      <c r="N150" s="498" t="e">
        <f>INDEX(Commerce_session1!#REF!,MATCH("a",Commerce_session1!#REF!,0),62)</f>
        <v>#REF!</v>
      </c>
      <c r="O150" s="487" t="e">
        <f>INDEX(Commerce_session1!#REF!,MATCH("a",Commerce_session1!#REF!,0),62)</f>
        <v>#REF!</v>
      </c>
    </row>
    <row r="151" spans="1:15" ht="19.5" customHeight="1" thickTop="1" thickBot="1">
      <c r="A151" s="516" t="s">
        <v>77</v>
      </c>
      <c r="B151" s="525" t="s">
        <v>36</v>
      </c>
      <c r="C151" s="522" t="s">
        <v>88</v>
      </c>
      <c r="D151" s="528">
        <v>16</v>
      </c>
      <c r="E151" s="449">
        <v>5</v>
      </c>
      <c r="F151" s="96" t="s">
        <v>67</v>
      </c>
      <c r="G151" s="114">
        <v>6</v>
      </c>
      <c r="H151" s="115">
        <v>2</v>
      </c>
      <c r="I151" s="18" t="e">
        <f>INDEX(Commerce_session2!A6:DN806,MATCH("E",Commerce_session2!A6:A806,0),70)</f>
        <v>#N/A</v>
      </c>
      <c r="J151" s="19" t="e">
        <f>INDEX(Commerce_session2!A6:DN806,MATCH("E",Commerce_session2!A6:A806,0),71)</f>
        <v>#N/A</v>
      </c>
      <c r="K151" s="519" t="e">
        <f>INDEX(Commerce_session2!A6:DN806,MATCH("E",Commerce_session2!A6:A806,0),82)</f>
        <v>#N/A</v>
      </c>
      <c r="L151" s="494" t="e">
        <f>INDEX(Commerce_session2!A6:DN806,MATCH("E",Commerce_session2!A6:A806,0),83)</f>
        <v>#N/A</v>
      </c>
      <c r="M151" s="495"/>
      <c r="N151" s="498" t="e">
        <f>INDEX(Commerce_session2!A6:DN806,MATCH("E",Commerce_session2!A6:A806,0),113)</f>
        <v>#N/A</v>
      </c>
      <c r="O151" s="487" t="e">
        <f>INDEX(Commerce_session2!A6:DN806,MATCH("E",Commerce_session2!A6:A806,0),114)</f>
        <v>#N/A</v>
      </c>
    </row>
    <row r="152" spans="1:15" ht="18.75" customHeight="1" thickBot="1">
      <c r="A152" s="517"/>
      <c r="B152" s="526"/>
      <c r="C152" s="523"/>
      <c r="D152" s="529"/>
      <c r="E152" s="450"/>
      <c r="F152" s="100" t="s">
        <v>68</v>
      </c>
      <c r="G152" s="116">
        <v>6</v>
      </c>
      <c r="H152" s="117">
        <v>2</v>
      </c>
      <c r="I152" s="14" t="e">
        <f>INDEX(Commerce_session2!A6:DN806,MATCH("E",Commerce_session2!A6:A806,0),75)</f>
        <v>#N/A</v>
      </c>
      <c r="J152" s="15" t="e">
        <f>INDEX(Commerce_session2!A6:DN806,MATCH("E",Commerce_session2!A6:A806,0),76)</f>
        <v>#N/A</v>
      </c>
      <c r="K152" s="510"/>
      <c r="L152" s="496"/>
      <c r="M152" s="497"/>
      <c r="N152" s="498" t="e">
        <f>INDEX(Commerce_session1!F132:DA175,MATCH("a",Commerce_session1!F132:F175,0),42)</f>
        <v>#N/A</v>
      </c>
      <c r="O152" s="487" t="e">
        <f>INDEX(Commerce_session1!G132:DA175,MATCH("a",Commerce_session1!G132:G175,0),42)</f>
        <v>#N/A</v>
      </c>
    </row>
    <row r="153" spans="1:15" ht="20.25" customHeight="1" thickBot="1">
      <c r="A153" s="517"/>
      <c r="B153" s="527"/>
      <c r="C153" s="524"/>
      <c r="D153" s="530"/>
      <c r="E153" s="451"/>
      <c r="F153" s="101" t="s">
        <v>103</v>
      </c>
      <c r="G153" s="118">
        <v>4</v>
      </c>
      <c r="H153" s="119">
        <v>1</v>
      </c>
      <c r="I153" s="127" t="e">
        <f>INDEX(Commerce_session2!A6:DN806,MATCH("E",Commerce_session2!A6:A806,0),80)</f>
        <v>#N/A</v>
      </c>
      <c r="J153" s="21" t="e">
        <f>INDEX(Commerce_session2!A6:DN806,MATCH("E",Commerce_session2!A6:A806,0),81)</f>
        <v>#N/A</v>
      </c>
      <c r="K153" s="511"/>
      <c r="L153" s="490"/>
      <c r="M153" s="491"/>
      <c r="N153" s="498" t="e">
        <f>INDEX(Commerce_session1!F132:DA175,MATCH("a",Commerce_session1!F132:F175,0),42)</f>
        <v>#N/A</v>
      </c>
      <c r="O153" s="487" t="e">
        <f>INDEX(Commerce_session1!G132:DA175,MATCH("a",Commerce_session1!G132:G175,0),42)</f>
        <v>#N/A</v>
      </c>
    </row>
    <row r="154" spans="1:15" ht="22.5" customHeight="1" thickTop="1" thickBot="1">
      <c r="A154" s="517"/>
      <c r="B154" s="531" t="s">
        <v>37</v>
      </c>
      <c r="C154" s="559" t="s">
        <v>87</v>
      </c>
      <c r="D154" s="532">
        <v>10</v>
      </c>
      <c r="E154" s="508">
        <v>4</v>
      </c>
      <c r="F154" s="128" t="s">
        <v>104</v>
      </c>
      <c r="G154" s="76">
        <v>5</v>
      </c>
      <c r="H154" s="77">
        <v>2</v>
      </c>
      <c r="I154" s="18" t="e">
        <f>INDEX(Commerce_session2!A6:DN806,MATCH("E",Commerce_session2!A6:A806,0),87)</f>
        <v>#N/A</v>
      </c>
      <c r="J154" s="19" t="e">
        <f>INDEX(Commerce_session2!A6:DN806,MATCH("E",Commerce_session2!A6:A806,0),88)</f>
        <v>#N/A</v>
      </c>
      <c r="K154" s="509" t="e">
        <f>INDEX(Commerce_session2!A6:DN806,MATCH("E",Commerce_session2!A6:A806,0),94)</f>
        <v>#N/A</v>
      </c>
      <c r="L154" s="488" t="e">
        <f>INDEX(Commerce_session2!A6:DN806,MATCH("E",Commerce_session2!A6:A806,0),95)</f>
        <v>#N/A</v>
      </c>
      <c r="M154" s="489"/>
      <c r="N154" s="498" t="e">
        <f>INDEX(Commerce_session1!E132:DA175,MATCH("a",Commerce_session1!E132:E175,0),43)</f>
        <v>#N/A</v>
      </c>
      <c r="O154" s="487" t="e">
        <f>INDEX(Commerce_session1!F132:DA175,MATCH("a",Commerce_session1!F132:F175,0),43)</f>
        <v>#N/A</v>
      </c>
    </row>
    <row r="155" spans="1:15" ht="18.75" customHeight="1" thickBot="1">
      <c r="A155" s="517"/>
      <c r="B155" s="527"/>
      <c r="C155" s="524"/>
      <c r="D155" s="530"/>
      <c r="E155" s="451"/>
      <c r="F155" s="98" t="s">
        <v>69</v>
      </c>
      <c r="G155" s="74">
        <v>5</v>
      </c>
      <c r="H155" s="75">
        <v>2</v>
      </c>
      <c r="I155" s="20" t="e">
        <f>INDEX(Commerce_session2!A6:DN806,MATCH("E",Commerce_session2!A6:A806,0),92)</f>
        <v>#N/A</v>
      </c>
      <c r="J155" s="17" t="e">
        <f>INDEX(Commerce_session2!A6:DN806,MATCH("E",Commerce_session2!A6:A806,0),93)</f>
        <v>#N/A</v>
      </c>
      <c r="K155" s="511"/>
      <c r="L155" s="490"/>
      <c r="M155" s="491"/>
      <c r="N155" s="498" t="e">
        <f>INDEX(Commerce_session1!F132:DA175,MATCH("a",Commerce_session1!F132:F175,0),42)</f>
        <v>#N/A</v>
      </c>
      <c r="O155" s="487" t="e">
        <f>INDEX(Commerce_session1!G132:DA175,MATCH("a",Commerce_session1!G132:G175,0),42)</f>
        <v>#N/A</v>
      </c>
    </row>
    <row r="156" spans="1:15" ht="18.75" customHeight="1" thickTop="1" thickBot="1">
      <c r="A156" s="517"/>
      <c r="B156" s="105" t="s">
        <v>38</v>
      </c>
      <c r="C156" s="104" t="s">
        <v>85</v>
      </c>
      <c r="D156" s="22">
        <v>3</v>
      </c>
      <c r="E156" s="23">
        <v>2</v>
      </c>
      <c r="F156" s="101" t="s">
        <v>74</v>
      </c>
      <c r="G156" s="74">
        <v>3</v>
      </c>
      <c r="H156" s="75">
        <v>2</v>
      </c>
      <c r="I156" s="20" t="e">
        <f>INDEX(Commerce_session2!A6:DN806,MATCH("E",Commerce_session2!A6:A806,0),99)</f>
        <v>#N/A</v>
      </c>
      <c r="J156" s="17" t="e">
        <f>INDEX(Commerce_session2!A6:DN806,MATCH("E",Commerce_session2!A6:A806,0),100)</f>
        <v>#N/A</v>
      </c>
      <c r="K156" s="125" t="e">
        <f>INDEX(Commerce_session2!A6:DN806,MATCH("E",Commerce_session2!A6:A806,0),101)</f>
        <v>#N/A</v>
      </c>
      <c r="L156" s="512" t="e">
        <f>INDEX(Commerce_session2!A6:DN806,MATCH("E",Commerce_session2!A6:A806,0),102)</f>
        <v>#N/A</v>
      </c>
      <c r="M156" s="513"/>
      <c r="N156" s="498" t="e">
        <f>INDEX(Commerce_session1!F132:DA175,MATCH("a",Commerce_session1!F132:F175,0),42)</f>
        <v>#N/A</v>
      </c>
      <c r="O156" s="487" t="e">
        <f>INDEX(Commerce_session1!G132:DA175,MATCH("a",Commerce_session1!G132:G175,0),42)</f>
        <v>#N/A</v>
      </c>
    </row>
    <row r="157" spans="1:15" ht="20.25" customHeight="1" thickTop="1" thickBot="1">
      <c r="A157" s="518"/>
      <c r="B157" s="105" t="s">
        <v>39</v>
      </c>
      <c r="C157" s="104" t="s">
        <v>86</v>
      </c>
      <c r="D157" s="22">
        <v>1</v>
      </c>
      <c r="E157" s="23">
        <v>1</v>
      </c>
      <c r="F157" s="103" t="s">
        <v>73</v>
      </c>
      <c r="G157" s="82">
        <v>1</v>
      </c>
      <c r="H157" s="83">
        <v>1</v>
      </c>
      <c r="I157" s="25" t="e">
        <f>INDEX(Commerce_session2!A6:DN806,MATCH("E",Commerce_session2!A6:A806,0),105)</f>
        <v>#N/A</v>
      </c>
      <c r="J157" s="26" t="e">
        <f>INDEX(Commerce_session2!A6:DN806,MATCH("E",Commerce_session2!A6:A806,0),106)</f>
        <v>#N/A</v>
      </c>
      <c r="K157" s="27" t="e">
        <f>INDEX(Commerce_session2!A6:DN806,MATCH("E",Commerce_session2!A6:A806,0),107)</f>
        <v>#N/A</v>
      </c>
      <c r="L157" s="514" t="e">
        <f>INDEX(Commerce_session2!A6:DN806,MATCH("E",Commerce_session2!A6:A806,0),108)</f>
        <v>#N/A</v>
      </c>
      <c r="M157" s="515" t="e">
        <f>INDEX(Commerce_session1!D132:CZ175,MATCH("a",Commerce_session1!D132:D175,0),61)</f>
        <v>#N/A</v>
      </c>
      <c r="N157" s="498" t="e">
        <f>INDEX(Commerce_session1!F132:DA175,MATCH("a",Commerce_session1!F132:F175,0),42)</f>
        <v>#N/A</v>
      </c>
      <c r="O157" s="487" t="e">
        <f>INDEX(Commerce_session1!G132:DA175,MATCH("a",Commerce_session1!G132:G175,0),42)</f>
        <v>#N/A</v>
      </c>
    </row>
    <row r="158" spans="1:15" ht="20.25">
      <c r="A158" s="535" t="s">
        <v>40</v>
      </c>
      <c r="B158" s="536"/>
      <c r="C158" s="537"/>
      <c r="D158" s="121" t="e">
        <f>INDEX(Commerce_session2!A6:DN806,MATCH("E",Commerce_session2!A6:A806,0),115)</f>
        <v>#N/A</v>
      </c>
      <c r="E158" s="538" t="s">
        <v>41</v>
      </c>
      <c r="F158" s="540"/>
      <c r="G158" s="120" t="e">
        <f>INDEX(Commerce_session2!A6:DN806,MATCH("E",Commerce_session2!A6:A806,0),116)</f>
        <v>#N/A</v>
      </c>
      <c r="H158" s="538" t="s">
        <v>91</v>
      </c>
      <c r="I158" s="539"/>
      <c r="J158" s="539"/>
      <c r="K158" s="540"/>
      <c r="L158" s="541" t="e">
        <f>INDEX(Commerce_session2!A6:DN806,MATCH("E",Commerce_session2!A6:A806,0),117)</f>
        <v>#N/A</v>
      </c>
      <c r="M158" s="542"/>
      <c r="N158" s="8"/>
      <c r="O158" s="8"/>
    </row>
    <row r="159" spans="1:15" ht="22.5">
      <c r="A159" s="546" t="s">
        <v>42</v>
      </c>
      <c r="B159" s="547"/>
      <c r="C159" s="548"/>
      <c r="D159" s="543" t="e">
        <f>INDEX(Commerce_session2!A6:DN806,MATCH("E",Commerce_session2!A6:A806,0),118)</f>
        <v>#N/A</v>
      </c>
      <c r="E159" s="544"/>
      <c r="F159" s="545"/>
      <c r="G159" s="108"/>
      <c r="H159" s="109"/>
      <c r="I159" s="110"/>
      <c r="J159" s="111"/>
      <c r="K159" s="110"/>
      <c r="L159" s="110"/>
      <c r="M159" s="110"/>
      <c r="N159" s="112" t="s">
        <v>43</v>
      </c>
      <c r="O159" s="28">
        <f ca="1">TODAY()</f>
        <v>43626</v>
      </c>
    </row>
    <row r="160" spans="1:15" ht="32.25" customHeight="1">
      <c r="A160" s="113" t="s">
        <v>44</v>
      </c>
      <c r="B160" s="29"/>
      <c r="C160" s="29"/>
      <c r="D160" s="533"/>
      <c r="E160" s="533"/>
      <c r="F160" s="30"/>
      <c r="G160" s="4"/>
      <c r="J160" s="4"/>
      <c r="L160" s="534" t="s">
        <v>46</v>
      </c>
      <c r="M160" s="534"/>
      <c r="N160" s="534"/>
    </row>
    <row r="161" spans="1:18" ht="23.25" customHeight="1" thickBot="1">
      <c r="A161" s="84" t="s">
        <v>12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445" t="s">
        <v>13</v>
      </c>
      <c r="M161" s="445"/>
      <c r="N161" s="445"/>
      <c r="O161" s="445"/>
      <c r="P161" s="2"/>
      <c r="Q161" s="2"/>
      <c r="R161" s="2"/>
    </row>
    <row r="162" spans="1:18" ht="15.75">
      <c r="A162" s="446" t="s">
        <v>14</v>
      </c>
      <c r="B162" s="446"/>
      <c r="C162" s="446"/>
      <c r="D162" s="446"/>
      <c r="E162" s="446"/>
      <c r="F162" s="3"/>
      <c r="H162" s="4"/>
      <c r="K162" s="4"/>
      <c r="L162" s="4"/>
    </row>
    <row r="163" spans="1:18" ht="15.75">
      <c r="A163" s="85" t="s">
        <v>15</v>
      </c>
      <c r="B163" s="85"/>
      <c r="C163" s="85"/>
      <c r="D163" s="85"/>
      <c r="E163" s="85"/>
      <c r="F163" s="5"/>
      <c r="H163" s="4"/>
      <c r="K163" s="4"/>
      <c r="L163" s="4"/>
      <c r="P163" s="6"/>
    </row>
    <row r="164" spans="1:18" ht="15.75">
      <c r="A164" s="85" t="s">
        <v>100</v>
      </c>
      <c r="B164" s="85"/>
      <c r="C164" s="85"/>
      <c r="D164" s="85"/>
      <c r="E164" s="85"/>
      <c r="F164" s="3"/>
      <c r="H164" s="4"/>
      <c r="K164" s="4"/>
      <c r="L164" s="4"/>
    </row>
    <row r="165" spans="1:18" s="8" customFormat="1" ht="27" customHeight="1">
      <c r="A165" s="7"/>
      <c r="B165" s="7"/>
      <c r="C165" s="7"/>
      <c r="D165" s="447" t="s">
        <v>94</v>
      </c>
      <c r="E165" s="447"/>
      <c r="F165" s="447"/>
      <c r="G165" s="447"/>
      <c r="H165" s="447"/>
      <c r="I165" s="447"/>
      <c r="J165" s="447"/>
      <c r="K165" s="447"/>
      <c r="L165" s="447"/>
      <c r="M165" s="7"/>
      <c r="N165" s="7"/>
      <c r="O165" s="7"/>
    </row>
    <row r="166" spans="1:18" ht="23.25" customHeight="1">
      <c r="A166" s="126" t="s">
        <v>101</v>
      </c>
      <c r="B166" s="126"/>
      <c r="C166" s="126"/>
      <c r="D166" s="126"/>
      <c r="E166" s="126"/>
      <c r="F166" s="126"/>
      <c r="G166" s="122"/>
      <c r="H166" s="122"/>
      <c r="I166" s="122" t="e">
        <f>IF(D191="ناجح(ة) دورة1","-الدورة الأولى-","-الدورة الثانية-")</f>
        <v>#N/A</v>
      </c>
      <c r="J166" s="124" t="s">
        <v>48</v>
      </c>
      <c r="K166" s="124"/>
      <c r="L166" s="87"/>
      <c r="M166" s="88"/>
      <c r="N166" s="89"/>
      <c r="O166" s="9"/>
    </row>
    <row r="167" spans="1:18" ht="20.25" customHeight="1">
      <c r="A167" s="476" t="s">
        <v>93</v>
      </c>
      <c r="B167" s="476"/>
      <c r="C167" s="90" t="e">
        <f>INDEX(Commerce_session2!A6:DN806,MATCH("F",Commerce_session2!A6:A806,0),3)</f>
        <v>#N/A</v>
      </c>
      <c r="D167" s="91" t="s">
        <v>92</v>
      </c>
      <c r="E167" s="448" t="e">
        <f>INDEX(Commerce_session2!A6:DN806,MATCH("F",Commerce_session2!A6:A806,0),4)</f>
        <v>#N/A</v>
      </c>
      <c r="F167" s="448" t="e">
        <f>INDEX(Commerce_session1!D161:DA338,MATCH("a",Commerce_session1!D161:D338,0),3)</f>
        <v>#N/A</v>
      </c>
      <c r="G167" s="477" t="s">
        <v>16</v>
      </c>
      <c r="H167" s="477"/>
      <c r="I167" s="477"/>
      <c r="J167" s="478" t="e">
        <f>INDEX(Commerce_session2!A6:DN806,MATCH("F",Commerce_session2!A6:A806,0),6)</f>
        <v>#N/A</v>
      </c>
      <c r="K167" s="478"/>
      <c r="L167" s="88"/>
      <c r="M167" s="92" t="s">
        <v>17</v>
      </c>
      <c r="N167" s="90" t="e">
        <f>INDEX(Commerce_session2!A6:DN806,MATCH("F",Commerce_session2!A6:A806,0),7)</f>
        <v>#N/A</v>
      </c>
      <c r="O167" s="10"/>
    </row>
    <row r="168" spans="1:18" ht="20.25" customHeight="1">
      <c r="A168" s="476" t="s">
        <v>18</v>
      </c>
      <c r="B168" s="476"/>
      <c r="C168" s="448" t="e">
        <f>INDEX(Commerce_session2!A6:DN806,MATCH("F",Commerce_session2!A6:A806,0),5)</f>
        <v>#N/A</v>
      </c>
      <c r="D168" s="448"/>
      <c r="E168" s="91"/>
      <c r="F168" s="88"/>
      <c r="G168" s="93"/>
      <c r="H168" s="88"/>
      <c r="I168" s="88"/>
      <c r="J168" s="93"/>
      <c r="K168" s="88"/>
      <c r="L168" s="88"/>
      <c r="M168" s="88"/>
      <c r="N168" s="88"/>
      <c r="O168" s="10"/>
    </row>
    <row r="169" spans="1:18" ht="20.25" customHeight="1">
      <c r="A169" s="476" t="s">
        <v>102</v>
      </c>
      <c r="B169" s="476"/>
      <c r="C169" s="476"/>
      <c r="D169" s="476"/>
      <c r="E169" s="476"/>
      <c r="F169" s="476"/>
      <c r="G169" s="476"/>
      <c r="H169" s="476"/>
      <c r="I169" s="476"/>
      <c r="J169" s="476"/>
      <c r="K169" s="476"/>
      <c r="L169" s="476"/>
      <c r="M169" s="476"/>
      <c r="N169" s="476"/>
      <c r="O169" s="476"/>
    </row>
    <row r="170" spans="1:18" ht="20.25" customHeight="1" thickBot="1">
      <c r="A170" s="459" t="s">
        <v>19</v>
      </c>
      <c r="B170" s="459"/>
      <c r="C170" s="459"/>
      <c r="D170" s="459"/>
      <c r="E170" s="459"/>
      <c r="F170" s="459"/>
      <c r="G170" s="459"/>
      <c r="H170" s="94"/>
      <c r="I170" s="94"/>
      <c r="J170" s="95"/>
      <c r="K170" s="94"/>
      <c r="L170" s="94"/>
      <c r="M170" s="94"/>
      <c r="N170" s="94"/>
      <c r="O170" s="11"/>
    </row>
    <row r="171" spans="1:18" ht="18.75" thickBot="1">
      <c r="A171" s="460" t="s">
        <v>20</v>
      </c>
      <c r="B171" s="463" t="s">
        <v>21</v>
      </c>
      <c r="C171" s="464"/>
      <c r="D171" s="464"/>
      <c r="E171" s="464"/>
      <c r="F171" s="464" t="s">
        <v>22</v>
      </c>
      <c r="G171" s="464"/>
      <c r="H171" s="464"/>
      <c r="I171" s="465" t="s">
        <v>23</v>
      </c>
      <c r="J171" s="466"/>
      <c r="K171" s="466"/>
      <c r="L171" s="466"/>
      <c r="M171" s="466"/>
      <c r="N171" s="466"/>
      <c r="O171" s="467"/>
    </row>
    <row r="172" spans="1:18">
      <c r="A172" s="461"/>
      <c r="B172" s="468" t="s">
        <v>24</v>
      </c>
      <c r="C172" s="470" t="s">
        <v>25</v>
      </c>
      <c r="D172" s="472" t="s">
        <v>26</v>
      </c>
      <c r="E172" s="474" t="s">
        <v>27</v>
      </c>
      <c r="F172" s="479" t="s">
        <v>28</v>
      </c>
      <c r="G172" s="468" t="s">
        <v>11</v>
      </c>
      <c r="H172" s="481" t="s">
        <v>27</v>
      </c>
      <c r="I172" s="482" t="s">
        <v>29</v>
      </c>
      <c r="J172" s="483"/>
      <c r="K172" s="484" t="s">
        <v>30</v>
      </c>
      <c r="L172" s="485"/>
      <c r="M172" s="486"/>
      <c r="N172" s="455" t="s">
        <v>20</v>
      </c>
      <c r="O172" s="456"/>
    </row>
    <row r="173" spans="1:18" ht="15.75" thickBot="1">
      <c r="A173" s="462"/>
      <c r="B173" s="469"/>
      <c r="C173" s="471"/>
      <c r="D173" s="473"/>
      <c r="E173" s="475"/>
      <c r="F173" s="480"/>
      <c r="G173" s="469"/>
      <c r="H173" s="473"/>
      <c r="I173" s="106" t="s">
        <v>10</v>
      </c>
      <c r="J173" s="106" t="s">
        <v>31</v>
      </c>
      <c r="K173" s="106" t="s">
        <v>32</v>
      </c>
      <c r="L173" s="457" t="s">
        <v>33</v>
      </c>
      <c r="M173" s="458"/>
      <c r="N173" s="106" t="s">
        <v>34</v>
      </c>
      <c r="O173" s="107" t="s">
        <v>35</v>
      </c>
    </row>
    <row r="174" spans="1:18" ht="18.75" customHeight="1" thickBot="1">
      <c r="A174" s="549" t="s">
        <v>76</v>
      </c>
      <c r="B174" s="552" t="s">
        <v>36</v>
      </c>
      <c r="C174" s="555" t="s">
        <v>90</v>
      </c>
      <c r="D174" s="556">
        <v>17</v>
      </c>
      <c r="E174" s="449">
        <v>6</v>
      </c>
      <c r="F174" s="96" t="s">
        <v>54</v>
      </c>
      <c r="G174" s="70">
        <v>5</v>
      </c>
      <c r="H174" s="71">
        <v>2</v>
      </c>
      <c r="I174" s="12" t="e">
        <f>INDEX(Commerce_session2!A6:DN806,MATCH("F",Commerce_session2!A6:A806,0),17)</f>
        <v>#N/A</v>
      </c>
      <c r="J174" s="13" t="e">
        <f>INDEX(Commerce_session2!A6:DN806,MATCH("F",Commerce_session2!A6:A806,0),18)</f>
        <v>#N/A</v>
      </c>
      <c r="K174" s="452" t="e">
        <f>INDEX(Commerce_session2!A6:DN806,MATCH("F",Commerce_session2!A6:A806,0),29)</f>
        <v>#N/A</v>
      </c>
      <c r="L174" s="494" t="e">
        <f>INDEX(Commerce_session2!A6:DN806,MATCH("F",Commerce_session2!A6:A806,0),30)</f>
        <v>#N/A</v>
      </c>
      <c r="M174" s="495" t="e">
        <f>INDEX(Commerce_session1!D161:CZ194,MATCH("a",Commerce_session1!D161:D194,0),15)</f>
        <v>#N/A</v>
      </c>
      <c r="N174" s="498" t="e">
        <f>INDEX(Commerce_session2!A6:DN806,MATCH("F",Commerce_session2!A6:A806,0),111)</f>
        <v>#N/A</v>
      </c>
      <c r="O174" s="487" t="e">
        <f>INDEX(Commerce_session2!A6:DN806,MATCH("F",Commerce_session2!A6:A806,0),112)</f>
        <v>#N/A</v>
      </c>
    </row>
    <row r="175" spans="1:18" ht="18.75" customHeight="1" thickBot="1">
      <c r="A175" s="550"/>
      <c r="B175" s="553"/>
      <c r="C175" s="503"/>
      <c r="D175" s="557"/>
      <c r="E175" s="450"/>
      <c r="F175" s="97" t="s">
        <v>55</v>
      </c>
      <c r="G175" s="72">
        <v>6</v>
      </c>
      <c r="H175" s="73">
        <v>2</v>
      </c>
      <c r="I175" s="14" t="e">
        <f>INDEX(Commerce_session2!A6:DN806,MATCH("F",Commerce_session2!A6:A806,0),22)</f>
        <v>#N/A</v>
      </c>
      <c r="J175" s="15" t="e">
        <f>INDEX(Commerce_session2!A6:DN806,MATCH("F",Commerce_session2!A6:A806,0),23)</f>
        <v>#N/A</v>
      </c>
      <c r="K175" s="453" t="e">
        <f>INDEX(Commerce_session1!B161:CY194,MATCH("a",Commerce_session1!B161:B194,0),14)</f>
        <v>#N/A</v>
      </c>
      <c r="L175" s="496" t="e">
        <f>INDEX(Commerce_session1!D161:CZ194,MATCH("a",Commerce_session1!D161:D194,0),14)</f>
        <v>#N/A</v>
      </c>
      <c r="M175" s="497" t="e">
        <f>INDEX(Commerce_session1!E161:DA194,MATCH("a",Commerce_session1!E161:E194,0),14)</f>
        <v>#N/A</v>
      </c>
      <c r="N175" s="498" t="e">
        <f>INDEX(Commerce_session1!#REF!,MATCH("a",Commerce_session1!#REF!,0),62)</f>
        <v>#REF!</v>
      </c>
      <c r="O175" s="487" t="e">
        <f>INDEX(Commerce_session1!#REF!,MATCH("a",Commerce_session1!#REF!,0),62)</f>
        <v>#REF!</v>
      </c>
    </row>
    <row r="176" spans="1:18" ht="18.75" customHeight="1" thickBot="1">
      <c r="A176" s="550"/>
      <c r="B176" s="554"/>
      <c r="C176" s="504"/>
      <c r="D176" s="558"/>
      <c r="E176" s="451"/>
      <c r="F176" s="98" t="s">
        <v>56</v>
      </c>
      <c r="G176" s="74">
        <v>6</v>
      </c>
      <c r="H176" s="75">
        <v>2</v>
      </c>
      <c r="I176" s="16" t="e">
        <f>INDEX(Commerce_session2!A6:DN806,MATCH("F",Commerce_session2!A6:A806,0),27)</f>
        <v>#N/A</v>
      </c>
      <c r="J176" s="17" t="e">
        <f>INDEX(Commerce_session2!A6:DN806,MATCH("F",Commerce_session2!A6:A806,0),28)</f>
        <v>#N/A</v>
      </c>
      <c r="K176" s="454" t="e">
        <f>INDEX(Commerce_session1!B163:CY194,MATCH("a",Commerce_session1!B163:B194,0),14)</f>
        <v>#N/A</v>
      </c>
      <c r="L176" s="490" t="e">
        <f>INDEX(Commerce_session1!D163:CZ194,MATCH("a",Commerce_session1!D163:D194,0),14)</f>
        <v>#N/A</v>
      </c>
      <c r="M176" s="491" t="e">
        <f>INDEX(Commerce_session1!E163:DA194,MATCH("a",Commerce_session1!E163:E194,0),14)</f>
        <v>#N/A</v>
      </c>
      <c r="N176" s="498" t="e">
        <f>INDEX(Commerce_session1!#REF!,MATCH("a",Commerce_session1!#REF!,0),62)</f>
        <v>#REF!</v>
      </c>
      <c r="O176" s="487" t="e">
        <f>INDEX(Commerce_session1!#REF!,MATCH("a",Commerce_session1!#REF!,0),62)</f>
        <v>#REF!</v>
      </c>
    </row>
    <row r="177" spans="1:15" ht="19.5" customHeight="1" thickTop="1" thickBot="1">
      <c r="A177" s="550"/>
      <c r="B177" s="499" t="s">
        <v>37</v>
      </c>
      <c r="C177" s="502" t="s">
        <v>89</v>
      </c>
      <c r="D177" s="505">
        <v>7</v>
      </c>
      <c r="E177" s="508">
        <v>5</v>
      </c>
      <c r="F177" s="99" t="s">
        <v>83</v>
      </c>
      <c r="G177" s="76">
        <v>1</v>
      </c>
      <c r="H177" s="77">
        <v>1</v>
      </c>
      <c r="I177" s="18" t="e">
        <f>INDEX(Commerce_session2!A6:DN806,MATCH("F",Commerce_session2!A6:A806,0),33)</f>
        <v>#N/A</v>
      </c>
      <c r="J177" s="19" t="e">
        <f>INDEX(Commerce_session2!A6:DN806,MATCH("F",Commerce_session2!A6:A806,0),34)</f>
        <v>#N/A</v>
      </c>
      <c r="K177" s="509" t="e">
        <f>INDEX(Commerce_session2!A6:DN806,MATCH("F",Commerce_session2!A6:A806,0),45)</f>
        <v>#N/A</v>
      </c>
      <c r="L177" s="488" t="e">
        <f>INDEX(Commerce_session2!A6:DN806,MATCH("F",Commerce_session2!A6:A806,0),46)</f>
        <v>#N/A</v>
      </c>
      <c r="M177" s="489" t="e">
        <f>INDEX(Commerce_session1!D161:CZ194,MATCH("a",Commerce_session1!D161:D194,0),23)</f>
        <v>#N/A</v>
      </c>
      <c r="N177" s="498" t="e">
        <f>INDEX(Commerce_session1!#REF!,MATCH("a",Commerce_session1!#REF!,0),62)</f>
        <v>#REF!</v>
      </c>
      <c r="O177" s="487" t="e">
        <f>INDEX(Commerce_session1!#REF!,MATCH("a",Commerce_session1!#REF!,0),62)</f>
        <v>#REF!</v>
      </c>
    </row>
    <row r="178" spans="1:15" ht="18.75" customHeight="1" thickTop="1" thickBot="1">
      <c r="A178" s="550"/>
      <c r="B178" s="500"/>
      <c r="C178" s="503"/>
      <c r="D178" s="506"/>
      <c r="E178" s="450"/>
      <c r="F178" s="100" t="s">
        <v>99</v>
      </c>
      <c r="G178" s="78">
        <v>3</v>
      </c>
      <c r="H178" s="79">
        <v>2</v>
      </c>
      <c r="I178" s="18" t="e">
        <f>INDEX(Commerce_session2!A6:DN806,MATCH("F",Commerce_session2!A6:A806,0),38)</f>
        <v>#N/A</v>
      </c>
      <c r="J178" s="15" t="e">
        <f>INDEX(Commerce_session2!A6:DN806,MATCH("F",Commerce_session2!A6:A806,0),39)</f>
        <v>#N/A</v>
      </c>
      <c r="K178" s="510" t="e">
        <f>INDEX(Commerce_session1!B160:CY194,MATCH("a",Commerce_session1!B160:B194,0),22)</f>
        <v>#N/A</v>
      </c>
      <c r="L178" s="496" t="e">
        <f>INDEX(Commerce_session1!D160:CZ194,MATCH("a",Commerce_session1!D160:D194,0),22)</f>
        <v>#N/A</v>
      </c>
      <c r="M178" s="497" t="e">
        <f>INDEX(Commerce_session1!E160:DA194,MATCH("a",Commerce_session1!E160:E194,0),22)</f>
        <v>#N/A</v>
      </c>
      <c r="N178" s="498" t="e">
        <f>INDEX(Commerce_session1!#REF!,MATCH("a",Commerce_session1!#REF!,0),62)</f>
        <v>#REF!</v>
      </c>
      <c r="O178" s="487" t="e">
        <f>INDEX(Commerce_session1!#REF!,MATCH("a",Commerce_session1!#REF!,0),62)</f>
        <v>#REF!</v>
      </c>
    </row>
    <row r="179" spans="1:15" ht="18.75" customHeight="1" thickBot="1">
      <c r="A179" s="550"/>
      <c r="B179" s="501"/>
      <c r="C179" s="504"/>
      <c r="D179" s="507"/>
      <c r="E179" s="451"/>
      <c r="F179" s="101" t="s">
        <v>84</v>
      </c>
      <c r="G179" s="80">
        <v>3</v>
      </c>
      <c r="H179" s="81">
        <v>2</v>
      </c>
      <c r="I179" s="20" t="e">
        <f>INDEX(Commerce_session2!A6:DN806,MATCH("F",Commerce_session2!A6:A806,0),43)</f>
        <v>#N/A</v>
      </c>
      <c r="J179" s="17" t="e">
        <f>INDEX(Commerce_session2!A6:DN806,MATCH("F",Commerce_session2!A6:A806,0),44)</f>
        <v>#N/A</v>
      </c>
      <c r="K179" s="511" t="e">
        <f>INDEX(Commerce_session1!B161:CY194,MATCH("a",Commerce_session1!B161:B194,0),22)</f>
        <v>#N/A</v>
      </c>
      <c r="L179" s="490" t="e">
        <f>INDEX(Commerce_session1!D161:CZ194,MATCH("a",Commerce_session1!D161:D194,0),22)</f>
        <v>#N/A</v>
      </c>
      <c r="M179" s="491" t="e">
        <f>INDEX(Commerce_session1!E161:DA194,MATCH("a",Commerce_session1!E161:E194,0),22)</f>
        <v>#N/A</v>
      </c>
      <c r="N179" s="498" t="e">
        <f>INDEX(Commerce_session1!#REF!,MATCH("a",Commerce_session1!#REF!,0),62)</f>
        <v>#REF!</v>
      </c>
      <c r="O179" s="487" t="e">
        <f>INDEX(Commerce_session1!#REF!,MATCH("a",Commerce_session1!#REF!,0),62)</f>
        <v>#REF!</v>
      </c>
    </row>
    <row r="180" spans="1:15" ht="33.75" customHeight="1" thickTop="1" thickBot="1">
      <c r="A180" s="550"/>
      <c r="B180" s="531" t="s">
        <v>38</v>
      </c>
      <c r="C180" s="559" t="s">
        <v>50</v>
      </c>
      <c r="D180" s="520">
        <v>5</v>
      </c>
      <c r="E180" s="508">
        <v>2</v>
      </c>
      <c r="F180" s="102" t="s">
        <v>63</v>
      </c>
      <c r="G180" s="68">
        <v>4</v>
      </c>
      <c r="H180" s="69">
        <v>1</v>
      </c>
      <c r="I180" s="18" t="e">
        <f>INDEX(Commerce_session2!A6:DN806,MATCH("F",Commerce_session2!A6:A806,0),50)</f>
        <v>#N/A</v>
      </c>
      <c r="J180" s="19" t="e">
        <f>INDEX(Commerce_session2!A6:DN806,MATCH("F",Commerce_session2!A6:A806,0),51)</f>
        <v>#N/A</v>
      </c>
      <c r="K180" s="509" t="e">
        <f>INDEX(Commerce_session2!A6:DN806,MATCH("F",Commerce_session2!A6:A806,0),56)</f>
        <v>#N/A</v>
      </c>
      <c r="L180" s="488" t="e">
        <f>INDEX(Commerce_session2!A6:DN806,MATCH("F",Commerce_session2!A6:A806,0),57)</f>
        <v>#N/A</v>
      </c>
      <c r="M180" s="489" t="e">
        <f>INDEX(Commerce_session1!D161:CZ194,MATCH("a",Commerce_session1!D161:D194,0),29)</f>
        <v>#N/A</v>
      </c>
      <c r="N180" s="498" t="e">
        <f>INDEX(Commerce_session1!#REF!,MATCH("a",Commerce_session1!#REF!,0),62)</f>
        <v>#REF!</v>
      </c>
      <c r="O180" s="487" t="e">
        <f>INDEX(Commerce_session1!#REF!,MATCH("a",Commerce_session1!#REF!,0),62)</f>
        <v>#REF!</v>
      </c>
    </row>
    <row r="181" spans="1:15" ht="18.75" customHeight="1" thickBot="1">
      <c r="A181" s="550"/>
      <c r="B181" s="527"/>
      <c r="C181" s="524"/>
      <c r="D181" s="521"/>
      <c r="E181" s="451"/>
      <c r="F181" s="101" t="s">
        <v>62</v>
      </c>
      <c r="G181" s="80">
        <v>1</v>
      </c>
      <c r="H181" s="81">
        <v>1</v>
      </c>
      <c r="I181" s="16" t="e">
        <f>INDEX(Commerce_session2!A6:DN806,MATCH("F",Commerce_session2!A6:A806,0),54)</f>
        <v>#N/A</v>
      </c>
      <c r="J181" s="21" t="e">
        <f>INDEX(Commerce_session2!A6:DN806,MATCH("F",Commerce_session2!A6:A806,0),55)</f>
        <v>#N/A</v>
      </c>
      <c r="K181" s="511" t="e">
        <f>INDEX(Commerce_session1!B161:CY194,MATCH("a",Commerce_session1!B161:B194,0),28)</f>
        <v>#N/A</v>
      </c>
      <c r="L181" s="490" t="e">
        <f>INDEX(Commerce_session1!D161:CZ194,MATCH("a",Commerce_session1!D161:D194,0),28)</f>
        <v>#N/A</v>
      </c>
      <c r="M181" s="491" t="e">
        <f>INDEX(Commerce_session1!E161:DA194,MATCH("a",Commerce_session1!E161:E194,0),28)</f>
        <v>#N/A</v>
      </c>
      <c r="N181" s="498" t="e">
        <f>INDEX(Commerce_session1!#REF!,MATCH("a",Commerce_session1!#REF!,0),62)</f>
        <v>#REF!</v>
      </c>
      <c r="O181" s="487" t="e">
        <f>INDEX(Commerce_session1!#REF!,MATCH("a",Commerce_session1!#REF!,0),62)</f>
        <v>#REF!</v>
      </c>
    </row>
    <row r="182" spans="1:15" ht="20.25" customHeight="1" thickTop="1" thickBot="1">
      <c r="A182" s="551"/>
      <c r="B182" s="105" t="s">
        <v>39</v>
      </c>
      <c r="C182" s="104" t="s">
        <v>51</v>
      </c>
      <c r="D182" s="22">
        <v>1</v>
      </c>
      <c r="E182" s="23">
        <v>1</v>
      </c>
      <c r="F182" s="103" t="s">
        <v>64</v>
      </c>
      <c r="G182" s="82">
        <v>1</v>
      </c>
      <c r="H182" s="83">
        <v>1</v>
      </c>
      <c r="I182" s="20" t="e">
        <f>INDEX(Commerce_session2!A6:DN806,MATCH("F",Commerce_session2!A6:A806,0),61)</f>
        <v>#N/A</v>
      </c>
      <c r="J182" s="24" t="e">
        <f>INDEX(Commerce_session2!A6:DN806,MATCH("F",Commerce_session2!A6:A806,0),62)</f>
        <v>#N/A</v>
      </c>
      <c r="K182" s="36" t="e">
        <f>INDEX(Commerce_session2!A6:DN806,MATCH("F",Commerce_session2!A6:A806,0),63)</f>
        <v>#N/A</v>
      </c>
      <c r="L182" s="492" t="e">
        <f>INDEX(Commerce_session2!A6:DN806,MATCH("F",Commerce_session2!A6:A806,0),64)</f>
        <v>#N/A</v>
      </c>
      <c r="M182" s="493" t="e">
        <f>INDEX(Commerce_session1!D161:CZ194,MATCH("a",Commerce_session1!D161:D194,0),33)</f>
        <v>#N/A</v>
      </c>
      <c r="N182" s="498" t="e">
        <f>INDEX(Commerce_session1!#REF!,MATCH("a",Commerce_session1!#REF!,0),62)</f>
        <v>#REF!</v>
      </c>
      <c r="O182" s="487" t="e">
        <f>INDEX(Commerce_session1!#REF!,MATCH("a",Commerce_session1!#REF!,0),62)</f>
        <v>#REF!</v>
      </c>
    </row>
    <row r="183" spans="1:15" ht="19.5" customHeight="1" thickTop="1" thickBot="1">
      <c r="A183" s="516" t="s">
        <v>77</v>
      </c>
      <c r="B183" s="525" t="s">
        <v>36</v>
      </c>
      <c r="C183" s="522" t="s">
        <v>88</v>
      </c>
      <c r="D183" s="528">
        <v>16</v>
      </c>
      <c r="E183" s="449">
        <v>5</v>
      </c>
      <c r="F183" s="96" t="s">
        <v>67</v>
      </c>
      <c r="G183" s="114">
        <v>6</v>
      </c>
      <c r="H183" s="115">
        <v>2</v>
      </c>
      <c r="I183" s="18" t="e">
        <f>INDEX(Commerce_session2!A6:DN806,MATCH("F",Commerce_session2!A6:A806,0),70)</f>
        <v>#N/A</v>
      </c>
      <c r="J183" s="19" t="e">
        <f>INDEX(Commerce_session2!A6:DN806,MATCH("F",Commerce_session2!A6:A806,0),71)</f>
        <v>#N/A</v>
      </c>
      <c r="K183" s="519" t="e">
        <f>INDEX(Commerce_session2!A6:DN806,MATCH("F",Commerce_session2!A6:A806,0),82)</f>
        <v>#N/A</v>
      </c>
      <c r="L183" s="494" t="e">
        <f>INDEX(Commerce_session2!A6:DN806,MATCH("F",Commerce_session2!A6:A806,0),83)</f>
        <v>#N/A</v>
      </c>
      <c r="M183" s="495"/>
      <c r="N183" s="498" t="e">
        <f>INDEX(Commerce_session2!A6:DN806,MATCH("F",Commerce_session2!A6:A806,0),113)</f>
        <v>#N/A</v>
      </c>
      <c r="O183" s="487" t="e">
        <f>INDEX(Commerce_session2!A6:DN806,MATCH("F",Commerce_session2!A6:A806,0),114)</f>
        <v>#N/A</v>
      </c>
    </row>
    <row r="184" spans="1:15" ht="18.75" customHeight="1" thickBot="1">
      <c r="A184" s="517"/>
      <c r="B184" s="526"/>
      <c r="C184" s="523"/>
      <c r="D184" s="529"/>
      <c r="E184" s="450"/>
      <c r="F184" s="100" t="s">
        <v>68</v>
      </c>
      <c r="G184" s="116">
        <v>6</v>
      </c>
      <c r="H184" s="117">
        <v>2</v>
      </c>
      <c r="I184" s="14" t="e">
        <f>INDEX(Commerce_session2!A6:DN806,MATCH("F",Commerce_session2!A6:A806,0),75)</f>
        <v>#N/A</v>
      </c>
      <c r="J184" s="15" t="e">
        <f>INDEX(Commerce_session2!A6:DN806,MATCH("F",Commerce_session2!A6:A806,0),76)</f>
        <v>#N/A</v>
      </c>
      <c r="K184" s="510"/>
      <c r="L184" s="496"/>
      <c r="M184" s="497"/>
      <c r="N184" s="498" t="e">
        <f>INDEX(Commerce_session1!F161:DA194,MATCH("a",Commerce_session1!F161:F194,0),42)</f>
        <v>#N/A</v>
      </c>
      <c r="O184" s="487" t="e">
        <f>INDEX(Commerce_session1!G161:DA194,MATCH("a",Commerce_session1!G161:G194,0),42)</f>
        <v>#N/A</v>
      </c>
    </row>
    <row r="185" spans="1:15" ht="20.25" customHeight="1" thickBot="1">
      <c r="A185" s="517"/>
      <c r="B185" s="527"/>
      <c r="C185" s="524"/>
      <c r="D185" s="530"/>
      <c r="E185" s="451"/>
      <c r="F185" s="101" t="s">
        <v>103</v>
      </c>
      <c r="G185" s="118">
        <v>4</v>
      </c>
      <c r="H185" s="119">
        <v>1</v>
      </c>
      <c r="I185" s="127" t="e">
        <f>INDEX(Commerce_session2!A6:DN806,MATCH("F",Commerce_session2!A6:A806,0),80)</f>
        <v>#N/A</v>
      </c>
      <c r="J185" s="21" t="e">
        <f>INDEX(Commerce_session2!A6:DN806,MATCH("F",Commerce_session2!A6:A806,0),81)</f>
        <v>#N/A</v>
      </c>
      <c r="K185" s="511"/>
      <c r="L185" s="490"/>
      <c r="M185" s="491"/>
      <c r="N185" s="498" t="e">
        <f>INDEX(Commerce_session1!F162:DA194,MATCH("a",Commerce_session1!F162:F194,0),42)</f>
        <v>#N/A</v>
      </c>
      <c r="O185" s="487" t="e">
        <f>INDEX(Commerce_session1!G162:DA194,MATCH("a",Commerce_session1!G162:G194,0),42)</f>
        <v>#N/A</v>
      </c>
    </row>
    <row r="186" spans="1:15" ht="22.5" customHeight="1" thickTop="1" thickBot="1">
      <c r="A186" s="517"/>
      <c r="B186" s="531" t="s">
        <v>37</v>
      </c>
      <c r="C186" s="559" t="s">
        <v>87</v>
      </c>
      <c r="D186" s="532">
        <v>10</v>
      </c>
      <c r="E186" s="508">
        <v>4</v>
      </c>
      <c r="F186" s="128" t="s">
        <v>104</v>
      </c>
      <c r="G186" s="76">
        <v>5</v>
      </c>
      <c r="H186" s="77">
        <v>2</v>
      </c>
      <c r="I186" s="18" t="e">
        <f>INDEX(Commerce_session2!A6:DN806,MATCH("F",Commerce_session2!A6:A806,0),87)</f>
        <v>#N/A</v>
      </c>
      <c r="J186" s="19" t="e">
        <f>INDEX(Commerce_session2!A6:DN806,MATCH("F",Commerce_session2!A6:A806,0),88)</f>
        <v>#N/A</v>
      </c>
      <c r="K186" s="509" t="e">
        <f>INDEX(Commerce_session2!A6:DN806,MATCH("F",Commerce_session2!A6:A806,0),94)</f>
        <v>#N/A</v>
      </c>
      <c r="L186" s="488" t="e">
        <f>INDEX(Commerce_session2!A6:DN806,MATCH("F",Commerce_session2!A6:A806,0),95)</f>
        <v>#N/A</v>
      </c>
      <c r="M186" s="489"/>
      <c r="N186" s="498" t="e">
        <f>INDEX(Commerce_session1!E164:DA194,MATCH("a",Commerce_session1!E164:E194,0),43)</f>
        <v>#N/A</v>
      </c>
      <c r="O186" s="487" t="e">
        <f>INDEX(Commerce_session1!F164:DA194,MATCH("a",Commerce_session1!F164:F194,0),43)</f>
        <v>#N/A</v>
      </c>
    </row>
    <row r="187" spans="1:15" ht="18.75" customHeight="1" thickBot="1">
      <c r="A187" s="517"/>
      <c r="B187" s="527"/>
      <c r="C187" s="524"/>
      <c r="D187" s="530"/>
      <c r="E187" s="451"/>
      <c r="F187" s="98" t="s">
        <v>69</v>
      </c>
      <c r="G187" s="74">
        <v>5</v>
      </c>
      <c r="H187" s="75">
        <v>2</v>
      </c>
      <c r="I187" s="20" t="e">
        <f>INDEX(Commerce_session2!A6:DN806,MATCH("F",Commerce_session2!A6:A806,0),92)</f>
        <v>#N/A</v>
      </c>
      <c r="J187" s="17" t="e">
        <f>INDEX(Commerce_session2!A6:DN806,MATCH("F",Commerce_session2!A6:A806,0),93)</f>
        <v>#N/A</v>
      </c>
      <c r="K187" s="511"/>
      <c r="L187" s="490"/>
      <c r="M187" s="491"/>
      <c r="N187" s="498" t="e">
        <f>INDEX(Commerce_session1!F165:DA194,MATCH("a",Commerce_session1!F165:F194,0),42)</f>
        <v>#N/A</v>
      </c>
      <c r="O187" s="487" t="e">
        <f>INDEX(Commerce_session1!G165:DA194,MATCH("a",Commerce_session1!G165:G194,0),42)</f>
        <v>#N/A</v>
      </c>
    </row>
    <row r="188" spans="1:15" ht="18.75" customHeight="1" thickTop="1" thickBot="1">
      <c r="A188" s="517"/>
      <c r="B188" s="105" t="s">
        <v>38</v>
      </c>
      <c r="C188" s="104" t="s">
        <v>85</v>
      </c>
      <c r="D188" s="22">
        <v>3</v>
      </c>
      <c r="E188" s="23">
        <v>2</v>
      </c>
      <c r="F188" s="101" t="s">
        <v>74</v>
      </c>
      <c r="G188" s="74">
        <v>3</v>
      </c>
      <c r="H188" s="75">
        <v>2</v>
      </c>
      <c r="I188" s="20" t="e">
        <f>INDEX(Commerce_session2!A6:DN806,MATCH("F",Commerce_session2!A6:A806,0),99)</f>
        <v>#N/A</v>
      </c>
      <c r="J188" s="17" t="e">
        <f>INDEX(Commerce_session2!A6:DN806,MATCH("F",Commerce_session2!A6:A806,0),100)</f>
        <v>#N/A</v>
      </c>
      <c r="K188" s="125" t="e">
        <f>INDEX(Commerce_session2!A6:DN806,MATCH("F",Commerce_session2!A6:A806,0),101)</f>
        <v>#N/A</v>
      </c>
      <c r="L188" s="512" t="e">
        <f>INDEX(Commerce_session2!A6:DN806,MATCH("F",Commerce_session2!A6:A806,0),102)</f>
        <v>#N/A</v>
      </c>
      <c r="M188" s="513"/>
      <c r="N188" s="498" t="e">
        <f>INDEX(Commerce_session1!F173:DA194,MATCH("a",Commerce_session1!F173:F194,0),42)</f>
        <v>#N/A</v>
      </c>
      <c r="O188" s="487" t="e">
        <f>INDEX(Commerce_session1!G173:DA194,MATCH("a",Commerce_session1!G173:G194,0),42)</f>
        <v>#N/A</v>
      </c>
    </row>
    <row r="189" spans="1:15" ht="20.25" customHeight="1" thickTop="1" thickBot="1">
      <c r="A189" s="518"/>
      <c r="B189" s="105" t="s">
        <v>39</v>
      </c>
      <c r="C189" s="104" t="s">
        <v>86</v>
      </c>
      <c r="D189" s="22">
        <v>1</v>
      </c>
      <c r="E189" s="23">
        <v>1</v>
      </c>
      <c r="F189" s="103" t="s">
        <v>73</v>
      </c>
      <c r="G189" s="82">
        <v>1</v>
      </c>
      <c r="H189" s="83">
        <v>1</v>
      </c>
      <c r="I189" s="25" t="e">
        <f>INDEX(Commerce_session2!A6:DN806,MATCH("F",Commerce_session2!A6:A806,0),105)</f>
        <v>#N/A</v>
      </c>
      <c r="J189" s="26" t="e">
        <f>INDEX(Commerce_session2!A6:DN806,MATCH("F",Commerce_session2!A6:A806,0),106)</f>
        <v>#N/A</v>
      </c>
      <c r="K189" s="27" t="e">
        <f>INDEX(Commerce_session2!A6:DN806,MATCH("F",Commerce_session2!A6:A806,0),107)</f>
        <v>#N/A</v>
      </c>
      <c r="L189" s="514" t="e">
        <f>INDEX(Commerce_session2!A6:DN806,MATCH("F",Commerce_session2!A6:A806,0),108)</f>
        <v>#N/A</v>
      </c>
      <c r="M189" s="515" t="e">
        <f>INDEX(Commerce_session1!D161:CZ194,MATCH("a",Commerce_session1!D161:D194,0),61)</f>
        <v>#N/A</v>
      </c>
      <c r="N189" s="498" t="e">
        <f>INDEX(Commerce_session1!F174:DA194,MATCH("a",Commerce_session1!F174:F194,0),42)</f>
        <v>#N/A</v>
      </c>
      <c r="O189" s="487" t="e">
        <f>INDEX(Commerce_session1!G174:DA194,MATCH("a",Commerce_session1!G174:G194,0),42)</f>
        <v>#N/A</v>
      </c>
    </row>
    <row r="190" spans="1:15" ht="20.25">
      <c r="A190" s="535" t="s">
        <v>40</v>
      </c>
      <c r="B190" s="536"/>
      <c r="C190" s="537"/>
      <c r="D190" s="121" t="e">
        <f>INDEX(Commerce_session2!A6:DN806,MATCH("F",Commerce_session2!A6:A806,0),115)</f>
        <v>#N/A</v>
      </c>
      <c r="E190" s="538" t="s">
        <v>41</v>
      </c>
      <c r="F190" s="540"/>
      <c r="G190" s="120" t="e">
        <f>INDEX(Commerce_session2!A6:DN806,MATCH("F",Commerce_session2!A6:A806,0),116)</f>
        <v>#N/A</v>
      </c>
      <c r="H190" s="538" t="s">
        <v>91</v>
      </c>
      <c r="I190" s="539"/>
      <c r="J190" s="539"/>
      <c r="K190" s="540"/>
      <c r="L190" s="541" t="e">
        <f>INDEX(Commerce_session2!A6:DN806,MATCH("F",Commerce_session2!A6:A806,0),117)</f>
        <v>#N/A</v>
      </c>
      <c r="M190" s="542"/>
      <c r="N190" s="8"/>
      <c r="O190" s="8"/>
    </row>
    <row r="191" spans="1:15" ht="22.5">
      <c r="A191" s="546" t="s">
        <v>42</v>
      </c>
      <c r="B191" s="547"/>
      <c r="C191" s="548"/>
      <c r="D191" s="543" t="e">
        <f>INDEX(Commerce_session2!A6:DN806,MATCH("F",Commerce_session2!A6:A806,0),118)</f>
        <v>#N/A</v>
      </c>
      <c r="E191" s="544"/>
      <c r="F191" s="545"/>
      <c r="G191" s="108"/>
      <c r="H191" s="109"/>
      <c r="I191" s="110"/>
      <c r="J191" s="111"/>
      <c r="K191" s="110"/>
      <c r="L191" s="110"/>
      <c r="M191" s="110"/>
      <c r="N191" s="112" t="s">
        <v>43</v>
      </c>
      <c r="O191" s="28">
        <f ca="1">TODAY()</f>
        <v>43626</v>
      </c>
    </row>
    <row r="192" spans="1:15" ht="32.25" customHeight="1">
      <c r="A192" s="113" t="s">
        <v>44</v>
      </c>
      <c r="B192" s="29"/>
      <c r="C192" s="29"/>
      <c r="D192" s="533"/>
      <c r="E192" s="533"/>
      <c r="F192" s="30"/>
      <c r="G192" s="4"/>
      <c r="J192" s="4"/>
      <c r="L192" s="534" t="s">
        <v>46</v>
      </c>
      <c r="M192" s="534"/>
      <c r="N192" s="534"/>
    </row>
    <row r="193" spans="1:18" ht="23.25" customHeight="1" thickBot="1">
      <c r="A193" s="84" t="s">
        <v>12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445" t="s">
        <v>13</v>
      </c>
      <c r="M193" s="445"/>
      <c r="N193" s="445"/>
      <c r="O193" s="445"/>
      <c r="P193" s="2"/>
      <c r="Q193" s="2"/>
      <c r="R193" s="2"/>
    </row>
    <row r="194" spans="1:18" ht="15.75">
      <c r="A194" s="446" t="s">
        <v>14</v>
      </c>
      <c r="B194" s="446"/>
      <c r="C194" s="446"/>
      <c r="D194" s="446"/>
      <c r="E194" s="446"/>
      <c r="F194" s="3"/>
      <c r="H194" s="4"/>
      <c r="K194" s="4"/>
      <c r="L194" s="4"/>
    </row>
    <row r="195" spans="1:18" ht="15.75">
      <c r="A195" s="85" t="s">
        <v>15</v>
      </c>
      <c r="B195" s="85"/>
      <c r="C195" s="85"/>
      <c r="D195" s="85"/>
      <c r="E195" s="85"/>
      <c r="F195" s="5"/>
      <c r="H195" s="4"/>
      <c r="K195" s="4"/>
      <c r="L195" s="4"/>
      <c r="P195" s="6"/>
    </row>
    <row r="196" spans="1:18" ht="15.75">
      <c r="A196" s="85" t="s">
        <v>100</v>
      </c>
      <c r="B196" s="85"/>
      <c r="C196" s="85"/>
      <c r="D196" s="85"/>
      <c r="E196" s="85"/>
      <c r="F196" s="3"/>
      <c r="H196" s="4"/>
      <c r="K196" s="4"/>
      <c r="L196" s="4"/>
    </row>
    <row r="197" spans="1:18" s="8" customFormat="1" ht="27" customHeight="1">
      <c r="A197" s="7"/>
      <c r="B197" s="7"/>
      <c r="C197" s="7"/>
      <c r="D197" s="447" t="s">
        <v>94</v>
      </c>
      <c r="E197" s="447"/>
      <c r="F197" s="447"/>
      <c r="G197" s="447"/>
      <c r="H197" s="447"/>
      <c r="I197" s="447"/>
      <c r="J197" s="447"/>
      <c r="K197" s="447"/>
      <c r="L197" s="447"/>
      <c r="M197" s="7"/>
      <c r="N197" s="7"/>
      <c r="O197" s="7"/>
    </row>
    <row r="198" spans="1:18" ht="23.25" customHeight="1">
      <c r="A198" s="126" t="s">
        <v>101</v>
      </c>
      <c r="B198" s="126"/>
      <c r="C198" s="126"/>
      <c r="D198" s="126"/>
      <c r="E198" s="126"/>
      <c r="F198" s="126"/>
      <c r="G198" s="122"/>
      <c r="H198" s="122"/>
      <c r="I198" s="122" t="e">
        <f>IF(D223="ناجح(ة) دورة1","-الدورة الأولى-","-الدورة الثانية-")</f>
        <v>#N/A</v>
      </c>
      <c r="J198" s="124" t="s">
        <v>48</v>
      </c>
      <c r="K198" s="124"/>
      <c r="L198" s="87"/>
      <c r="M198" s="88"/>
      <c r="N198" s="89"/>
      <c r="O198" s="9"/>
    </row>
    <row r="199" spans="1:18" ht="20.25" customHeight="1">
      <c r="A199" s="476" t="s">
        <v>93</v>
      </c>
      <c r="B199" s="476"/>
      <c r="C199" s="90" t="e">
        <f>INDEX(Commerce_session2!A6:DN806,MATCH("G",Commerce_session2!A6:A806,0),3)</f>
        <v>#N/A</v>
      </c>
      <c r="D199" s="91" t="s">
        <v>92</v>
      </c>
      <c r="E199" s="448" t="e">
        <f>INDEX(Commerce_session2!A6:DN806,MATCH("G",Commerce_session2!A6:A806,0),4)</f>
        <v>#N/A</v>
      </c>
      <c r="F199" s="448" t="e">
        <f>INDEX(Commerce_session1!D184:DA370,MATCH("a",Commerce_session1!D184:D370,0),3)</f>
        <v>#N/A</v>
      </c>
      <c r="G199" s="477" t="s">
        <v>16</v>
      </c>
      <c r="H199" s="477"/>
      <c r="I199" s="477"/>
      <c r="J199" s="478" t="e">
        <f>INDEX(Commerce_session2!A6:DN806,MATCH("G",Commerce_session2!A6:A806,0),6)</f>
        <v>#N/A</v>
      </c>
      <c r="K199" s="478"/>
      <c r="L199" s="88"/>
      <c r="M199" s="92" t="s">
        <v>17</v>
      </c>
      <c r="N199" s="90" t="e">
        <f>INDEX(Commerce_session2!A6:DN806,MATCH("G",Commerce_session2!A6:A806,0),7)</f>
        <v>#N/A</v>
      </c>
      <c r="O199" s="10"/>
    </row>
    <row r="200" spans="1:18" ht="20.25" customHeight="1">
      <c r="A200" s="476" t="s">
        <v>18</v>
      </c>
      <c r="B200" s="476"/>
      <c r="C200" s="448" t="e">
        <f>INDEX(Commerce_session2!A6:DN806,MATCH("G",Commerce_session2!A6:A806,0),5)</f>
        <v>#N/A</v>
      </c>
      <c r="D200" s="448"/>
      <c r="E200" s="91"/>
      <c r="F200" s="88"/>
      <c r="G200" s="93"/>
      <c r="H200" s="88"/>
      <c r="I200" s="88"/>
      <c r="J200" s="93"/>
      <c r="K200" s="88"/>
      <c r="L200" s="88"/>
      <c r="M200" s="88"/>
      <c r="N200" s="88"/>
      <c r="O200" s="10"/>
    </row>
    <row r="201" spans="1:18" ht="20.25" customHeight="1">
      <c r="A201" s="476" t="s">
        <v>102</v>
      </c>
      <c r="B201" s="476"/>
      <c r="C201" s="476"/>
      <c r="D201" s="476"/>
      <c r="E201" s="476"/>
      <c r="F201" s="476"/>
      <c r="G201" s="476"/>
      <c r="H201" s="476"/>
      <c r="I201" s="476"/>
      <c r="J201" s="476"/>
      <c r="K201" s="476"/>
      <c r="L201" s="476"/>
      <c r="M201" s="476"/>
      <c r="N201" s="476"/>
      <c r="O201" s="476"/>
    </row>
    <row r="202" spans="1:18" ht="20.25" customHeight="1" thickBot="1">
      <c r="A202" s="459" t="s">
        <v>19</v>
      </c>
      <c r="B202" s="459"/>
      <c r="C202" s="459"/>
      <c r="D202" s="459"/>
      <c r="E202" s="459"/>
      <c r="F202" s="459"/>
      <c r="G202" s="459"/>
      <c r="H202" s="94"/>
      <c r="I202" s="94"/>
      <c r="J202" s="95"/>
      <c r="K202" s="94"/>
      <c r="L202" s="94"/>
      <c r="M202" s="94"/>
      <c r="N202" s="94"/>
      <c r="O202" s="11"/>
    </row>
    <row r="203" spans="1:18" ht="18.75" thickBot="1">
      <c r="A203" s="460" t="s">
        <v>20</v>
      </c>
      <c r="B203" s="463" t="s">
        <v>21</v>
      </c>
      <c r="C203" s="464"/>
      <c r="D203" s="464"/>
      <c r="E203" s="464"/>
      <c r="F203" s="464" t="s">
        <v>22</v>
      </c>
      <c r="G203" s="464"/>
      <c r="H203" s="464"/>
      <c r="I203" s="465" t="s">
        <v>23</v>
      </c>
      <c r="J203" s="466"/>
      <c r="K203" s="466"/>
      <c r="L203" s="466"/>
      <c r="M203" s="466"/>
      <c r="N203" s="466"/>
      <c r="O203" s="467"/>
    </row>
    <row r="204" spans="1:18">
      <c r="A204" s="461"/>
      <c r="B204" s="468" t="s">
        <v>24</v>
      </c>
      <c r="C204" s="470" t="s">
        <v>25</v>
      </c>
      <c r="D204" s="472" t="s">
        <v>26</v>
      </c>
      <c r="E204" s="474" t="s">
        <v>27</v>
      </c>
      <c r="F204" s="479" t="s">
        <v>28</v>
      </c>
      <c r="G204" s="468" t="s">
        <v>11</v>
      </c>
      <c r="H204" s="481" t="s">
        <v>27</v>
      </c>
      <c r="I204" s="482" t="s">
        <v>29</v>
      </c>
      <c r="J204" s="483"/>
      <c r="K204" s="484" t="s">
        <v>30</v>
      </c>
      <c r="L204" s="485"/>
      <c r="M204" s="486"/>
      <c r="N204" s="455" t="s">
        <v>20</v>
      </c>
      <c r="O204" s="456"/>
    </row>
    <row r="205" spans="1:18" ht="15.75" thickBot="1">
      <c r="A205" s="462"/>
      <c r="B205" s="469"/>
      <c r="C205" s="471"/>
      <c r="D205" s="473"/>
      <c r="E205" s="475"/>
      <c r="F205" s="480"/>
      <c r="G205" s="469"/>
      <c r="H205" s="473"/>
      <c r="I205" s="106" t="s">
        <v>10</v>
      </c>
      <c r="J205" s="106" t="s">
        <v>31</v>
      </c>
      <c r="K205" s="106" t="s">
        <v>32</v>
      </c>
      <c r="L205" s="457" t="s">
        <v>33</v>
      </c>
      <c r="M205" s="458"/>
      <c r="N205" s="106" t="s">
        <v>34</v>
      </c>
      <c r="O205" s="107" t="s">
        <v>35</v>
      </c>
    </row>
    <row r="206" spans="1:18" ht="18.75" customHeight="1" thickBot="1">
      <c r="A206" s="549" t="s">
        <v>76</v>
      </c>
      <c r="B206" s="552" t="s">
        <v>36</v>
      </c>
      <c r="C206" s="555" t="s">
        <v>90</v>
      </c>
      <c r="D206" s="556">
        <v>17</v>
      </c>
      <c r="E206" s="449">
        <v>6</v>
      </c>
      <c r="F206" s="96" t="s">
        <v>54</v>
      </c>
      <c r="G206" s="70">
        <v>5</v>
      </c>
      <c r="H206" s="71">
        <v>2</v>
      </c>
      <c r="I206" s="12" t="e">
        <f>INDEX(Commerce_session2!A6:DN806,MATCH("G",Commerce_session2!A6:A806,0),17)</f>
        <v>#N/A</v>
      </c>
      <c r="J206" s="13" t="e">
        <f>INDEX(Commerce_session2!A6:DN806,MATCH("G",Commerce_session2!A6:A806,0),18)</f>
        <v>#N/A</v>
      </c>
      <c r="K206" s="452" t="e">
        <f>INDEX(Commerce_session2!A6:DN806,MATCH("G",Commerce_session2!A6:A806,0),29)</f>
        <v>#N/A</v>
      </c>
      <c r="L206" s="494" t="e">
        <f>INDEX(Commerce_session2!A6:DN806,MATCH("G",Commerce_session2!A6:A806,0),30)</f>
        <v>#N/A</v>
      </c>
      <c r="M206" s="495" t="e">
        <f>INDEX(Commerce_session1!D184:CZ226,MATCH("a",Commerce_session1!D184:D226,0),15)</f>
        <v>#N/A</v>
      </c>
      <c r="N206" s="498" t="e">
        <f>INDEX(Commerce_session2!A6:DN806,MATCH("G",Commerce_session2!A6:A806,0),111)</f>
        <v>#N/A</v>
      </c>
      <c r="O206" s="487" t="e">
        <f>INDEX(Commerce_session2!A6:DN806,MATCH("G",Commerce_session2!A6:A806,0),112)</f>
        <v>#N/A</v>
      </c>
    </row>
    <row r="207" spans="1:18" ht="18.75" customHeight="1" thickBot="1">
      <c r="A207" s="550"/>
      <c r="B207" s="553"/>
      <c r="C207" s="503"/>
      <c r="D207" s="557"/>
      <c r="E207" s="450"/>
      <c r="F207" s="97" t="s">
        <v>55</v>
      </c>
      <c r="G207" s="72">
        <v>6</v>
      </c>
      <c r="H207" s="73">
        <v>2</v>
      </c>
      <c r="I207" s="14" t="e">
        <f>INDEX(Commerce_session2!A6:DN806,MATCH("G",Commerce_session2!A6:A806,0),22)</f>
        <v>#N/A</v>
      </c>
      <c r="J207" s="15" t="e">
        <f>INDEX(Commerce_session2!A6:DN806,MATCH("G",Commerce_session2!A6:A806,0),23)</f>
        <v>#N/A</v>
      </c>
      <c r="K207" s="453" t="e">
        <f>INDEX(Commerce_session1!B184:CY226,MATCH("a",Commerce_session1!B184:B226,0),14)</f>
        <v>#N/A</v>
      </c>
      <c r="L207" s="496" t="e">
        <f>INDEX(Commerce_session1!D184:CZ226,MATCH("a",Commerce_session1!D184:D226,0),14)</f>
        <v>#N/A</v>
      </c>
      <c r="M207" s="497" t="e">
        <f>INDEX(Commerce_session1!E184:DA226,MATCH("a",Commerce_session1!E184:E226,0),14)</f>
        <v>#N/A</v>
      </c>
      <c r="N207" s="498" t="e">
        <f>INDEX(Commerce_session1!#REF!,MATCH("a",Commerce_session1!#REF!,0),62)</f>
        <v>#REF!</v>
      </c>
      <c r="O207" s="487" t="e">
        <f>INDEX(Commerce_session1!#REF!,MATCH("a",Commerce_session1!#REF!,0),62)</f>
        <v>#REF!</v>
      </c>
    </row>
    <row r="208" spans="1:18" ht="18.75" customHeight="1" thickBot="1">
      <c r="A208" s="550"/>
      <c r="B208" s="554"/>
      <c r="C208" s="504"/>
      <c r="D208" s="558"/>
      <c r="E208" s="451"/>
      <c r="F208" s="98" t="s">
        <v>56</v>
      </c>
      <c r="G208" s="74">
        <v>6</v>
      </c>
      <c r="H208" s="75">
        <v>2</v>
      </c>
      <c r="I208" s="16" t="e">
        <f>INDEX(Commerce_session2!A6:DN806,MATCH("G",Commerce_session2!A6:A806,0),27)</f>
        <v>#N/A</v>
      </c>
      <c r="J208" s="17" t="e">
        <f>INDEX(Commerce_session2!A6:DN806,MATCH("G",Commerce_session2!A6:A806,0),28)</f>
        <v>#N/A</v>
      </c>
      <c r="K208" s="454" t="e">
        <f>INDEX(Commerce_session1!B186:CY226,MATCH("a",Commerce_session1!B186:B226,0),14)</f>
        <v>#N/A</v>
      </c>
      <c r="L208" s="490" t="e">
        <f>INDEX(Commerce_session1!D186:CZ226,MATCH("a",Commerce_session1!D186:D226,0),14)</f>
        <v>#N/A</v>
      </c>
      <c r="M208" s="491" t="e">
        <f>INDEX(Commerce_session1!E186:DA226,MATCH("a",Commerce_session1!E186:E226,0),14)</f>
        <v>#N/A</v>
      </c>
      <c r="N208" s="498" t="e">
        <f>INDEX(Commerce_session1!#REF!,MATCH("a",Commerce_session1!#REF!,0),62)</f>
        <v>#REF!</v>
      </c>
      <c r="O208" s="487" t="e">
        <f>INDEX(Commerce_session1!#REF!,MATCH("a",Commerce_session1!#REF!,0),62)</f>
        <v>#REF!</v>
      </c>
    </row>
    <row r="209" spans="1:15" ht="19.5" customHeight="1" thickTop="1" thickBot="1">
      <c r="A209" s="550"/>
      <c r="B209" s="499" t="s">
        <v>37</v>
      </c>
      <c r="C209" s="502" t="s">
        <v>89</v>
      </c>
      <c r="D209" s="505">
        <v>7</v>
      </c>
      <c r="E209" s="508">
        <v>5</v>
      </c>
      <c r="F209" s="99" t="s">
        <v>83</v>
      </c>
      <c r="G209" s="76">
        <v>1</v>
      </c>
      <c r="H209" s="77">
        <v>1</v>
      </c>
      <c r="I209" s="18" t="e">
        <f>INDEX(Commerce_session2!A6:DN806,MATCH("G",Commerce_session2!A6:A806,0),33)</f>
        <v>#N/A</v>
      </c>
      <c r="J209" s="19" t="e">
        <f>INDEX(Commerce_session2!A6:DN806,MATCH("G",Commerce_session2!A6:A806,0),34)</f>
        <v>#N/A</v>
      </c>
      <c r="K209" s="509" t="e">
        <f>INDEX(Commerce_session2!A6:DN806,MATCH("G",Commerce_session2!A6:A806,0),45)</f>
        <v>#N/A</v>
      </c>
      <c r="L209" s="488" t="e">
        <f>INDEX(Commerce_session2!A6:DN806,MATCH("G",Commerce_session2!A6:A806,0),46)</f>
        <v>#N/A</v>
      </c>
      <c r="M209" s="489" t="e">
        <f>INDEX(Commerce_session1!D184:CZ226,MATCH("a",Commerce_session1!D184:D226,0),23)</f>
        <v>#N/A</v>
      </c>
      <c r="N209" s="498" t="e">
        <f>INDEX(Commerce_session1!#REF!,MATCH("a",Commerce_session1!#REF!,0),62)</f>
        <v>#REF!</v>
      </c>
      <c r="O209" s="487" t="e">
        <f>INDEX(Commerce_session1!#REF!,MATCH("a",Commerce_session1!#REF!,0),62)</f>
        <v>#REF!</v>
      </c>
    </row>
    <row r="210" spans="1:15" ht="18.75" customHeight="1" thickTop="1" thickBot="1">
      <c r="A210" s="550"/>
      <c r="B210" s="500"/>
      <c r="C210" s="503"/>
      <c r="D210" s="506"/>
      <c r="E210" s="450"/>
      <c r="F210" s="100" t="s">
        <v>99</v>
      </c>
      <c r="G210" s="78">
        <v>3</v>
      </c>
      <c r="H210" s="79">
        <v>2</v>
      </c>
      <c r="I210" s="18" t="e">
        <f>INDEX(Commerce_session2!A6:DN806,MATCH("G",Commerce_session2!A6:A806,0),38)</f>
        <v>#N/A</v>
      </c>
      <c r="J210" s="15" t="e">
        <f>INDEX(Commerce_session2!A6:DN806,MATCH("G",Commerce_session2!A6:A806,0),39)</f>
        <v>#N/A</v>
      </c>
      <c r="K210" s="510" t="e">
        <f>INDEX(Commerce_session1!B183:CY226,MATCH("a",Commerce_session1!B183:B226,0),22)</f>
        <v>#N/A</v>
      </c>
      <c r="L210" s="496" t="e">
        <f>INDEX(Commerce_session1!D183:CZ226,MATCH("a",Commerce_session1!D183:D226,0),22)</f>
        <v>#N/A</v>
      </c>
      <c r="M210" s="497" t="e">
        <f>INDEX(Commerce_session1!E183:DA226,MATCH("a",Commerce_session1!E183:E226,0),22)</f>
        <v>#N/A</v>
      </c>
      <c r="N210" s="498" t="e">
        <f>INDEX(Commerce_session1!#REF!,MATCH("a",Commerce_session1!#REF!,0),62)</f>
        <v>#REF!</v>
      </c>
      <c r="O210" s="487" t="e">
        <f>INDEX(Commerce_session1!#REF!,MATCH("a",Commerce_session1!#REF!,0),62)</f>
        <v>#REF!</v>
      </c>
    </row>
    <row r="211" spans="1:15" ht="18.75" customHeight="1" thickBot="1">
      <c r="A211" s="550"/>
      <c r="B211" s="501"/>
      <c r="C211" s="504"/>
      <c r="D211" s="507"/>
      <c r="E211" s="451"/>
      <c r="F211" s="101" t="s">
        <v>84</v>
      </c>
      <c r="G211" s="80">
        <v>3</v>
      </c>
      <c r="H211" s="81">
        <v>2</v>
      </c>
      <c r="I211" s="20" t="e">
        <f>INDEX(Commerce_session2!A6:DN806,MATCH("G",Commerce_session2!A6:A806,0),43)</f>
        <v>#N/A</v>
      </c>
      <c r="J211" s="17" t="e">
        <f>INDEX(Commerce_session2!A6:DN806,MATCH("G",Commerce_session2!A6:A806,0),44)</f>
        <v>#N/A</v>
      </c>
      <c r="K211" s="511" t="e">
        <f>INDEX(Commerce_session1!B184:CY226,MATCH("a",Commerce_session1!B184:B226,0),22)</f>
        <v>#N/A</v>
      </c>
      <c r="L211" s="490" t="e">
        <f>INDEX(Commerce_session1!D184:CZ226,MATCH("a",Commerce_session1!D184:D226,0),22)</f>
        <v>#N/A</v>
      </c>
      <c r="M211" s="491" t="e">
        <f>INDEX(Commerce_session1!E184:DA226,MATCH("a",Commerce_session1!E184:E226,0),22)</f>
        <v>#N/A</v>
      </c>
      <c r="N211" s="498" t="e">
        <f>INDEX(Commerce_session1!#REF!,MATCH("a",Commerce_session1!#REF!,0),62)</f>
        <v>#REF!</v>
      </c>
      <c r="O211" s="487" t="e">
        <f>INDEX(Commerce_session1!#REF!,MATCH("a",Commerce_session1!#REF!,0),62)</f>
        <v>#REF!</v>
      </c>
    </row>
    <row r="212" spans="1:15" ht="33.75" customHeight="1" thickTop="1" thickBot="1">
      <c r="A212" s="550"/>
      <c r="B212" s="531" t="s">
        <v>38</v>
      </c>
      <c r="C212" s="559" t="s">
        <v>50</v>
      </c>
      <c r="D212" s="520">
        <v>5</v>
      </c>
      <c r="E212" s="508">
        <v>2</v>
      </c>
      <c r="F212" s="102" t="s">
        <v>63</v>
      </c>
      <c r="G212" s="68">
        <v>4</v>
      </c>
      <c r="H212" s="69">
        <v>1</v>
      </c>
      <c r="I212" s="18" t="e">
        <f>INDEX(Commerce_session2!A6:DN806,MATCH("G",Commerce_session2!A6:A806,0),50)</f>
        <v>#N/A</v>
      </c>
      <c r="J212" s="19" t="e">
        <f>INDEX(Commerce_session2!A6:DN806,MATCH("G",Commerce_session2!A6:A806,0),51)</f>
        <v>#N/A</v>
      </c>
      <c r="K212" s="509" t="e">
        <f>INDEX(Commerce_session2!A6:DN806,MATCH("G",Commerce_session2!A6:A806,0),56)</f>
        <v>#N/A</v>
      </c>
      <c r="L212" s="488" t="e">
        <f>INDEX(Commerce_session2!A6:DN806,MATCH("G",Commerce_session2!A6:A806,0),57)</f>
        <v>#N/A</v>
      </c>
      <c r="M212" s="489" t="e">
        <f>INDEX(Commerce_session1!D184:CZ226,MATCH("a",Commerce_session1!D184:D226,0),29)</f>
        <v>#N/A</v>
      </c>
      <c r="N212" s="498" t="e">
        <f>INDEX(Commerce_session1!#REF!,MATCH("a",Commerce_session1!#REF!,0),62)</f>
        <v>#REF!</v>
      </c>
      <c r="O212" s="487" t="e">
        <f>INDEX(Commerce_session1!#REF!,MATCH("a",Commerce_session1!#REF!,0),62)</f>
        <v>#REF!</v>
      </c>
    </row>
    <row r="213" spans="1:15" ht="18.75" customHeight="1" thickBot="1">
      <c r="A213" s="550"/>
      <c r="B213" s="527"/>
      <c r="C213" s="524"/>
      <c r="D213" s="521"/>
      <c r="E213" s="451"/>
      <c r="F213" s="101" t="s">
        <v>62</v>
      </c>
      <c r="G213" s="80">
        <v>1</v>
      </c>
      <c r="H213" s="81">
        <v>1</v>
      </c>
      <c r="I213" s="16" t="e">
        <f>INDEX(Commerce_session2!A6:DN806,MATCH("G",Commerce_session2!A6:A806,0),54)</f>
        <v>#N/A</v>
      </c>
      <c r="J213" s="21" t="e">
        <f>INDEX(Commerce_session2!A6:DN806,MATCH("G",Commerce_session2!A6:A806,0),55)</f>
        <v>#N/A</v>
      </c>
      <c r="K213" s="511" t="e">
        <f>INDEX(Commerce_session1!B184:CY226,MATCH("a",Commerce_session1!B184:B226,0),28)</f>
        <v>#N/A</v>
      </c>
      <c r="L213" s="490" t="e">
        <f>INDEX(Commerce_session1!D184:CZ226,MATCH("a",Commerce_session1!D184:D226,0),28)</f>
        <v>#N/A</v>
      </c>
      <c r="M213" s="491" t="e">
        <f>INDEX(Commerce_session1!E184:DA226,MATCH("a",Commerce_session1!E184:E226,0),28)</f>
        <v>#N/A</v>
      </c>
      <c r="N213" s="498" t="e">
        <f>INDEX(Commerce_session1!#REF!,MATCH("a",Commerce_session1!#REF!,0),62)</f>
        <v>#REF!</v>
      </c>
      <c r="O213" s="487" t="e">
        <f>INDEX(Commerce_session1!#REF!,MATCH("a",Commerce_session1!#REF!,0),62)</f>
        <v>#REF!</v>
      </c>
    </row>
    <row r="214" spans="1:15" ht="20.25" customHeight="1" thickTop="1" thickBot="1">
      <c r="A214" s="551"/>
      <c r="B214" s="105" t="s">
        <v>39</v>
      </c>
      <c r="C214" s="104" t="s">
        <v>51</v>
      </c>
      <c r="D214" s="22">
        <v>1</v>
      </c>
      <c r="E214" s="23">
        <v>1</v>
      </c>
      <c r="F214" s="103" t="s">
        <v>64</v>
      </c>
      <c r="G214" s="82">
        <v>1</v>
      </c>
      <c r="H214" s="83">
        <v>1</v>
      </c>
      <c r="I214" s="20" t="e">
        <f>INDEX(Commerce_session2!A6:DN806,MATCH("G",Commerce_session2!A6:A806,0),61)</f>
        <v>#N/A</v>
      </c>
      <c r="J214" s="24" t="e">
        <f>INDEX(Commerce_session2!A6:DN806,MATCH("G",Commerce_session2!A6:A806,0),62)</f>
        <v>#N/A</v>
      </c>
      <c r="K214" s="36" t="e">
        <f>INDEX(Commerce_session2!A6:DN806,MATCH("G",Commerce_session2!A6:A806,0),63)</f>
        <v>#N/A</v>
      </c>
      <c r="L214" s="492" t="e">
        <f>INDEX(Commerce_session2!A6:DN806,MATCH("G",Commerce_session2!A6:A806,0),64)</f>
        <v>#N/A</v>
      </c>
      <c r="M214" s="493" t="e">
        <f>INDEX(Commerce_session1!D184:CZ226,MATCH("a",Commerce_session1!D184:D226,0),33)</f>
        <v>#N/A</v>
      </c>
      <c r="N214" s="498" t="e">
        <f>INDEX(Commerce_session1!#REF!,MATCH("a",Commerce_session1!#REF!,0),62)</f>
        <v>#REF!</v>
      </c>
      <c r="O214" s="487" t="e">
        <f>INDEX(Commerce_session1!#REF!,MATCH("a",Commerce_session1!#REF!,0),62)</f>
        <v>#REF!</v>
      </c>
    </row>
    <row r="215" spans="1:15" ht="19.5" customHeight="1" thickTop="1" thickBot="1">
      <c r="A215" s="516" t="s">
        <v>77</v>
      </c>
      <c r="B215" s="525" t="s">
        <v>36</v>
      </c>
      <c r="C215" s="522" t="s">
        <v>88</v>
      </c>
      <c r="D215" s="528">
        <v>16</v>
      </c>
      <c r="E215" s="449">
        <v>5</v>
      </c>
      <c r="F215" s="96" t="s">
        <v>67</v>
      </c>
      <c r="G215" s="114">
        <v>6</v>
      </c>
      <c r="H215" s="115">
        <v>2</v>
      </c>
      <c r="I215" s="18" t="e">
        <f>INDEX(Commerce_session2!A6:DN806,MATCH("G",Commerce_session2!A6:A806,0),70)</f>
        <v>#N/A</v>
      </c>
      <c r="J215" s="19" t="e">
        <f>INDEX(Commerce_session2!A6:DN806,MATCH("G",Commerce_session2!A6:A806,0),71)</f>
        <v>#N/A</v>
      </c>
      <c r="K215" s="519" t="e">
        <f>INDEX(Commerce_session2!A6:DN806,MATCH("G",Commerce_session2!A6:A806,0),82)</f>
        <v>#N/A</v>
      </c>
      <c r="L215" s="494" t="e">
        <f>INDEX(Commerce_session2!A6:DN806,MATCH("G",Commerce_session2!A6:A806,0),83)</f>
        <v>#N/A</v>
      </c>
      <c r="M215" s="495"/>
      <c r="N215" s="498" t="e">
        <f>INDEX(Commerce_session2!A6:DN806,MATCH("G",Commerce_session2!A6:A806,0),113)</f>
        <v>#N/A</v>
      </c>
      <c r="O215" s="487" t="e">
        <f>INDEX(Commerce_session2!A6:DN806,MATCH("G",Commerce_session2!A6:A806,0),114)</f>
        <v>#N/A</v>
      </c>
    </row>
    <row r="216" spans="1:15" ht="18.75" customHeight="1" thickBot="1">
      <c r="A216" s="517"/>
      <c r="B216" s="526"/>
      <c r="C216" s="523"/>
      <c r="D216" s="529"/>
      <c r="E216" s="450"/>
      <c r="F216" s="100" t="s">
        <v>68</v>
      </c>
      <c r="G216" s="116">
        <v>6</v>
      </c>
      <c r="H216" s="117">
        <v>2</v>
      </c>
      <c r="I216" s="14" t="e">
        <f>INDEX(Commerce_session2!A6:DN806,MATCH("G",Commerce_session2!A6:A806,0),75)</f>
        <v>#N/A</v>
      </c>
      <c r="J216" s="15" t="e">
        <f>INDEX(Commerce_session2!A6:DN806,MATCH("G",Commerce_session2!A6:A806,0),76)</f>
        <v>#N/A</v>
      </c>
      <c r="K216" s="510"/>
      <c r="L216" s="496"/>
      <c r="M216" s="497"/>
      <c r="N216" s="498" t="e">
        <f>INDEX(Commerce_session1!F184:DA226,MATCH("a",Commerce_session1!F184:F226,0),42)</f>
        <v>#N/A</v>
      </c>
      <c r="O216" s="487" t="e">
        <f>INDEX(Commerce_session1!G184:DA226,MATCH("a",Commerce_session1!G184:G226,0),42)</f>
        <v>#N/A</v>
      </c>
    </row>
    <row r="217" spans="1:15" ht="20.25" customHeight="1" thickBot="1">
      <c r="A217" s="517"/>
      <c r="B217" s="527"/>
      <c r="C217" s="524"/>
      <c r="D217" s="530"/>
      <c r="E217" s="451"/>
      <c r="F217" s="101" t="s">
        <v>103</v>
      </c>
      <c r="G217" s="118">
        <v>4</v>
      </c>
      <c r="H217" s="119">
        <v>1</v>
      </c>
      <c r="I217" s="127" t="e">
        <f>INDEX(Commerce_session2!A6:DN806,MATCH("G",Commerce_session2!A6:A806,0),80)</f>
        <v>#N/A</v>
      </c>
      <c r="J217" s="21" t="e">
        <f>INDEX(Commerce_session2!A6:DN806,MATCH("G",Commerce_session2!A6:A806,0),81)</f>
        <v>#N/A</v>
      </c>
      <c r="K217" s="511"/>
      <c r="L217" s="490"/>
      <c r="M217" s="491"/>
      <c r="N217" s="498" t="e">
        <f>INDEX(Commerce_session1!F185:DA226,MATCH("a",Commerce_session1!F185:F226,0),42)</f>
        <v>#N/A</v>
      </c>
      <c r="O217" s="487" t="e">
        <f>INDEX(Commerce_session1!G185:DA226,MATCH("a",Commerce_session1!G185:G226,0),42)</f>
        <v>#N/A</v>
      </c>
    </row>
    <row r="218" spans="1:15" ht="22.5" customHeight="1" thickTop="1" thickBot="1">
      <c r="A218" s="517"/>
      <c r="B218" s="531" t="s">
        <v>37</v>
      </c>
      <c r="C218" s="559" t="s">
        <v>87</v>
      </c>
      <c r="D218" s="532">
        <v>10</v>
      </c>
      <c r="E218" s="508">
        <v>4</v>
      </c>
      <c r="F218" s="128" t="s">
        <v>104</v>
      </c>
      <c r="G218" s="76">
        <v>5</v>
      </c>
      <c r="H218" s="77">
        <v>2</v>
      </c>
      <c r="I218" s="18" t="e">
        <f>INDEX(Commerce_session2!A6:DN806,MATCH("G",Commerce_session2!A6:A806,0),87)</f>
        <v>#N/A</v>
      </c>
      <c r="J218" s="19" t="e">
        <f>INDEX(Commerce_session2!A6:DN806,MATCH("G",Commerce_session2!A6:A806,0),88)</f>
        <v>#N/A</v>
      </c>
      <c r="K218" s="509" t="e">
        <f>INDEX(Commerce_session2!A6:DN806,MATCH("G",Commerce_session2!A6:A806,0),94)</f>
        <v>#N/A</v>
      </c>
      <c r="L218" s="488" t="e">
        <f>INDEX(Commerce_session2!A6:DN806,MATCH("G",Commerce_session2!A6:A806,0),95)</f>
        <v>#N/A</v>
      </c>
      <c r="M218" s="489"/>
      <c r="N218" s="498" t="e">
        <f>INDEX(Commerce_session1!E187:DA226,MATCH("a",Commerce_session1!E187:E226,0),43)</f>
        <v>#N/A</v>
      </c>
      <c r="O218" s="487" t="e">
        <f>INDEX(Commerce_session1!F187:DA226,MATCH("a",Commerce_session1!F187:F226,0),43)</f>
        <v>#N/A</v>
      </c>
    </row>
    <row r="219" spans="1:15" ht="18.75" customHeight="1" thickBot="1">
      <c r="A219" s="517"/>
      <c r="B219" s="527"/>
      <c r="C219" s="524"/>
      <c r="D219" s="530"/>
      <c r="E219" s="451"/>
      <c r="F219" s="98" t="s">
        <v>69</v>
      </c>
      <c r="G219" s="74">
        <v>5</v>
      </c>
      <c r="H219" s="75">
        <v>2</v>
      </c>
      <c r="I219" s="20" t="e">
        <f>INDEX(Commerce_session2!A6:DN806,MATCH("G",Commerce_session2!A6:A806,0),92)</f>
        <v>#N/A</v>
      </c>
      <c r="J219" s="17" t="e">
        <f>INDEX(Commerce_session2!A6:DN806,MATCH("G",Commerce_session2!A6:A806,0),93)</f>
        <v>#N/A</v>
      </c>
      <c r="K219" s="511"/>
      <c r="L219" s="490"/>
      <c r="M219" s="491"/>
      <c r="N219" s="498" t="e">
        <f>INDEX(Commerce_session1!F188:DA226,MATCH("a",Commerce_session1!F188:F226,0),42)</f>
        <v>#N/A</v>
      </c>
      <c r="O219" s="487" t="e">
        <f>INDEX(Commerce_session1!G188:DA226,MATCH("a",Commerce_session1!G188:G226,0),42)</f>
        <v>#N/A</v>
      </c>
    </row>
    <row r="220" spans="1:15" ht="18.75" customHeight="1" thickTop="1" thickBot="1">
      <c r="A220" s="517"/>
      <c r="B220" s="105" t="s">
        <v>38</v>
      </c>
      <c r="C220" s="104" t="s">
        <v>85</v>
      </c>
      <c r="D220" s="22">
        <v>3</v>
      </c>
      <c r="E220" s="23">
        <v>2</v>
      </c>
      <c r="F220" s="101" t="s">
        <v>74</v>
      </c>
      <c r="G220" s="74">
        <v>3</v>
      </c>
      <c r="H220" s="75">
        <v>2</v>
      </c>
      <c r="I220" s="20" t="e">
        <f>INDEX(Commerce_session2!A6:DN806,MATCH("G",Commerce_session2!A6:A806,0),99)</f>
        <v>#N/A</v>
      </c>
      <c r="J220" s="17" t="e">
        <f>INDEX(Commerce_session2!A6:DN806,MATCH("G",Commerce_session2!A6:A806,0),100)</f>
        <v>#N/A</v>
      </c>
      <c r="K220" s="125" t="e">
        <f>INDEX(Commerce_session2!A6:DN806,MATCH("G",Commerce_session2!A6:A806,0),101)</f>
        <v>#N/A</v>
      </c>
      <c r="L220" s="512" t="e">
        <f>INDEX(Commerce_session2!A6:DN806,MATCH("G",Commerce_session2!A6:A806,0),102)</f>
        <v>#N/A</v>
      </c>
      <c r="M220" s="513"/>
      <c r="N220" s="498" t="e">
        <f>INDEX(Commerce_session1!F190:DA226,MATCH("a",Commerce_session1!F190:F226,0),42)</f>
        <v>#N/A</v>
      </c>
      <c r="O220" s="487" t="e">
        <f>INDEX(Commerce_session1!G190:DA226,MATCH("a",Commerce_session1!G190:G226,0),42)</f>
        <v>#N/A</v>
      </c>
    </row>
    <row r="221" spans="1:15" ht="20.25" customHeight="1" thickTop="1" thickBot="1">
      <c r="A221" s="518"/>
      <c r="B221" s="105" t="s">
        <v>39</v>
      </c>
      <c r="C221" s="104" t="s">
        <v>86</v>
      </c>
      <c r="D221" s="22">
        <v>1</v>
      </c>
      <c r="E221" s="23">
        <v>1</v>
      </c>
      <c r="F221" s="103" t="s">
        <v>73</v>
      </c>
      <c r="G221" s="82">
        <v>1</v>
      </c>
      <c r="H221" s="83">
        <v>1</v>
      </c>
      <c r="I221" s="25" t="e">
        <f>INDEX(Commerce_session2!A6:DN806,MATCH("G",Commerce_session2!A6:A806,0),105)</f>
        <v>#N/A</v>
      </c>
      <c r="J221" s="26" t="e">
        <f>INDEX(Commerce_session2!A6:DN806,MATCH("G",Commerce_session2!A6:A806,0),106)</f>
        <v>#N/A</v>
      </c>
      <c r="K221" s="27" t="e">
        <f>INDEX(Commerce_session2!A6:DN806,MATCH("G",Commerce_session2!A6:A806,0),107)</f>
        <v>#N/A</v>
      </c>
      <c r="L221" s="514" t="e">
        <f>INDEX(Commerce_session2!A6:DN806,MATCH("G",Commerce_session2!A6:A806,0),108)</f>
        <v>#N/A</v>
      </c>
      <c r="M221" s="515" t="e">
        <f>INDEX(Commerce_session1!D184:CZ226,MATCH("a",Commerce_session1!D184:D226,0),61)</f>
        <v>#N/A</v>
      </c>
      <c r="N221" s="498" t="e">
        <f>INDEX(Commerce_session1!F191:DA226,MATCH("a",Commerce_session1!F191:F226,0),42)</f>
        <v>#N/A</v>
      </c>
      <c r="O221" s="487" t="e">
        <f>INDEX(Commerce_session1!G191:DA226,MATCH("a",Commerce_session1!G191:G226,0),42)</f>
        <v>#N/A</v>
      </c>
    </row>
    <row r="222" spans="1:15" ht="20.25">
      <c r="A222" s="535" t="s">
        <v>40</v>
      </c>
      <c r="B222" s="536"/>
      <c r="C222" s="537"/>
      <c r="D222" s="121" t="e">
        <f>INDEX(Commerce_session2!A6:DN806,MATCH("G",Commerce_session2!A6:A806,0),115)</f>
        <v>#N/A</v>
      </c>
      <c r="E222" s="538" t="s">
        <v>41</v>
      </c>
      <c r="F222" s="540"/>
      <c r="G222" s="120" t="e">
        <f>INDEX(Commerce_session2!A6:DN806,MATCH("G",Commerce_session2!A6:A806,0),116)</f>
        <v>#N/A</v>
      </c>
      <c r="H222" s="538" t="s">
        <v>91</v>
      </c>
      <c r="I222" s="539"/>
      <c r="J222" s="539"/>
      <c r="K222" s="540"/>
      <c r="L222" s="541" t="e">
        <f>INDEX(Commerce_session2!A6:DN806,MATCH("G",Commerce_session2!A6:A806,0),117)</f>
        <v>#N/A</v>
      </c>
      <c r="M222" s="542"/>
      <c r="N222" s="8"/>
      <c r="O222" s="8"/>
    </row>
    <row r="223" spans="1:15" ht="22.5">
      <c r="A223" s="546" t="s">
        <v>42</v>
      </c>
      <c r="B223" s="547"/>
      <c r="C223" s="548"/>
      <c r="D223" s="543" t="e">
        <f>INDEX(Commerce_session2!A6:DN806,MATCH("G",Commerce_session2!A6:A806,0),118)</f>
        <v>#N/A</v>
      </c>
      <c r="E223" s="544"/>
      <c r="F223" s="545"/>
      <c r="G223" s="108"/>
      <c r="H223" s="109"/>
      <c r="I223" s="110"/>
      <c r="J223" s="111"/>
      <c r="K223" s="110"/>
      <c r="L223" s="110"/>
      <c r="M223" s="110"/>
      <c r="N223" s="112" t="s">
        <v>43</v>
      </c>
      <c r="O223" s="28">
        <f ca="1">TODAY()</f>
        <v>43626</v>
      </c>
    </row>
    <row r="224" spans="1:15" ht="32.25" customHeight="1">
      <c r="A224" s="113" t="s">
        <v>44</v>
      </c>
      <c r="B224" s="29"/>
      <c r="C224" s="29"/>
      <c r="D224" s="533"/>
      <c r="E224" s="533"/>
      <c r="F224" s="30"/>
      <c r="G224" s="4"/>
      <c r="J224" s="4"/>
      <c r="L224" s="534" t="s">
        <v>46</v>
      </c>
      <c r="M224" s="534"/>
      <c r="N224" s="534"/>
    </row>
    <row r="225" spans="1:18" ht="23.25" customHeight="1" thickBot="1">
      <c r="A225" s="84" t="s">
        <v>12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445" t="s">
        <v>13</v>
      </c>
      <c r="M225" s="445"/>
      <c r="N225" s="445"/>
      <c r="O225" s="445"/>
      <c r="P225" s="2"/>
      <c r="Q225" s="2"/>
      <c r="R225" s="2"/>
    </row>
    <row r="226" spans="1:18" ht="15.75">
      <c r="A226" s="446" t="s">
        <v>14</v>
      </c>
      <c r="B226" s="446"/>
      <c r="C226" s="446"/>
      <c r="D226" s="446"/>
      <c r="E226" s="446"/>
      <c r="F226" s="3"/>
      <c r="H226" s="4"/>
      <c r="K226" s="4"/>
      <c r="L226" s="4"/>
    </row>
    <row r="227" spans="1:18" ht="15.75">
      <c r="A227" s="85" t="s">
        <v>15</v>
      </c>
      <c r="B227" s="85"/>
      <c r="C227" s="85"/>
      <c r="D227" s="85"/>
      <c r="E227" s="85"/>
      <c r="F227" s="5"/>
      <c r="H227" s="4"/>
      <c r="K227" s="4"/>
      <c r="L227" s="4"/>
      <c r="P227" s="6"/>
    </row>
    <row r="228" spans="1:18" ht="15.75">
      <c r="A228" s="85" t="s">
        <v>100</v>
      </c>
      <c r="B228" s="85"/>
      <c r="C228" s="85"/>
      <c r="D228" s="85"/>
      <c r="E228" s="85"/>
      <c r="F228" s="3"/>
      <c r="H228" s="4"/>
      <c r="K228" s="4"/>
      <c r="L228" s="4"/>
    </row>
    <row r="229" spans="1:18" s="8" customFormat="1" ht="27" customHeight="1">
      <c r="A229" s="7"/>
      <c r="B229" s="7"/>
      <c r="C229" s="7"/>
      <c r="D229" s="447" t="s">
        <v>94</v>
      </c>
      <c r="E229" s="447"/>
      <c r="F229" s="447"/>
      <c r="G229" s="447"/>
      <c r="H229" s="447"/>
      <c r="I229" s="447"/>
      <c r="J229" s="447"/>
      <c r="K229" s="447"/>
      <c r="L229" s="447"/>
      <c r="M229" s="7"/>
      <c r="N229" s="7"/>
      <c r="O229" s="7"/>
    </row>
    <row r="230" spans="1:18" ht="23.25" customHeight="1">
      <c r="A230" s="126" t="s">
        <v>101</v>
      </c>
      <c r="B230" s="126"/>
      <c r="C230" s="126"/>
      <c r="D230" s="126"/>
      <c r="E230" s="126"/>
      <c r="F230" s="126"/>
      <c r="G230" s="122"/>
      <c r="H230" s="122"/>
      <c r="I230" s="122" t="e">
        <f>IF(D255="ناجح(ة) دورة1","-الدورة الأولى-","-الدورة الثانية-")</f>
        <v>#N/A</v>
      </c>
      <c r="J230" s="124" t="s">
        <v>48</v>
      </c>
      <c r="K230" s="124"/>
      <c r="L230" s="87"/>
      <c r="M230" s="88"/>
      <c r="N230" s="89"/>
      <c r="O230" s="9"/>
    </row>
    <row r="231" spans="1:18" ht="20.25" customHeight="1">
      <c r="A231" s="476" t="s">
        <v>93</v>
      </c>
      <c r="B231" s="476"/>
      <c r="C231" s="90" t="e">
        <f>INDEX(Commerce_session2!A6:DN806,MATCH("H",Commerce_session2!A6:A806,0),3)</f>
        <v>#N/A</v>
      </c>
      <c r="D231" s="91" t="s">
        <v>92</v>
      </c>
      <c r="E231" s="448" t="e">
        <f>INDEX(Commerce_session2!A6:DN806,MATCH("H",Commerce_session2!A6:A806,0),4)</f>
        <v>#N/A</v>
      </c>
      <c r="F231" s="448" t="e">
        <f>INDEX(Commerce_session1!D216:DA402,MATCH("a",Commerce_session1!D216:D402,0),3)</f>
        <v>#N/A</v>
      </c>
      <c r="G231" s="477" t="s">
        <v>16</v>
      </c>
      <c r="H231" s="477"/>
      <c r="I231" s="477"/>
      <c r="J231" s="478" t="e">
        <f>INDEX(Commerce_session2!A6:DN806,MATCH("H",Commerce_session2!A6:A806,0),6)</f>
        <v>#N/A</v>
      </c>
      <c r="K231" s="478"/>
      <c r="L231" s="88"/>
      <c r="M231" s="92" t="s">
        <v>17</v>
      </c>
      <c r="N231" s="90" t="e">
        <f>INDEX(Commerce_session2!A6:DN806,MATCH("H",Commerce_session2!A6:A806,0),7)</f>
        <v>#N/A</v>
      </c>
      <c r="O231" s="10"/>
    </row>
    <row r="232" spans="1:18" ht="20.25" customHeight="1">
      <c r="A232" s="476" t="s">
        <v>18</v>
      </c>
      <c r="B232" s="476"/>
      <c r="C232" s="448" t="e">
        <f>INDEX(Commerce_session2!A6:DN806,MATCH("H",Commerce_session2!A6:A806,0),5)</f>
        <v>#N/A</v>
      </c>
      <c r="D232" s="448"/>
      <c r="E232" s="91"/>
      <c r="F232" s="88"/>
      <c r="G232" s="93"/>
      <c r="H232" s="88"/>
      <c r="I232" s="88"/>
      <c r="J232" s="93"/>
      <c r="K232" s="88"/>
      <c r="L232" s="88"/>
      <c r="M232" s="88"/>
      <c r="N232" s="88"/>
      <c r="O232" s="10"/>
    </row>
    <row r="233" spans="1:18" ht="20.25" customHeight="1">
      <c r="A233" s="476" t="s">
        <v>102</v>
      </c>
      <c r="B233" s="476"/>
      <c r="C233" s="476"/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  <c r="N233" s="476"/>
      <c r="O233" s="476"/>
    </row>
    <row r="234" spans="1:18" ht="20.25" customHeight="1" thickBot="1">
      <c r="A234" s="459" t="s">
        <v>19</v>
      </c>
      <c r="B234" s="459"/>
      <c r="C234" s="459"/>
      <c r="D234" s="459"/>
      <c r="E234" s="459"/>
      <c r="F234" s="459"/>
      <c r="G234" s="459"/>
      <c r="H234" s="94"/>
      <c r="I234" s="94"/>
      <c r="J234" s="95"/>
      <c r="K234" s="94"/>
      <c r="L234" s="94"/>
      <c r="M234" s="94"/>
      <c r="N234" s="94"/>
      <c r="O234" s="11"/>
    </row>
    <row r="235" spans="1:18" ht="18.75" thickBot="1">
      <c r="A235" s="460" t="s">
        <v>20</v>
      </c>
      <c r="B235" s="463" t="s">
        <v>21</v>
      </c>
      <c r="C235" s="464"/>
      <c r="D235" s="464"/>
      <c r="E235" s="464"/>
      <c r="F235" s="464" t="s">
        <v>22</v>
      </c>
      <c r="G235" s="464"/>
      <c r="H235" s="464"/>
      <c r="I235" s="465" t="s">
        <v>23</v>
      </c>
      <c r="J235" s="466"/>
      <c r="K235" s="466"/>
      <c r="L235" s="466"/>
      <c r="M235" s="466"/>
      <c r="N235" s="466"/>
      <c r="O235" s="467"/>
    </row>
    <row r="236" spans="1:18">
      <c r="A236" s="461"/>
      <c r="B236" s="468" t="s">
        <v>24</v>
      </c>
      <c r="C236" s="470" t="s">
        <v>25</v>
      </c>
      <c r="D236" s="472" t="s">
        <v>26</v>
      </c>
      <c r="E236" s="474" t="s">
        <v>27</v>
      </c>
      <c r="F236" s="479" t="s">
        <v>28</v>
      </c>
      <c r="G236" s="468" t="s">
        <v>11</v>
      </c>
      <c r="H236" s="481" t="s">
        <v>27</v>
      </c>
      <c r="I236" s="482" t="s">
        <v>29</v>
      </c>
      <c r="J236" s="483"/>
      <c r="K236" s="484" t="s">
        <v>30</v>
      </c>
      <c r="L236" s="485"/>
      <c r="M236" s="486"/>
      <c r="N236" s="455" t="s">
        <v>20</v>
      </c>
      <c r="O236" s="456"/>
    </row>
    <row r="237" spans="1:18" ht="15.75" thickBot="1">
      <c r="A237" s="462"/>
      <c r="B237" s="469"/>
      <c r="C237" s="471"/>
      <c r="D237" s="473"/>
      <c r="E237" s="475"/>
      <c r="F237" s="480"/>
      <c r="G237" s="469"/>
      <c r="H237" s="473"/>
      <c r="I237" s="106" t="s">
        <v>10</v>
      </c>
      <c r="J237" s="106" t="s">
        <v>31</v>
      </c>
      <c r="K237" s="106" t="s">
        <v>32</v>
      </c>
      <c r="L237" s="457" t="s">
        <v>33</v>
      </c>
      <c r="M237" s="458"/>
      <c r="N237" s="106" t="s">
        <v>34</v>
      </c>
      <c r="O237" s="107" t="s">
        <v>35</v>
      </c>
    </row>
    <row r="238" spans="1:18" ht="18.75" customHeight="1" thickBot="1">
      <c r="A238" s="549" t="s">
        <v>76</v>
      </c>
      <c r="B238" s="552" t="s">
        <v>36</v>
      </c>
      <c r="C238" s="555" t="s">
        <v>90</v>
      </c>
      <c r="D238" s="556">
        <v>17</v>
      </c>
      <c r="E238" s="449">
        <v>6</v>
      </c>
      <c r="F238" s="96" t="s">
        <v>54</v>
      </c>
      <c r="G238" s="70">
        <v>5</v>
      </c>
      <c r="H238" s="71">
        <v>2</v>
      </c>
      <c r="I238" s="12" t="e">
        <f>INDEX(Commerce_session2!A6:DN806,MATCH("H",Commerce_session2!A6:A806,0),17)</f>
        <v>#N/A</v>
      </c>
      <c r="J238" s="13" t="e">
        <f>INDEX(Commerce_session2!A6:DN806,MATCH("H",Commerce_session2!A6:A806,0),18)</f>
        <v>#N/A</v>
      </c>
      <c r="K238" s="452" t="e">
        <f>INDEX(Commerce_session2!A6:DN806,MATCH("H",Commerce_session2!A6:A806,0),29)</f>
        <v>#N/A</v>
      </c>
      <c r="L238" s="494" t="e">
        <f>INDEX(Commerce_session2!A6:DN806,MATCH("H",Commerce_session2!A6:A806,0),30)</f>
        <v>#N/A</v>
      </c>
      <c r="M238" s="495" t="e">
        <f>INDEX(Commerce_session1!D216:CZ258,MATCH("a",Commerce_session1!D216:D258,0),15)</f>
        <v>#N/A</v>
      </c>
      <c r="N238" s="498" t="e">
        <f>INDEX(Commerce_session2!A6:DN806,MATCH("H",Commerce_session2!A6:A806,0),111)</f>
        <v>#N/A</v>
      </c>
      <c r="O238" s="487" t="e">
        <f>INDEX(Commerce_session2!A6:DN806,MATCH("H",Commerce_session2!A6:A806,0),112)</f>
        <v>#N/A</v>
      </c>
    </row>
    <row r="239" spans="1:18" ht="18.75" customHeight="1" thickBot="1">
      <c r="A239" s="550"/>
      <c r="B239" s="553"/>
      <c r="C239" s="503"/>
      <c r="D239" s="557"/>
      <c r="E239" s="450"/>
      <c r="F239" s="97" t="s">
        <v>55</v>
      </c>
      <c r="G239" s="72">
        <v>6</v>
      </c>
      <c r="H239" s="73">
        <v>2</v>
      </c>
      <c r="I239" s="14" t="e">
        <f>INDEX(Commerce_session2!A6:DN806,MATCH("H",Commerce_session2!A6:A806,0),22)</f>
        <v>#N/A</v>
      </c>
      <c r="J239" s="15" t="e">
        <f>INDEX(Commerce_session2!A6:DN806,MATCH("H",Commerce_session2!A6:A806,0),23)</f>
        <v>#N/A</v>
      </c>
      <c r="K239" s="453" t="e">
        <f>INDEX(Commerce_session1!B216:CY258,MATCH("a",Commerce_session1!B216:B258,0),14)</f>
        <v>#N/A</v>
      </c>
      <c r="L239" s="496" t="e">
        <f>INDEX(Commerce_session1!D216:CZ258,MATCH("a",Commerce_session1!D216:D258,0),14)</f>
        <v>#N/A</v>
      </c>
      <c r="M239" s="497" t="e">
        <f>INDEX(Commerce_session1!E216:DA258,MATCH("a",Commerce_session1!E216:E258,0),14)</f>
        <v>#N/A</v>
      </c>
      <c r="N239" s="498" t="e">
        <f>INDEX(Commerce_session1!#REF!,MATCH("a",Commerce_session1!#REF!,0),62)</f>
        <v>#REF!</v>
      </c>
      <c r="O239" s="487" t="e">
        <f>INDEX(Commerce_session1!#REF!,MATCH("a",Commerce_session1!#REF!,0),62)</f>
        <v>#REF!</v>
      </c>
    </row>
    <row r="240" spans="1:18" ht="18.75" customHeight="1" thickBot="1">
      <c r="A240" s="550"/>
      <c r="B240" s="554"/>
      <c r="C240" s="504"/>
      <c r="D240" s="558"/>
      <c r="E240" s="451"/>
      <c r="F240" s="98" t="s">
        <v>56</v>
      </c>
      <c r="G240" s="74">
        <v>6</v>
      </c>
      <c r="H240" s="75">
        <v>2</v>
      </c>
      <c r="I240" s="16" t="e">
        <f>INDEX(Commerce_session2!A6:DN806,MATCH("H",Commerce_session2!A6:A806,0),27)</f>
        <v>#N/A</v>
      </c>
      <c r="J240" s="17" t="e">
        <f>INDEX(Commerce_session2!A6:DN806,MATCH("H",Commerce_session2!A6:A806,0),28)</f>
        <v>#N/A</v>
      </c>
      <c r="K240" s="454" t="e">
        <f>INDEX(Commerce_session1!B218:CY258,MATCH("a",Commerce_session1!B218:B258,0),14)</f>
        <v>#N/A</v>
      </c>
      <c r="L240" s="490" t="e">
        <f>INDEX(Commerce_session1!D218:CZ258,MATCH("a",Commerce_session1!D218:D258,0),14)</f>
        <v>#N/A</v>
      </c>
      <c r="M240" s="491" t="e">
        <f>INDEX(Commerce_session1!E218:DA258,MATCH("a",Commerce_session1!E218:E258,0),14)</f>
        <v>#N/A</v>
      </c>
      <c r="N240" s="498" t="e">
        <f>INDEX(Commerce_session1!#REF!,MATCH("a",Commerce_session1!#REF!,0),62)</f>
        <v>#REF!</v>
      </c>
      <c r="O240" s="487" t="e">
        <f>INDEX(Commerce_session1!#REF!,MATCH("a",Commerce_session1!#REF!,0),62)</f>
        <v>#REF!</v>
      </c>
    </row>
    <row r="241" spans="1:15" ht="19.5" customHeight="1" thickTop="1" thickBot="1">
      <c r="A241" s="550"/>
      <c r="B241" s="499" t="s">
        <v>37</v>
      </c>
      <c r="C241" s="502" t="s">
        <v>89</v>
      </c>
      <c r="D241" s="505">
        <v>7</v>
      </c>
      <c r="E241" s="508">
        <v>5</v>
      </c>
      <c r="F241" s="99" t="s">
        <v>83</v>
      </c>
      <c r="G241" s="76">
        <v>1</v>
      </c>
      <c r="H241" s="77">
        <v>1</v>
      </c>
      <c r="I241" s="18" t="e">
        <f>INDEX(Commerce_session2!A6:DN806,MATCH("H",Commerce_session2!A6:A806,0),33)</f>
        <v>#N/A</v>
      </c>
      <c r="J241" s="19" t="e">
        <f>INDEX(Commerce_session2!A6:DN806,MATCH("H",Commerce_session2!A6:A806,0),34)</f>
        <v>#N/A</v>
      </c>
      <c r="K241" s="509" t="e">
        <f>INDEX(Commerce_session2!A6:DN806,MATCH("H",Commerce_session2!A6:A806,0),45)</f>
        <v>#N/A</v>
      </c>
      <c r="L241" s="488" t="e">
        <f>INDEX(Commerce_session2!A6:DN806,MATCH("H",Commerce_session2!A6:A806,0),46)</f>
        <v>#N/A</v>
      </c>
      <c r="M241" s="489" t="e">
        <f>INDEX(Commerce_session1!D216:CZ258,MATCH("a",Commerce_session1!D216:D258,0),23)</f>
        <v>#N/A</v>
      </c>
      <c r="N241" s="498" t="e">
        <f>INDEX(Commerce_session1!#REF!,MATCH("a",Commerce_session1!#REF!,0),62)</f>
        <v>#REF!</v>
      </c>
      <c r="O241" s="487" t="e">
        <f>INDEX(Commerce_session1!#REF!,MATCH("a",Commerce_session1!#REF!,0),62)</f>
        <v>#REF!</v>
      </c>
    </row>
    <row r="242" spans="1:15" ht="18.75" customHeight="1" thickTop="1" thickBot="1">
      <c r="A242" s="550"/>
      <c r="B242" s="500"/>
      <c r="C242" s="503"/>
      <c r="D242" s="506"/>
      <c r="E242" s="450"/>
      <c r="F242" s="100" t="s">
        <v>99</v>
      </c>
      <c r="G242" s="78">
        <v>3</v>
      </c>
      <c r="H242" s="79">
        <v>2</v>
      </c>
      <c r="I242" s="18" t="e">
        <f>INDEX(Commerce_session2!A6:DN806,MATCH("H",Commerce_session2!A6:A806,0),38)</f>
        <v>#N/A</v>
      </c>
      <c r="J242" s="15" t="e">
        <f>INDEX(Commerce_session2!A6:DN806,MATCH("H",Commerce_session2!A6:A806,0),39)</f>
        <v>#N/A</v>
      </c>
      <c r="K242" s="510" t="e">
        <f>INDEX(Commerce_session1!B215:CY258,MATCH("a",Commerce_session1!B215:B258,0),22)</f>
        <v>#N/A</v>
      </c>
      <c r="L242" s="496" t="e">
        <f>INDEX(Commerce_session1!D215:CZ258,MATCH("a",Commerce_session1!D215:D258,0),22)</f>
        <v>#N/A</v>
      </c>
      <c r="M242" s="497" t="e">
        <f>INDEX(Commerce_session1!E215:DA258,MATCH("a",Commerce_session1!E215:E258,0),22)</f>
        <v>#N/A</v>
      </c>
      <c r="N242" s="498" t="e">
        <f>INDEX(Commerce_session1!#REF!,MATCH("a",Commerce_session1!#REF!,0),62)</f>
        <v>#REF!</v>
      </c>
      <c r="O242" s="487" t="e">
        <f>INDEX(Commerce_session1!#REF!,MATCH("a",Commerce_session1!#REF!,0),62)</f>
        <v>#REF!</v>
      </c>
    </row>
    <row r="243" spans="1:15" ht="18.75" customHeight="1" thickBot="1">
      <c r="A243" s="550"/>
      <c r="B243" s="501"/>
      <c r="C243" s="504"/>
      <c r="D243" s="507"/>
      <c r="E243" s="451"/>
      <c r="F243" s="101" t="s">
        <v>84</v>
      </c>
      <c r="G243" s="80">
        <v>3</v>
      </c>
      <c r="H243" s="81">
        <v>2</v>
      </c>
      <c r="I243" s="20" t="e">
        <f>INDEX(Commerce_session2!A6:DN806,MATCH("H",Commerce_session2!A6:A806,0),43)</f>
        <v>#N/A</v>
      </c>
      <c r="J243" s="17" t="e">
        <f>INDEX(Commerce_session2!A6:DN806,MATCH("H",Commerce_session2!A6:A806,0),44)</f>
        <v>#N/A</v>
      </c>
      <c r="K243" s="511" t="e">
        <f>INDEX(Commerce_session1!B216:CY258,MATCH("a",Commerce_session1!B216:B258,0),22)</f>
        <v>#N/A</v>
      </c>
      <c r="L243" s="490" t="e">
        <f>INDEX(Commerce_session1!D216:CZ258,MATCH("a",Commerce_session1!D216:D258,0),22)</f>
        <v>#N/A</v>
      </c>
      <c r="M243" s="491" t="e">
        <f>INDEX(Commerce_session1!E216:DA258,MATCH("a",Commerce_session1!E216:E258,0),22)</f>
        <v>#N/A</v>
      </c>
      <c r="N243" s="498" t="e">
        <f>INDEX(Commerce_session1!#REF!,MATCH("a",Commerce_session1!#REF!,0),62)</f>
        <v>#REF!</v>
      </c>
      <c r="O243" s="487" t="e">
        <f>INDEX(Commerce_session1!#REF!,MATCH("a",Commerce_session1!#REF!,0),62)</f>
        <v>#REF!</v>
      </c>
    </row>
    <row r="244" spans="1:15" ht="33.75" customHeight="1" thickTop="1" thickBot="1">
      <c r="A244" s="550"/>
      <c r="B244" s="531" t="s">
        <v>38</v>
      </c>
      <c r="C244" s="559" t="s">
        <v>50</v>
      </c>
      <c r="D244" s="520">
        <v>5</v>
      </c>
      <c r="E244" s="508">
        <v>2</v>
      </c>
      <c r="F244" s="102" t="s">
        <v>63</v>
      </c>
      <c r="G244" s="68">
        <v>4</v>
      </c>
      <c r="H244" s="69">
        <v>1</v>
      </c>
      <c r="I244" s="18" t="e">
        <f>INDEX(Commerce_session2!A6:DN806,MATCH("H",Commerce_session2!A6:A806,0),50)</f>
        <v>#N/A</v>
      </c>
      <c r="J244" s="19" t="e">
        <f>INDEX(Commerce_session2!A6:DN806,MATCH("H",Commerce_session2!A6:A806,0),51)</f>
        <v>#N/A</v>
      </c>
      <c r="K244" s="509" t="e">
        <f>INDEX(Commerce_session2!A6:DN806,MATCH("H",Commerce_session2!A6:A806,0),56)</f>
        <v>#N/A</v>
      </c>
      <c r="L244" s="488" t="e">
        <f>INDEX(Commerce_session2!A6:DN806,MATCH("H",Commerce_session2!A6:A806,0),57)</f>
        <v>#N/A</v>
      </c>
      <c r="M244" s="489" t="e">
        <f>INDEX(Commerce_session1!D216:CZ258,MATCH("a",Commerce_session1!D216:D258,0),29)</f>
        <v>#N/A</v>
      </c>
      <c r="N244" s="498" t="e">
        <f>INDEX(Commerce_session1!#REF!,MATCH("a",Commerce_session1!#REF!,0),62)</f>
        <v>#REF!</v>
      </c>
      <c r="O244" s="487" t="e">
        <f>INDEX(Commerce_session1!#REF!,MATCH("a",Commerce_session1!#REF!,0),62)</f>
        <v>#REF!</v>
      </c>
    </row>
    <row r="245" spans="1:15" ht="18.75" customHeight="1" thickBot="1">
      <c r="A245" s="550"/>
      <c r="B245" s="527"/>
      <c r="C245" s="524"/>
      <c r="D245" s="521"/>
      <c r="E245" s="451"/>
      <c r="F245" s="101" t="s">
        <v>62</v>
      </c>
      <c r="G245" s="80">
        <v>1</v>
      </c>
      <c r="H245" s="81">
        <v>1</v>
      </c>
      <c r="I245" s="16" t="e">
        <f>INDEX(Commerce_session2!A6:DN806,MATCH("H",Commerce_session2!A6:A806,0),54)</f>
        <v>#N/A</v>
      </c>
      <c r="J245" s="21" t="e">
        <f>INDEX(Commerce_session2!A6:DN806,MATCH("H",Commerce_session2!A6:A806,0),55)</f>
        <v>#N/A</v>
      </c>
      <c r="K245" s="511" t="e">
        <f>INDEX(Commerce_session1!B216:CY258,MATCH("a",Commerce_session1!B216:B258,0),28)</f>
        <v>#N/A</v>
      </c>
      <c r="L245" s="490" t="e">
        <f>INDEX(Commerce_session1!D216:CZ258,MATCH("a",Commerce_session1!D216:D258,0),28)</f>
        <v>#N/A</v>
      </c>
      <c r="M245" s="491" t="e">
        <f>INDEX(Commerce_session1!E216:DA258,MATCH("a",Commerce_session1!E216:E258,0),28)</f>
        <v>#N/A</v>
      </c>
      <c r="N245" s="498" t="e">
        <f>INDEX(Commerce_session1!#REF!,MATCH("a",Commerce_session1!#REF!,0),62)</f>
        <v>#REF!</v>
      </c>
      <c r="O245" s="487" t="e">
        <f>INDEX(Commerce_session1!#REF!,MATCH("a",Commerce_session1!#REF!,0),62)</f>
        <v>#REF!</v>
      </c>
    </row>
    <row r="246" spans="1:15" ht="20.25" customHeight="1" thickTop="1" thickBot="1">
      <c r="A246" s="551"/>
      <c r="B246" s="105" t="s">
        <v>39</v>
      </c>
      <c r="C246" s="104" t="s">
        <v>51</v>
      </c>
      <c r="D246" s="22">
        <v>1</v>
      </c>
      <c r="E246" s="23">
        <v>1</v>
      </c>
      <c r="F246" s="103" t="s">
        <v>64</v>
      </c>
      <c r="G246" s="82">
        <v>1</v>
      </c>
      <c r="H246" s="83">
        <v>1</v>
      </c>
      <c r="I246" s="20" t="e">
        <f>INDEX(Commerce_session2!A6:DN806,MATCH("H",Commerce_session2!A6:A806,0),61)</f>
        <v>#N/A</v>
      </c>
      <c r="J246" s="24" t="e">
        <f>INDEX(Commerce_session2!A6:DN806,MATCH("H",Commerce_session2!A6:A806,0),62)</f>
        <v>#N/A</v>
      </c>
      <c r="K246" s="36" t="e">
        <f>INDEX(Commerce_session2!A6:DN806,MATCH("H",Commerce_session2!A6:A806,0),63)</f>
        <v>#N/A</v>
      </c>
      <c r="L246" s="492" t="e">
        <f>INDEX(Commerce_session2!A6:DN806,MATCH("H",Commerce_session2!A6:A806,0),64)</f>
        <v>#N/A</v>
      </c>
      <c r="M246" s="493" t="e">
        <f>INDEX(Commerce_session1!D216:CZ258,MATCH("a",Commerce_session1!D216:D258,0),33)</f>
        <v>#N/A</v>
      </c>
      <c r="N246" s="498" t="e">
        <f>INDEX(Commerce_session1!#REF!,MATCH("a",Commerce_session1!#REF!,0),62)</f>
        <v>#REF!</v>
      </c>
      <c r="O246" s="487" t="e">
        <f>INDEX(Commerce_session1!#REF!,MATCH("a",Commerce_session1!#REF!,0),62)</f>
        <v>#REF!</v>
      </c>
    </row>
    <row r="247" spans="1:15" ht="19.5" customHeight="1" thickTop="1" thickBot="1">
      <c r="A247" s="516" t="s">
        <v>77</v>
      </c>
      <c r="B247" s="525" t="s">
        <v>36</v>
      </c>
      <c r="C247" s="522" t="s">
        <v>88</v>
      </c>
      <c r="D247" s="528">
        <v>16</v>
      </c>
      <c r="E247" s="449">
        <v>5</v>
      </c>
      <c r="F247" s="96" t="s">
        <v>67</v>
      </c>
      <c r="G247" s="114">
        <v>6</v>
      </c>
      <c r="H247" s="115">
        <v>2</v>
      </c>
      <c r="I247" s="18" t="e">
        <f>INDEX(Commerce_session2!A6:DN806,MATCH("H",Commerce_session2!A6:A806,0),70)</f>
        <v>#N/A</v>
      </c>
      <c r="J247" s="19" t="e">
        <f>INDEX(Commerce_session2!A6:DN806,MATCH("H",Commerce_session2!A6:A806,0),71)</f>
        <v>#N/A</v>
      </c>
      <c r="K247" s="519" t="e">
        <f>INDEX(Commerce_session2!A6:DN806,MATCH("H",Commerce_session2!A6:A806,0),82)</f>
        <v>#N/A</v>
      </c>
      <c r="L247" s="494" t="e">
        <f>INDEX(Commerce_session2!A6:DN806,MATCH("H",Commerce_session2!A6:A806,0),83)</f>
        <v>#N/A</v>
      </c>
      <c r="M247" s="495"/>
      <c r="N247" s="498" t="e">
        <f>INDEX(Commerce_session2!A6:DN806,MATCH("H",Commerce_session2!A6:A806,0),113)</f>
        <v>#N/A</v>
      </c>
      <c r="O247" s="487" t="e">
        <f>INDEX(Commerce_session2!A6:DN806,MATCH("H",Commerce_session2!A6:A806,0),114)</f>
        <v>#N/A</v>
      </c>
    </row>
    <row r="248" spans="1:15" ht="18.75" customHeight="1" thickBot="1">
      <c r="A248" s="517"/>
      <c r="B248" s="526"/>
      <c r="C248" s="523"/>
      <c r="D248" s="529"/>
      <c r="E248" s="450"/>
      <c r="F248" s="100" t="s">
        <v>68</v>
      </c>
      <c r="G248" s="116">
        <v>6</v>
      </c>
      <c r="H248" s="117">
        <v>2</v>
      </c>
      <c r="I248" s="14" t="e">
        <f>INDEX(Commerce_session2!A6:DN806,MATCH("H",Commerce_session2!A6:A806,0),75)</f>
        <v>#N/A</v>
      </c>
      <c r="J248" s="15" t="e">
        <f>INDEX(Commerce_session2!A6:DN806,MATCH("H",Commerce_session2!A6:A806,0),76)</f>
        <v>#N/A</v>
      </c>
      <c r="K248" s="510"/>
      <c r="L248" s="496"/>
      <c r="M248" s="497"/>
      <c r="N248" s="498" t="e">
        <f>INDEX(Commerce_session1!F216:DA258,MATCH("a",Commerce_session1!F216:F258,0),42)</f>
        <v>#N/A</v>
      </c>
      <c r="O248" s="487" t="e">
        <f>INDEX(Commerce_session1!G216:DA258,MATCH("a",Commerce_session1!G216:G258,0),42)</f>
        <v>#N/A</v>
      </c>
    </row>
    <row r="249" spans="1:15" ht="20.25" customHeight="1" thickBot="1">
      <c r="A249" s="517"/>
      <c r="B249" s="527"/>
      <c r="C249" s="524"/>
      <c r="D249" s="530"/>
      <c r="E249" s="451"/>
      <c r="F249" s="101" t="s">
        <v>103</v>
      </c>
      <c r="G249" s="118">
        <v>4</v>
      </c>
      <c r="H249" s="119">
        <v>1</v>
      </c>
      <c r="I249" s="127" t="e">
        <f>INDEX(Commerce_session2!A6:DN806,MATCH("H",Commerce_session2!A6:A806,0),80)</f>
        <v>#N/A</v>
      </c>
      <c r="J249" s="21" t="e">
        <f>INDEX(Commerce_session2!A6:DN806,MATCH("H",Commerce_session2!A6:A806,0),81)</f>
        <v>#N/A</v>
      </c>
      <c r="K249" s="511"/>
      <c r="L249" s="490"/>
      <c r="M249" s="491"/>
      <c r="N249" s="498" t="e">
        <f>INDEX(Commerce_session1!F217:DA258,MATCH("a",Commerce_session1!F217:F258,0),42)</f>
        <v>#N/A</v>
      </c>
      <c r="O249" s="487" t="e">
        <f>INDEX(Commerce_session1!G217:DA258,MATCH("a",Commerce_session1!G217:G258,0),42)</f>
        <v>#N/A</v>
      </c>
    </row>
    <row r="250" spans="1:15" ht="22.5" customHeight="1" thickTop="1" thickBot="1">
      <c r="A250" s="517"/>
      <c r="B250" s="531" t="s">
        <v>37</v>
      </c>
      <c r="C250" s="559" t="s">
        <v>87</v>
      </c>
      <c r="D250" s="532">
        <v>10</v>
      </c>
      <c r="E250" s="508">
        <v>4</v>
      </c>
      <c r="F250" s="128" t="s">
        <v>104</v>
      </c>
      <c r="G250" s="76">
        <v>5</v>
      </c>
      <c r="H250" s="77">
        <v>2</v>
      </c>
      <c r="I250" s="18" t="e">
        <f>INDEX(Commerce_session2!A6:DN806,MATCH("H",Commerce_session2!A6:A806,0),87)</f>
        <v>#N/A</v>
      </c>
      <c r="J250" s="19" t="e">
        <f>INDEX(Commerce_session2!A6:DN806,MATCH("H",Commerce_session2!A6:A806,0),88)</f>
        <v>#N/A</v>
      </c>
      <c r="K250" s="509" t="e">
        <f>INDEX(Commerce_session2!A6:DN806,MATCH("H",Commerce_session2!A6:A806,0),94)</f>
        <v>#N/A</v>
      </c>
      <c r="L250" s="488" t="e">
        <f>INDEX(Commerce_session2!A6:DN806,MATCH("H",Commerce_session2!A6:A806,0),95)</f>
        <v>#N/A</v>
      </c>
      <c r="M250" s="489"/>
      <c r="N250" s="498" t="e">
        <f>INDEX(Commerce_session1!E219:DA258,MATCH("a",Commerce_session1!E219:E258,0),43)</f>
        <v>#N/A</v>
      </c>
      <c r="O250" s="487" t="e">
        <f>INDEX(Commerce_session1!F219:DA258,MATCH("a",Commerce_session1!F219:F258,0),43)</f>
        <v>#N/A</v>
      </c>
    </row>
    <row r="251" spans="1:15" ht="18.75" customHeight="1" thickBot="1">
      <c r="A251" s="517"/>
      <c r="B251" s="527"/>
      <c r="C251" s="524"/>
      <c r="D251" s="530"/>
      <c r="E251" s="451"/>
      <c r="F251" s="98" t="s">
        <v>69</v>
      </c>
      <c r="G251" s="74">
        <v>5</v>
      </c>
      <c r="H251" s="75">
        <v>2</v>
      </c>
      <c r="I251" s="20" t="e">
        <f>INDEX(Commerce_session2!A6:DN806,MATCH("H",Commerce_session2!A6:A806,0),92)</f>
        <v>#N/A</v>
      </c>
      <c r="J251" s="17" t="e">
        <f>INDEX(Commerce_session2!A6:DN806,MATCH("H",Commerce_session2!A6:A806,0),93)</f>
        <v>#N/A</v>
      </c>
      <c r="K251" s="511"/>
      <c r="L251" s="490"/>
      <c r="M251" s="491"/>
      <c r="N251" s="498" t="e">
        <f>INDEX(Commerce_session1!F220:DA258,MATCH("a",Commerce_session1!F220:F258,0),42)</f>
        <v>#N/A</v>
      </c>
      <c r="O251" s="487" t="e">
        <f>INDEX(Commerce_session1!G220:DA258,MATCH("a",Commerce_session1!G220:G258,0),42)</f>
        <v>#N/A</v>
      </c>
    </row>
    <row r="252" spans="1:15" ht="18.75" customHeight="1" thickTop="1" thickBot="1">
      <c r="A252" s="517"/>
      <c r="B252" s="105" t="s">
        <v>38</v>
      </c>
      <c r="C252" s="104" t="s">
        <v>85</v>
      </c>
      <c r="D252" s="22">
        <v>3</v>
      </c>
      <c r="E252" s="23">
        <v>2</v>
      </c>
      <c r="F252" s="101" t="s">
        <v>74</v>
      </c>
      <c r="G252" s="74">
        <v>3</v>
      </c>
      <c r="H252" s="75">
        <v>2</v>
      </c>
      <c r="I252" s="20" t="e">
        <f>INDEX(Commerce_session2!A6:DN806,MATCH("H",Commerce_session2!A6:A806,0),99)</f>
        <v>#N/A</v>
      </c>
      <c r="J252" s="17" t="e">
        <f>INDEX(Commerce_session2!A6:DN806,MATCH("H",Commerce_session2!A6:A806,0),100)</f>
        <v>#N/A</v>
      </c>
      <c r="K252" s="125" t="e">
        <f>INDEX(Commerce_session2!A6:DN806,MATCH("H",Commerce_session2!A6:A806,0),101)</f>
        <v>#N/A</v>
      </c>
      <c r="L252" s="512" t="e">
        <f>INDEX(Commerce_session2!A6:DN806,MATCH("H",Commerce_session2!A6:A806,0),102)</f>
        <v>#N/A</v>
      </c>
      <c r="M252" s="513"/>
      <c r="N252" s="498" t="e">
        <f>INDEX(Commerce_session1!F222:DA258,MATCH("a",Commerce_session1!F222:F258,0),42)</f>
        <v>#N/A</v>
      </c>
      <c r="O252" s="487" t="e">
        <f>INDEX(Commerce_session1!G222:DA258,MATCH("a",Commerce_session1!G222:G258,0),42)</f>
        <v>#N/A</v>
      </c>
    </row>
    <row r="253" spans="1:15" ht="20.25" customHeight="1" thickTop="1" thickBot="1">
      <c r="A253" s="518"/>
      <c r="B253" s="105" t="s">
        <v>39</v>
      </c>
      <c r="C253" s="104" t="s">
        <v>86</v>
      </c>
      <c r="D253" s="22">
        <v>1</v>
      </c>
      <c r="E253" s="23">
        <v>1</v>
      </c>
      <c r="F253" s="103" t="s">
        <v>73</v>
      </c>
      <c r="G253" s="82">
        <v>1</v>
      </c>
      <c r="H253" s="83">
        <v>1</v>
      </c>
      <c r="I253" s="25" t="e">
        <f>INDEX(Commerce_session2!A6:DN806,MATCH("H",Commerce_session2!A6:A806,0),105)</f>
        <v>#N/A</v>
      </c>
      <c r="J253" s="26" t="e">
        <f>INDEX(Commerce_session2!A6:DN806,MATCH("H",Commerce_session2!A6:A806,0),106)</f>
        <v>#N/A</v>
      </c>
      <c r="K253" s="27" t="e">
        <f>INDEX(Commerce_session2!A6:DN806,MATCH("H",Commerce_session2!A6:A806,0),107)</f>
        <v>#N/A</v>
      </c>
      <c r="L253" s="514" t="e">
        <f>INDEX(Commerce_session2!A6:DN806,MATCH("H",Commerce_session2!A6:A806,0),108)</f>
        <v>#N/A</v>
      </c>
      <c r="M253" s="515" t="e">
        <f>INDEX(Commerce_session1!D216:CZ258,MATCH("a",Commerce_session1!D216:D258,0),61)</f>
        <v>#N/A</v>
      </c>
      <c r="N253" s="498" t="e">
        <f>INDEX(Commerce_session1!F223:DA258,MATCH("a",Commerce_session1!F223:F258,0),42)</f>
        <v>#N/A</v>
      </c>
      <c r="O253" s="487" t="e">
        <f>INDEX(Commerce_session1!G223:DA258,MATCH("a",Commerce_session1!G223:G258,0),42)</f>
        <v>#N/A</v>
      </c>
    </row>
    <row r="254" spans="1:15" ht="20.25">
      <c r="A254" s="535" t="s">
        <v>40</v>
      </c>
      <c r="B254" s="536"/>
      <c r="C254" s="537"/>
      <c r="D254" s="121" t="e">
        <f>INDEX(Commerce_session2!A6:DN806,MATCH("H",Commerce_session2!A6:A806,0),115)</f>
        <v>#N/A</v>
      </c>
      <c r="E254" s="538" t="s">
        <v>41</v>
      </c>
      <c r="F254" s="540"/>
      <c r="G254" s="120" t="e">
        <f>INDEX(Commerce_session2!A6:DN806,MATCH("H",Commerce_session2!A6:A806,0),116)</f>
        <v>#N/A</v>
      </c>
      <c r="H254" s="538" t="s">
        <v>91</v>
      </c>
      <c r="I254" s="539"/>
      <c r="J254" s="539"/>
      <c r="K254" s="540"/>
      <c r="L254" s="541" t="e">
        <f>INDEX(Commerce_session2!A6:DN806,MATCH("H",Commerce_session2!A6:A806,0),117)</f>
        <v>#N/A</v>
      </c>
      <c r="M254" s="542"/>
      <c r="N254" s="8"/>
      <c r="O254" s="8"/>
    </row>
    <row r="255" spans="1:15" ht="22.5">
      <c r="A255" s="546" t="s">
        <v>42</v>
      </c>
      <c r="B255" s="547"/>
      <c r="C255" s="548"/>
      <c r="D255" s="543" t="e">
        <f>INDEX(Commerce_session2!A6:DN806,MATCH("H",Commerce_session2!A6:A806,0),118)</f>
        <v>#N/A</v>
      </c>
      <c r="E255" s="544"/>
      <c r="F255" s="545"/>
      <c r="G255" s="108"/>
      <c r="H255" s="109"/>
      <c r="I255" s="110"/>
      <c r="J255" s="111"/>
      <c r="K255" s="110"/>
      <c r="L255" s="110"/>
      <c r="M255" s="110"/>
      <c r="N255" s="112" t="s">
        <v>43</v>
      </c>
      <c r="O255" s="28">
        <f ca="1">TODAY()</f>
        <v>43626</v>
      </c>
    </row>
    <row r="256" spans="1:15" ht="32.25" customHeight="1">
      <c r="A256" s="113" t="s">
        <v>44</v>
      </c>
      <c r="B256" s="29"/>
      <c r="C256" s="29"/>
      <c r="D256" s="533"/>
      <c r="E256" s="533"/>
      <c r="F256" s="30"/>
      <c r="G256" s="4"/>
      <c r="J256" s="4"/>
      <c r="L256" s="534" t="s">
        <v>46</v>
      </c>
      <c r="M256" s="534"/>
      <c r="N256" s="534"/>
    </row>
    <row r="257" spans="1:18" ht="23.25" customHeight="1" thickBot="1">
      <c r="A257" s="84" t="s">
        <v>12</v>
      </c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445" t="s">
        <v>13</v>
      </c>
      <c r="M257" s="445"/>
      <c r="N257" s="445"/>
      <c r="O257" s="445"/>
      <c r="P257" s="2"/>
      <c r="Q257" s="2"/>
      <c r="R257" s="2"/>
    </row>
    <row r="258" spans="1:18" ht="15.75">
      <c r="A258" s="446" t="s">
        <v>14</v>
      </c>
      <c r="B258" s="446"/>
      <c r="C258" s="446"/>
      <c r="D258" s="446"/>
      <c r="E258" s="446"/>
      <c r="F258" s="3"/>
      <c r="H258" s="4"/>
      <c r="K258" s="4"/>
      <c r="L258" s="4"/>
    </row>
    <row r="259" spans="1:18" ht="15.75">
      <c r="A259" s="85" t="s">
        <v>15</v>
      </c>
      <c r="B259" s="85"/>
      <c r="C259" s="85"/>
      <c r="D259" s="85"/>
      <c r="E259" s="85"/>
      <c r="F259" s="5"/>
      <c r="H259" s="4"/>
      <c r="K259" s="4"/>
      <c r="L259" s="4"/>
      <c r="P259" s="6"/>
    </row>
    <row r="260" spans="1:18" ht="15.75">
      <c r="A260" s="85" t="s">
        <v>100</v>
      </c>
      <c r="B260" s="85"/>
      <c r="C260" s="85"/>
      <c r="D260" s="85"/>
      <c r="E260" s="85"/>
      <c r="F260" s="3"/>
      <c r="H260" s="4"/>
      <c r="K260" s="4"/>
      <c r="L260" s="4"/>
    </row>
    <row r="261" spans="1:18" s="8" customFormat="1" ht="27" customHeight="1">
      <c r="A261" s="7"/>
      <c r="B261" s="7"/>
      <c r="C261" s="7"/>
      <c r="D261" s="447" t="s">
        <v>94</v>
      </c>
      <c r="E261" s="447"/>
      <c r="F261" s="447"/>
      <c r="G261" s="447"/>
      <c r="H261" s="447"/>
      <c r="I261" s="447"/>
      <c r="J261" s="447"/>
      <c r="K261" s="447"/>
      <c r="L261" s="447"/>
      <c r="M261" s="7"/>
      <c r="N261" s="7"/>
      <c r="O261" s="7"/>
    </row>
    <row r="262" spans="1:18" ht="23.25" customHeight="1">
      <c r="A262" s="126" t="s">
        <v>101</v>
      </c>
      <c r="B262" s="126"/>
      <c r="C262" s="126"/>
      <c r="D262" s="126"/>
      <c r="E262" s="126"/>
      <c r="F262" s="126"/>
      <c r="G262" s="122"/>
      <c r="H262" s="122"/>
      <c r="I262" s="122" t="e">
        <f>IF(D287="ناجح(ة) دورة1","-الدورة الأولى-","-الدورة الثانية-")</f>
        <v>#N/A</v>
      </c>
      <c r="J262" s="124" t="s">
        <v>48</v>
      </c>
      <c r="K262" s="124"/>
      <c r="L262" s="87"/>
      <c r="M262" s="88"/>
      <c r="N262" s="89"/>
      <c r="O262" s="9"/>
    </row>
    <row r="263" spans="1:18" ht="20.25" customHeight="1">
      <c r="A263" s="476" t="s">
        <v>93</v>
      </c>
      <c r="B263" s="476"/>
      <c r="C263" s="90" t="e">
        <f>INDEX(Commerce_session2!A6:DN806,MATCH("I",Commerce_session2!A6:A806,0),3)</f>
        <v>#N/A</v>
      </c>
      <c r="D263" s="91" t="s">
        <v>92</v>
      </c>
      <c r="E263" s="448" t="e">
        <f>INDEX(Commerce_session2!A6:DN806,MATCH("I",Commerce_session2!A6:A806,0),4)</f>
        <v>#N/A</v>
      </c>
      <c r="F263" s="448" t="e">
        <f>INDEX(Commerce_session1!D248:DA434,MATCH("a",Commerce_session1!D248:D434,0),3)</f>
        <v>#N/A</v>
      </c>
      <c r="G263" s="477" t="s">
        <v>16</v>
      </c>
      <c r="H263" s="477"/>
      <c r="I263" s="477"/>
      <c r="J263" s="478" t="e">
        <f>INDEX(Commerce_session2!A6:DN806,MATCH("I",Commerce_session2!A6:A806,0),6)</f>
        <v>#N/A</v>
      </c>
      <c r="K263" s="478"/>
      <c r="L263" s="88"/>
      <c r="M263" s="92" t="s">
        <v>17</v>
      </c>
      <c r="N263" s="90" t="e">
        <f>INDEX(Commerce_session2!A6:DN806,MATCH("I",Commerce_session2!A6:A806,0),7)</f>
        <v>#N/A</v>
      </c>
      <c r="O263" s="10"/>
    </row>
    <row r="264" spans="1:18" ht="20.25" customHeight="1">
      <c r="A264" s="476" t="s">
        <v>18</v>
      </c>
      <c r="B264" s="476"/>
      <c r="C264" s="448" t="e">
        <f>INDEX(Commerce_session2!A6:DN806,MATCH("I",Commerce_session2!A6:A806,0),5)</f>
        <v>#N/A</v>
      </c>
      <c r="D264" s="448"/>
      <c r="E264" s="91"/>
      <c r="F264" s="88"/>
      <c r="G264" s="93"/>
      <c r="H264" s="88"/>
      <c r="I264" s="88"/>
      <c r="J264" s="93"/>
      <c r="K264" s="88"/>
      <c r="L264" s="88"/>
      <c r="M264" s="88"/>
      <c r="N264" s="88"/>
      <c r="O264" s="10"/>
    </row>
    <row r="265" spans="1:18" ht="20.25" customHeight="1">
      <c r="A265" s="476" t="s">
        <v>102</v>
      </c>
      <c r="B265" s="476"/>
      <c r="C265" s="476"/>
      <c r="D265" s="476"/>
      <c r="E265" s="476"/>
      <c r="F265" s="476"/>
      <c r="G265" s="476"/>
      <c r="H265" s="476"/>
      <c r="I265" s="476"/>
      <c r="J265" s="476"/>
      <c r="K265" s="476"/>
      <c r="L265" s="476"/>
      <c r="M265" s="476"/>
      <c r="N265" s="476"/>
      <c r="O265" s="476"/>
    </row>
    <row r="266" spans="1:18" ht="20.25" customHeight="1" thickBot="1">
      <c r="A266" s="459" t="s">
        <v>19</v>
      </c>
      <c r="B266" s="459"/>
      <c r="C266" s="459"/>
      <c r="D266" s="459"/>
      <c r="E266" s="459"/>
      <c r="F266" s="459"/>
      <c r="G266" s="459"/>
      <c r="H266" s="94"/>
      <c r="I266" s="94"/>
      <c r="J266" s="95"/>
      <c r="K266" s="94"/>
      <c r="L266" s="94"/>
      <c r="M266" s="94"/>
      <c r="N266" s="94"/>
      <c r="O266" s="11"/>
    </row>
    <row r="267" spans="1:18" ht="18.75" thickBot="1">
      <c r="A267" s="460" t="s">
        <v>20</v>
      </c>
      <c r="B267" s="463" t="s">
        <v>21</v>
      </c>
      <c r="C267" s="464"/>
      <c r="D267" s="464"/>
      <c r="E267" s="464"/>
      <c r="F267" s="464" t="s">
        <v>22</v>
      </c>
      <c r="G267" s="464"/>
      <c r="H267" s="464"/>
      <c r="I267" s="465" t="s">
        <v>23</v>
      </c>
      <c r="J267" s="466"/>
      <c r="K267" s="466"/>
      <c r="L267" s="466"/>
      <c r="M267" s="466"/>
      <c r="N267" s="466"/>
      <c r="O267" s="467"/>
    </row>
    <row r="268" spans="1:18">
      <c r="A268" s="461"/>
      <c r="B268" s="468" t="s">
        <v>24</v>
      </c>
      <c r="C268" s="470" t="s">
        <v>25</v>
      </c>
      <c r="D268" s="472" t="s">
        <v>26</v>
      </c>
      <c r="E268" s="474" t="s">
        <v>27</v>
      </c>
      <c r="F268" s="479" t="s">
        <v>28</v>
      </c>
      <c r="G268" s="468" t="s">
        <v>11</v>
      </c>
      <c r="H268" s="481" t="s">
        <v>27</v>
      </c>
      <c r="I268" s="482" t="s">
        <v>29</v>
      </c>
      <c r="J268" s="483"/>
      <c r="K268" s="484" t="s">
        <v>30</v>
      </c>
      <c r="L268" s="485"/>
      <c r="M268" s="486"/>
      <c r="N268" s="455" t="s">
        <v>20</v>
      </c>
      <c r="O268" s="456"/>
    </row>
    <row r="269" spans="1:18" ht="15.75" thickBot="1">
      <c r="A269" s="462"/>
      <c r="B269" s="469"/>
      <c r="C269" s="471"/>
      <c r="D269" s="473"/>
      <c r="E269" s="475"/>
      <c r="F269" s="480"/>
      <c r="G269" s="469"/>
      <c r="H269" s="473"/>
      <c r="I269" s="106" t="s">
        <v>10</v>
      </c>
      <c r="J269" s="106" t="s">
        <v>31</v>
      </c>
      <c r="K269" s="106" t="s">
        <v>32</v>
      </c>
      <c r="L269" s="457" t="s">
        <v>33</v>
      </c>
      <c r="M269" s="458"/>
      <c r="N269" s="106" t="s">
        <v>34</v>
      </c>
      <c r="O269" s="107" t="s">
        <v>35</v>
      </c>
    </row>
    <row r="270" spans="1:18" ht="18.75" customHeight="1" thickBot="1">
      <c r="A270" s="549" t="s">
        <v>76</v>
      </c>
      <c r="B270" s="552" t="s">
        <v>36</v>
      </c>
      <c r="C270" s="555" t="s">
        <v>90</v>
      </c>
      <c r="D270" s="556">
        <v>17</v>
      </c>
      <c r="E270" s="449">
        <v>6</v>
      </c>
      <c r="F270" s="96" t="s">
        <v>54</v>
      </c>
      <c r="G270" s="70">
        <v>5</v>
      </c>
      <c r="H270" s="71">
        <v>2</v>
      </c>
      <c r="I270" s="12" t="e">
        <f>INDEX(Commerce_session2!A6:DN806,MATCH("I",Commerce_session2!A6:A806,0),17)</f>
        <v>#N/A</v>
      </c>
      <c r="J270" s="13" t="e">
        <f>INDEX(Commerce_session2!A6:DN806,MATCH("I",Commerce_session2!A6:A806,0),18)</f>
        <v>#N/A</v>
      </c>
      <c r="K270" s="452" t="e">
        <f>INDEX(Commerce_session2!A6:DN806,MATCH("I",Commerce_session2!A6:A806,0),29)</f>
        <v>#N/A</v>
      </c>
      <c r="L270" s="494" t="e">
        <f>INDEX(Commerce_session2!A6:DN806,MATCH("I",Commerce_session2!A6:A806,0),30)</f>
        <v>#N/A</v>
      </c>
      <c r="M270" s="495" t="e">
        <f>INDEX(Commerce_session1!D248:CZ290,MATCH("a",Commerce_session1!D248:D290,0),15)</f>
        <v>#N/A</v>
      </c>
      <c r="N270" s="498" t="e">
        <f>INDEX(Commerce_session2!A6:DN806,MATCH("I",Commerce_session2!A6:A806,0),111)</f>
        <v>#N/A</v>
      </c>
      <c r="O270" s="487" t="e">
        <f>INDEX(Commerce_session2!A6:DN806,MATCH("I",Commerce_session2!A6:A806,0),112)</f>
        <v>#N/A</v>
      </c>
    </row>
    <row r="271" spans="1:18" ht="18.75" customHeight="1" thickBot="1">
      <c r="A271" s="550"/>
      <c r="B271" s="553"/>
      <c r="C271" s="503"/>
      <c r="D271" s="557"/>
      <c r="E271" s="450"/>
      <c r="F271" s="97" t="s">
        <v>55</v>
      </c>
      <c r="G271" s="72">
        <v>6</v>
      </c>
      <c r="H271" s="73">
        <v>2</v>
      </c>
      <c r="I271" s="14" t="e">
        <f>INDEX(Commerce_session2!A6:DN806,MATCH("I",Commerce_session2!A6:A806,0),22)</f>
        <v>#N/A</v>
      </c>
      <c r="J271" s="15" t="e">
        <f>INDEX(Commerce_session2!A6:DN806,MATCH("I",Commerce_session2!A6:A806,0),23)</f>
        <v>#N/A</v>
      </c>
      <c r="K271" s="453" t="e">
        <f>INDEX(Commerce_session1!B248:CY290,MATCH("a",Commerce_session1!B248:B290,0),14)</f>
        <v>#N/A</v>
      </c>
      <c r="L271" s="496" t="e">
        <f>INDEX(Commerce_session1!D248:CZ290,MATCH("a",Commerce_session1!D248:D290,0),14)</f>
        <v>#N/A</v>
      </c>
      <c r="M271" s="497" t="e">
        <f>INDEX(Commerce_session1!E248:DA290,MATCH("a",Commerce_session1!E248:E290,0),14)</f>
        <v>#N/A</v>
      </c>
      <c r="N271" s="498" t="e">
        <f>INDEX(Commerce_session1!#REF!,MATCH("a",Commerce_session1!#REF!,0),62)</f>
        <v>#REF!</v>
      </c>
      <c r="O271" s="487" t="e">
        <f>INDEX(Commerce_session1!#REF!,MATCH("a",Commerce_session1!#REF!,0),62)</f>
        <v>#REF!</v>
      </c>
    </row>
    <row r="272" spans="1:18" ht="18.75" customHeight="1" thickBot="1">
      <c r="A272" s="550"/>
      <c r="B272" s="554"/>
      <c r="C272" s="504"/>
      <c r="D272" s="558"/>
      <c r="E272" s="451"/>
      <c r="F272" s="98" t="s">
        <v>56</v>
      </c>
      <c r="G272" s="74">
        <v>6</v>
      </c>
      <c r="H272" s="75">
        <v>2</v>
      </c>
      <c r="I272" s="16" t="e">
        <f>INDEX(Commerce_session2!A6:DN806,MATCH("I",Commerce_session2!A6:A806,0),27)</f>
        <v>#N/A</v>
      </c>
      <c r="J272" s="17" t="e">
        <f>INDEX(Commerce_session2!A6:DN806,MATCH("I",Commerce_session2!A6:A806,0),28)</f>
        <v>#N/A</v>
      </c>
      <c r="K272" s="454" t="e">
        <f>INDEX(Commerce_session1!B250:CY290,MATCH("a",Commerce_session1!B250:B290,0),14)</f>
        <v>#N/A</v>
      </c>
      <c r="L272" s="490" t="e">
        <f>INDEX(Commerce_session1!D250:CZ290,MATCH("a",Commerce_session1!D250:D290,0),14)</f>
        <v>#N/A</v>
      </c>
      <c r="M272" s="491" t="e">
        <f>INDEX(Commerce_session1!E250:DA290,MATCH("a",Commerce_session1!E250:E290,0),14)</f>
        <v>#N/A</v>
      </c>
      <c r="N272" s="498" t="e">
        <f>INDEX(Commerce_session1!#REF!,MATCH("a",Commerce_session1!#REF!,0),62)</f>
        <v>#REF!</v>
      </c>
      <c r="O272" s="487" t="e">
        <f>INDEX(Commerce_session1!#REF!,MATCH("a",Commerce_session1!#REF!,0),62)</f>
        <v>#REF!</v>
      </c>
    </row>
    <row r="273" spans="1:15" ht="19.5" customHeight="1" thickTop="1" thickBot="1">
      <c r="A273" s="550"/>
      <c r="B273" s="499" t="s">
        <v>37</v>
      </c>
      <c r="C273" s="502" t="s">
        <v>89</v>
      </c>
      <c r="D273" s="505">
        <v>7</v>
      </c>
      <c r="E273" s="508">
        <v>5</v>
      </c>
      <c r="F273" s="99" t="s">
        <v>83</v>
      </c>
      <c r="G273" s="76">
        <v>1</v>
      </c>
      <c r="H273" s="77">
        <v>1</v>
      </c>
      <c r="I273" s="18" t="e">
        <f>INDEX(Commerce_session2!A6:DN806,MATCH("I",Commerce_session2!A6:A806,0),33)</f>
        <v>#N/A</v>
      </c>
      <c r="J273" s="19" t="e">
        <f>INDEX(Commerce_session2!A6:DN806,MATCH("I",Commerce_session2!A6:A806,0),34)</f>
        <v>#N/A</v>
      </c>
      <c r="K273" s="509" t="e">
        <f>INDEX(Commerce_session2!A6:DN806,MATCH("I",Commerce_session2!A6:A806,0),45)</f>
        <v>#N/A</v>
      </c>
      <c r="L273" s="488" t="e">
        <f>INDEX(Commerce_session2!A6:DN806,MATCH("I",Commerce_session2!A6:A806,0),46)</f>
        <v>#N/A</v>
      </c>
      <c r="M273" s="489" t="e">
        <f>INDEX(Commerce_session1!D248:CZ290,MATCH("a",Commerce_session1!D248:D290,0),23)</f>
        <v>#N/A</v>
      </c>
      <c r="N273" s="498" t="e">
        <f>INDEX(Commerce_session1!#REF!,MATCH("a",Commerce_session1!#REF!,0),62)</f>
        <v>#REF!</v>
      </c>
      <c r="O273" s="487" t="e">
        <f>INDEX(Commerce_session1!#REF!,MATCH("a",Commerce_session1!#REF!,0),62)</f>
        <v>#REF!</v>
      </c>
    </row>
    <row r="274" spans="1:15" ht="18.75" customHeight="1" thickTop="1" thickBot="1">
      <c r="A274" s="550"/>
      <c r="B274" s="500"/>
      <c r="C274" s="503"/>
      <c r="D274" s="506"/>
      <c r="E274" s="450"/>
      <c r="F274" s="100" t="s">
        <v>99</v>
      </c>
      <c r="G274" s="78">
        <v>3</v>
      </c>
      <c r="H274" s="79">
        <v>2</v>
      </c>
      <c r="I274" s="18" t="e">
        <f>INDEX(Commerce_session2!A6:DN806,MATCH("I",Commerce_session2!A6:A806,0),38)</f>
        <v>#N/A</v>
      </c>
      <c r="J274" s="15" t="e">
        <f>INDEX(Commerce_session2!A6:DN806,MATCH("I",Commerce_session2!A6:A806,0),39)</f>
        <v>#N/A</v>
      </c>
      <c r="K274" s="510" t="e">
        <f>INDEX(Commerce_session1!B247:CY290,MATCH("a",Commerce_session1!B247:B290,0),22)</f>
        <v>#N/A</v>
      </c>
      <c r="L274" s="496" t="e">
        <f>INDEX(Commerce_session1!D247:CZ290,MATCH("a",Commerce_session1!D247:D290,0),22)</f>
        <v>#N/A</v>
      </c>
      <c r="M274" s="497" t="e">
        <f>INDEX(Commerce_session1!E247:DA290,MATCH("a",Commerce_session1!E247:E290,0),22)</f>
        <v>#N/A</v>
      </c>
      <c r="N274" s="498" t="e">
        <f>INDEX(Commerce_session1!#REF!,MATCH("a",Commerce_session1!#REF!,0),62)</f>
        <v>#REF!</v>
      </c>
      <c r="O274" s="487" t="e">
        <f>INDEX(Commerce_session1!#REF!,MATCH("a",Commerce_session1!#REF!,0),62)</f>
        <v>#REF!</v>
      </c>
    </row>
    <row r="275" spans="1:15" ht="18.75" customHeight="1" thickBot="1">
      <c r="A275" s="550"/>
      <c r="B275" s="501"/>
      <c r="C275" s="504"/>
      <c r="D275" s="507"/>
      <c r="E275" s="451"/>
      <c r="F275" s="101" t="s">
        <v>84</v>
      </c>
      <c r="G275" s="80">
        <v>3</v>
      </c>
      <c r="H275" s="81">
        <v>2</v>
      </c>
      <c r="I275" s="20" t="e">
        <f>INDEX(Commerce_session2!A6:DN806,MATCH("I",Commerce_session2!A6:A806,0),43)</f>
        <v>#N/A</v>
      </c>
      <c r="J275" s="17" t="e">
        <f>INDEX(Commerce_session2!A6:DN806,MATCH("I",Commerce_session2!A6:A806,0),44)</f>
        <v>#N/A</v>
      </c>
      <c r="K275" s="511" t="e">
        <f>INDEX(Commerce_session1!B248:CY290,MATCH("a",Commerce_session1!B248:B290,0),22)</f>
        <v>#N/A</v>
      </c>
      <c r="L275" s="490" t="e">
        <f>INDEX(Commerce_session1!D248:CZ290,MATCH("a",Commerce_session1!D248:D290,0),22)</f>
        <v>#N/A</v>
      </c>
      <c r="M275" s="491" t="e">
        <f>INDEX(Commerce_session1!E248:DA290,MATCH("a",Commerce_session1!E248:E290,0),22)</f>
        <v>#N/A</v>
      </c>
      <c r="N275" s="498" t="e">
        <f>INDEX(Commerce_session1!#REF!,MATCH("a",Commerce_session1!#REF!,0),62)</f>
        <v>#REF!</v>
      </c>
      <c r="O275" s="487" t="e">
        <f>INDEX(Commerce_session1!#REF!,MATCH("a",Commerce_session1!#REF!,0),62)</f>
        <v>#REF!</v>
      </c>
    </row>
    <row r="276" spans="1:15" ht="33.75" customHeight="1" thickTop="1" thickBot="1">
      <c r="A276" s="550"/>
      <c r="B276" s="531" t="s">
        <v>38</v>
      </c>
      <c r="C276" s="559" t="s">
        <v>50</v>
      </c>
      <c r="D276" s="520">
        <v>5</v>
      </c>
      <c r="E276" s="508">
        <v>2</v>
      </c>
      <c r="F276" s="102" t="s">
        <v>63</v>
      </c>
      <c r="G276" s="68">
        <v>4</v>
      </c>
      <c r="H276" s="69">
        <v>1</v>
      </c>
      <c r="I276" s="18" t="e">
        <f>INDEX(Commerce_session2!A6:DN806,MATCH("I",Commerce_session2!A6:A806,0),50)</f>
        <v>#N/A</v>
      </c>
      <c r="J276" s="19" t="e">
        <f>INDEX(Commerce_session2!A6:DN806,MATCH("I",Commerce_session2!A6:A806,0),51)</f>
        <v>#N/A</v>
      </c>
      <c r="K276" s="509" t="e">
        <f>INDEX(Commerce_session2!A6:DN806,MATCH("I",Commerce_session2!A6:A806,0),56)</f>
        <v>#N/A</v>
      </c>
      <c r="L276" s="488" t="e">
        <f>INDEX(Commerce_session2!A6:DN806,MATCH("I",Commerce_session2!A6:A806,0),57)</f>
        <v>#N/A</v>
      </c>
      <c r="M276" s="489" t="e">
        <f>INDEX(Commerce_session1!D248:CZ290,MATCH("a",Commerce_session1!D248:D290,0),29)</f>
        <v>#N/A</v>
      </c>
      <c r="N276" s="498" t="e">
        <f>INDEX(Commerce_session1!#REF!,MATCH("a",Commerce_session1!#REF!,0),62)</f>
        <v>#REF!</v>
      </c>
      <c r="O276" s="487" t="e">
        <f>INDEX(Commerce_session1!#REF!,MATCH("a",Commerce_session1!#REF!,0),62)</f>
        <v>#REF!</v>
      </c>
    </row>
    <row r="277" spans="1:15" ht="18.75" customHeight="1" thickBot="1">
      <c r="A277" s="550"/>
      <c r="B277" s="527"/>
      <c r="C277" s="524"/>
      <c r="D277" s="521"/>
      <c r="E277" s="451"/>
      <c r="F277" s="101" t="s">
        <v>62</v>
      </c>
      <c r="G277" s="80">
        <v>1</v>
      </c>
      <c r="H277" s="81">
        <v>1</v>
      </c>
      <c r="I277" s="16" t="e">
        <f>INDEX(Commerce_session2!A6:DN806,MATCH("I",Commerce_session2!A6:A806,0),54)</f>
        <v>#N/A</v>
      </c>
      <c r="J277" s="21" t="e">
        <f>INDEX(Commerce_session2!A6:DN806,MATCH("I",Commerce_session2!A6:A806,0),55)</f>
        <v>#N/A</v>
      </c>
      <c r="K277" s="511" t="e">
        <f>INDEX(Commerce_session1!B248:CY290,MATCH("a",Commerce_session1!B248:B290,0),28)</f>
        <v>#N/A</v>
      </c>
      <c r="L277" s="490" t="e">
        <f>INDEX(Commerce_session1!D248:CZ290,MATCH("a",Commerce_session1!D248:D290,0),28)</f>
        <v>#N/A</v>
      </c>
      <c r="M277" s="491" t="e">
        <f>INDEX(Commerce_session1!E248:DA290,MATCH("a",Commerce_session1!E248:E290,0),28)</f>
        <v>#N/A</v>
      </c>
      <c r="N277" s="498" t="e">
        <f>INDEX(Commerce_session1!#REF!,MATCH("a",Commerce_session1!#REF!,0),62)</f>
        <v>#REF!</v>
      </c>
      <c r="O277" s="487" t="e">
        <f>INDEX(Commerce_session1!#REF!,MATCH("a",Commerce_session1!#REF!,0),62)</f>
        <v>#REF!</v>
      </c>
    </row>
    <row r="278" spans="1:15" ht="20.25" customHeight="1" thickTop="1" thickBot="1">
      <c r="A278" s="551"/>
      <c r="B278" s="105" t="s">
        <v>39</v>
      </c>
      <c r="C278" s="104" t="s">
        <v>51</v>
      </c>
      <c r="D278" s="22">
        <v>1</v>
      </c>
      <c r="E278" s="23">
        <v>1</v>
      </c>
      <c r="F278" s="103" t="s">
        <v>64</v>
      </c>
      <c r="G278" s="82">
        <v>1</v>
      </c>
      <c r="H278" s="83">
        <v>1</v>
      </c>
      <c r="I278" s="20" t="e">
        <f>INDEX(Commerce_session2!A6:DN806,MATCH("I",Commerce_session2!A6:A806,0),61)</f>
        <v>#N/A</v>
      </c>
      <c r="J278" s="24" t="e">
        <f>INDEX(Commerce_session2!A6:DN806,MATCH("I",Commerce_session2!A6:A806,0),62)</f>
        <v>#N/A</v>
      </c>
      <c r="K278" s="36" t="e">
        <f>INDEX(Commerce_session2!A6:DN806,MATCH("I",Commerce_session2!A6:A806,0),63)</f>
        <v>#N/A</v>
      </c>
      <c r="L278" s="492" t="e">
        <f>INDEX(Commerce_session2!A6:DN806,MATCH("I",Commerce_session2!A6:A806,0),64)</f>
        <v>#N/A</v>
      </c>
      <c r="M278" s="493" t="e">
        <f>INDEX(Commerce_session1!D248:CZ290,MATCH("a",Commerce_session1!D248:D290,0),33)</f>
        <v>#N/A</v>
      </c>
      <c r="N278" s="498" t="e">
        <f>INDEX(Commerce_session1!#REF!,MATCH("a",Commerce_session1!#REF!,0),62)</f>
        <v>#REF!</v>
      </c>
      <c r="O278" s="487" t="e">
        <f>INDEX(Commerce_session1!#REF!,MATCH("a",Commerce_session1!#REF!,0),62)</f>
        <v>#REF!</v>
      </c>
    </row>
    <row r="279" spans="1:15" ht="19.5" customHeight="1" thickTop="1" thickBot="1">
      <c r="A279" s="516" t="s">
        <v>77</v>
      </c>
      <c r="B279" s="525" t="s">
        <v>36</v>
      </c>
      <c r="C279" s="522" t="s">
        <v>88</v>
      </c>
      <c r="D279" s="528">
        <v>16</v>
      </c>
      <c r="E279" s="449">
        <v>5</v>
      </c>
      <c r="F279" s="96" t="s">
        <v>67</v>
      </c>
      <c r="G279" s="114">
        <v>6</v>
      </c>
      <c r="H279" s="115">
        <v>2</v>
      </c>
      <c r="I279" s="18" t="e">
        <f>INDEX(Commerce_session2!A6:DN806,MATCH("I",Commerce_session2!A6:A806,0),70)</f>
        <v>#N/A</v>
      </c>
      <c r="J279" s="19" t="e">
        <f>INDEX(Commerce_session2!A6:DN806,MATCH("I",Commerce_session2!A6:A806,0),71)</f>
        <v>#N/A</v>
      </c>
      <c r="K279" s="519" t="e">
        <f>INDEX(Commerce_session2!A6:DN806,MATCH("I",Commerce_session2!A6:A806,0),82)</f>
        <v>#N/A</v>
      </c>
      <c r="L279" s="494" t="e">
        <f>INDEX(Commerce_session2!A6:DN806,MATCH("I",Commerce_session2!A6:A806,0),83)</f>
        <v>#N/A</v>
      </c>
      <c r="M279" s="495"/>
      <c r="N279" s="498" t="e">
        <f>INDEX(Commerce_session2!A6:DN806,MATCH("I",Commerce_session2!A6:A806,0),113)</f>
        <v>#N/A</v>
      </c>
      <c r="O279" s="487" t="e">
        <f>INDEX(Commerce_session2!A6:DN806,MATCH("I",Commerce_session2!A6:A806,0),114)</f>
        <v>#N/A</v>
      </c>
    </row>
    <row r="280" spans="1:15" ht="18.75" customHeight="1" thickBot="1">
      <c r="A280" s="517"/>
      <c r="B280" s="526"/>
      <c r="C280" s="523"/>
      <c r="D280" s="529"/>
      <c r="E280" s="450"/>
      <c r="F280" s="100" t="s">
        <v>68</v>
      </c>
      <c r="G280" s="116">
        <v>6</v>
      </c>
      <c r="H280" s="117">
        <v>2</v>
      </c>
      <c r="I280" s="14" t="e">
        <f>INDEX(Commerce_session2!A6:DN806,MATCH("I",Commerce_session2!A6:A806,0),75)</f>
        <v>#N/A</v>
      </c>
      <c r="J280" s="15" t="e">
        <f>INDEX(Commerce_session2!A6:DN806,MATCH("I",Commerce_session2!A6:A806,0),76)</f>
        <v>#N/A</v>
      </c>
      <c r="K280" s="510"/>
      <c r="L280" s="496"/>
      <c r="M280" s="497"/>
      <c r="N280" s="498" t="e">
        <f>INDEX(Commerce_session1!F248:DA290,MATCH("a",Commerce_session1!F248:F290,0),42)</f>
        <v>#N/A</v>
      </c>
      <c r="O280" s="487" t="e">
        <f>INDEX(Commerce_session1!G248:DA290,MATCH("a",Commerce_session1!G248:G290,0),42)</f>
        <v>#N/A</v>
      </c>
    </row>
    <row r="281" spans="1:15" ht="20.25" customHeight="1" thickBot="1">
      <c r="A281" s="517"/>
      <c r="B281" s="527"/>
      <c r="C281" s="524"/>
      <c r="D281" s="530"/>
      <c r="E281" s="451"/>
      <c r="F281" s="101" t="s">
        <v>103</v>
      </c>
      <c r="G281" s="118">
        <v>4</v>
      </c>
      <c r="H281" s="119">
        <v>1</v>
      </c>
      <c r="I281" s="127" t="e">
        <f>INDEX(Commerce_session2!A6:DN806,MATCH("I",Commerce_session2!A6:A806,0),80)</f>
        <v>#N/A</v>
      </c>
      <c r="J281" s="21" t="e">
        <f>INDEX(Commerce_session2!A6:DN806,MATCH("I",Commerce_session2!A6:A806,0),81)</f>
        <v>#N/A</v>
      </c>
      <c r="K281" s="511"/>
      <c r="L281" s="490"/>
      <c r="M281" s="491"/>
      <c r="N281" s="498" t="e">
        <f>INDEX(Commerce_session1!F249:DA290,MATCH("a",Commerce_session1!F249:F290,0),42)</f>
        <v>#N/A</v>
      </c>
      <c r="O281" s="487" t="e">
        <f>INDEX(Commerce_session1!G249:DA290,MATCH("a",Commerce_session1!G249:G290,0),42)</f>
        <v>#N/A</v>
      </c>
    </row>
    <row r="282" spans="1:15" ht="22.5" customHeight="1" thickTop="1" thickBot="1">
      <c r="A282" s="517"/>
      <c r="B282" s="531" t="s">
        <v>37</v>
      </c>
      <c r="C282" s="559" t="s">
        <v>87</v>
      </c>
      <c r="D282" s="532">
        <v>10</v>
      </c>
      <c r="E282" s="508">
        <v>4</v>
      </c>
      <c r="F282" s="128" t="s">
        <v>104</v>
      </c>
      <c r="G282" s="76">
        <v>5</v>
      </c>
      <c r="H282" s="77">
        <v>2</v>
      </c>
      <c r="I282" s="18" t="e">
        <f>INDEX(Commerce_session2!A6:DN806,MATCH("I",Commerce_session2!A6:A806,0),87)</f>
        <v>#N/A</v>
      </c>
      <c r="J282" s="19" t="e">
        <f>INDEX(Commerce_session2!A6:DN806,MATCH("I",Commerce_session2!A6:A806,0),88)</f>
        <v>#N/A</v>
      </c>
      <c r="K282" s="509" t="e">
        <f>INDEX(Commerce_session2!A6:DN806,MATCH("I",Commerce_session2!A6:A806,0),94)</f>
        <v>#N/A</v>
      </c>
      <c r="L282" s="488" t="e">
        <f>INDEX(Commerce_session2!A6:DN806,MATCH("I",Commerce_session2!A6:A806,0),95)</f>
        <v>#N/A</v>
      </c>
      <c r="M282" s="489"/>
      <c r="N282" s="498" t="e">
        <f>INDEX(Commerce_session1!E251:DA290,MATCH("a",Commerce_session1!E251:E290,0),43)</f>
        <v>#N/A</v>
      </c>
      <c r="O282" s="487" t="e">
        <f>INDEX(Commerce_session1!F251:DA290,MATCH("a",Commerce_session1!F251:F290,0),43)</f>
        <v>#N/A</v>
      </c>
    </row>
    <row r="283" spans="1:15" ht="18.75" customHeight="1" thickBot="1">
      <c r="A283" s="517"/>
      <c r="B283" s="527"/>
      <c r="C283" s="524"/>
      <c r="D283" s="530"/>
      <c r="E283" s="451"/>
      <c r="F283" s="98" t="s">
        <v>69</v>
      </c>
      <c r="G283" s="74">
        <v>5</v>
      </c>
      <c r="H283" s="75">
        <v>2</v>
      </c>
      <c r="I283" s="20" t="e">
        <f>INDEX(Commerce_session2!A6:DN806,MATCH("I",Commerce_session2!A6:A806,0),92)</f>
        <v>#N/A</v>
      </c>
      <c r="J283" s="17" t="e">
        <f>INDEX(Commerce_session2!A6:DN806,MATCH("I",Commerce_session2!A6:A806,0),93)</f>
        <v>#N/A</v>
      </c>
      <c r="K283" s="511"/>
      <c r="L283" s="490"/>
      <c r="M283" s="491"/>
      <c r="N283" s="498" t="e">
        <f>INDEX(Commerce_session1!F252:DA290,MATCH("a",Commerce_session1!F252:F290,0),42)</f>
        <v>#N/A</v>
      </c>
      <c r="O283" s="487" t="e">
        <f>INDEX(Commerce_session1!G252:DA290,MATCH("a",Commerce_session1!G252:G290,0),42)</f>
        <v>#N/A</v>
      </c>
    </row>
    <row r="284" spans="1:15" ht="18.75" customHeight="1" thickTop="1" thickBot="1">
      <c r="A284" s="517"/>
      <c r="B284" s="105" t="s">
        <v>38</v>
      </c>
      <c r="C284" s="104" t="s">
        <v>85</v>
      </c>
      <c r="D284" s="22">
        <v>3</v>
      </c>
      <c r="E284" s="23">
        <v>2</v>
      </c>
      <c r="F284" s="101" t="s">
        <v>74</v>
      </c>
      <c r="G284" s="74">
        <v>3</v>
      </c>
      <c r="H284" s="75">
        <v>2</v>
      </c>
      <c r="I284" s="20" t="e">
        <f>INDEX(Commerce_session2!A6:DN806,MATCH("I",Commerce_session2!A6:A806,0),99)</f>
        <v>#N/A</v>
      </c>
      <c r="J284" s="17" t="e">
        <f>INDEX(Commerce_session2!A6:DN806,MATCH("I",Commerce_session2!A6:A806,0),100)</f>
        <v>#N/A</v>
      </c>
      <c r="K284" s="125" t="e">
        <f>INDEX(Commerce_session2!A6:DN806,MATCH("I",Commerce_session2!A6:A806,0),101)</f>
        <v>#N/A</v>
      </c>
      <c r="L284" s="512" t="e">
        <f>INDEX(Commerce_session2!A6:DN806,MATCH("I",Commerce_session2!A6:A806,0),102)</f>
        <v>#N/A</v>
      </c>
      <c r="M284" s="513"/>
      <c r="N284" s="498" t="e">
        <f>INDEX(Commerce_session1!F254:DA290,MATCH("a",Commerce_session1!F254:F290,0),42)</f>
        <v>#N/A</v>
      </c>
      <c r="O284" s="487" t="e">
        <f>INDEX(Commerce_session1!G254:DA290,MATCH("a",Commerce_session1!G254:G290,0),42)</f>
        <v>#N/A</v>
      </c>
    </row>
    <row r="285" spans="1:15" ht="20.25" customHeight="1" thickTop="1" thickBot="1">
      <c r="A285" s="518"/>
      <c r="B285" s="105" t="s">
        <v>39</v>
      </c>
      <c r="C285" s="104" t="s">
        <v>86</v>
      </c>
      <c r="D285" s="22">
        <v>1</v>
      </c>
      <c r="E285" s="23">
        <v>1</v>
      </c>
      <c r="F285" s="103" t="s">
        <v>73</v>
      </c>
      <c r="G285" s="82">
        <v>1</v>
      </c>
      <c r="H285" s="83">
        <v>1</v>
      </c>
      <c r="I285" s="25" t="e">
        <f>INDEX(Commerce_session2!A6:DN806,MATCH("I",Commerce_session2!A6:A806,0),105)</f>
        <v>#N/A</v>
      </c>
      <c r="J285" s="26" t="e">
        <f>INDEX(Commerce_session2!A6:DN806,MATCH("I",Commerce_session2!A6:A806,0),106)</f>
        <v>#N/A</v>
      </c>
      <c r="K285" s="27" t="e">
        <f>INDEX(Commerce_session2!A6:DN806,MATCH("I",Commerce_session2!A6:A806,0),107)</f>
        <v>#N/A</v>
      </c>
      <c r="L285" s="514" t="e">
        <f>INDEX(Commerce_session2!A6:DN806,MATCH("I",Commerce_session2!A6:A806,0),108)</f>
        <v>#N/A</v>
      </c>
      <c r="M285" s="515" t="e">
        <f>INDEX(Commerce_session1!D248:CZ290,MATCH("a",Commerce_session1!D248:D290,0),61)</f>
        <v>#N/A</v>
      </c>
      <c r="N285" s="498" t="e">
        <f>INDEX(Commerce_session1!F255:DA290,MATCH("a",Commerce_session1!F255:F290,0),42)</f>
        <v>#N/A</v>
      </c>
      <c r="O285" s="487" t="e">
        <f>INDEX(Commerce_session1!G255:DA290,MATCH("a",Commerce_session1!G255:G290,0),42)</f>
        <v>#N/A</v>
      </c>
    </row>
    <row r="286" spans="1:15" ht="20.25">
      <c r="A286" s="535" t="s">
        <v>40</v>
      </c>
      <c r="B286" s="536"/>
      <c r="C286" s="537"/>
      <c r="D286" s="121" t="e">
        <f>INDEX(Commerce_session2!A6:DN806,MATCH("I",Commerce_session2!A6:A806,0),115)</f>
        <v>#N/A</v>
      </c>
      <c r="E286" s="538" t="s">
        <v>41</v>
      </c>
      <c r="F286" s="540"/>
      <c r="G286" s="120" t="e">
        <f>INDEX(Commerce_session2!A6:DN806,MATCH("I",Commerce_session2!A6:A806,0),116)</f>
        <v>#N/A</v>
      </c>
      <c r="H286" s="538" t="s">
        <v>91</v>
      </c>
      <c r="I286" s="539"/>
      <c r="J286" s="539"/>
      <c r="K286" s="540"/>
      <c r="L286" s="541" t="e">
        <f>INDEX(Commerce_session2!A6:DN806,MATCH("I",Commerce_session2!A6:A806,0),117)</f>
        <v>#N/A</v>
      </c>
      <c r="M286" s="542"/>
      <c r="N286" s="8"/>
      <c r="O286" s="8"/>
    </row>
    <row r="287" spans="1:15" ht="22.5">
      <c r="A287" s="546" t="s">
        <v>42</v>
      </c>
      <c r="B287" s="547"/>
      <c r="C287" s="548"/>
      <c r="D287" s="543" t="e">
        <f>INDEX(Commerce_session2!A6:DN806,MATCH("I",Commerce_session2!A6:A806,0),118)</f>
        <v>#N/A</v>
      </c>
      <c r="E287" s="544"/>
      <c r="F287" s="545"/>
      <c r="G287" s="108"/>
      <c r="H287" s="109"/>
      <c r="I287" s="110"/>
      <c r="J287" s="111"/>
      <c r="K287" s="110"/>
      <c r="L287" s="110"/>
      <c r="M287" s="110"/>
      <c r="N287" s="112" t="s">
        <v>43</v>
      </c>
      <c r="O287" s="28">
        <f ca="1">TODAY()</f>
        <v>43626</v>
      </c>
    </row>
    <row r="288" spans="1:15" ht="32.25" customHeight="1">
      <c r="A288" s="113" t="s">
        <v>44</v>
      </c>
      <c r="B288" s="29"/>
      <c r="C288" s="29"/>
      <c r="D288" s="533"/>
      <c r="E288" s="533"/>
      <c r="F288" s="30"/>
      <c r="G288" s="4"/>
      <c r="J288" s="4"/>
      <c r="L288" s="534" t="s">
        <v>46</v>
      </c>
      <c r="M288" s="534"/>
      <c r="N288" s="534"/>
    </row>
    <row r="289" spans="1:18" ht="23.25" customHeight="1" thickBot="1">
      <c r="A289" s="84" t="s">
        <v>12</v>
      </c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445" t="s">
        <v>13</v>
      </c>
      <c r="M289" s="445"/>
      <c r="N289" s="445"/>
      <c r="O289" s="445"/>
      <c r="P289" s="2"/>
      <c r="Q289" s="2"/>
      <c r="R289" s="2"/>
    </row>
    <row r="290" spans="1:18" ht="15.75">
      <c r="A290" s="446" t="s">
        <v>14</v>
      </c>
      <c r="B290" s="446"/>
      <c r="C290" s="446"/>
      <c r="D290" s="446"/>
      <c r="E290" s="446"/>
      <c r="F290" s="3"/>
      <c r="H290" s="4"/>
      <c r="K290" s="4"/>
      <c r="L290" s="4"/>
    </row>
    <row r="291" spans="1:18" ht="15.75">
      <c r="A291" s="85" t="s">
        <v>15</v>
      </c>
      <c r="B291" s="85"/>
      <c r="C291" s="85"/>
      <c r="D291" s="85"/>
      <c r="E291" s="85"/>
      <c r="F291" s="5"/>
      <c r="H291" s="4"/>
      <c r="K291" s="4"/>
      <c r="L291" s="4"/>
      <c r="P291" s="6"/>
    </row>
    <row r="292" spans="1:18" ht="15.75">
      <c r="A292" s="85" t="s">
        <v>100</v>
      </c>
      <c r="B292" s="85"/>
      <c r="C292" s="85"/>
      <c r="D292" s="85"/>
      <c r="E292" s="85"/>
      <c r="F292" s="3"/>
      <c r="H292" s="4"/>
      <c r="K292" s="4"/>
      <c r="L292" s="4"/>
    </row>
    <row r="293" spans="1:18" s="8" customFormat="1" ht="27" customHeight="1">
      <c r="A293" s="7"/>
      <c r="B293" s="7"/>
      <c r="C293" s="7"/>
      <c r="D293" s="447" t="s">
        <v>94</v>
      </c>
      <c r="E293" s="447"/>
      <c r="F293" s="447"/>
      <c r="G293" s="447"/>
      <c r="H293" s="447"/>
      <c r="I293" s="447"/>
      <c r="J293" s="447"/>
      <c r="K293" s="447"/>
      <c r="L293" s="447"/>
      <c r="M293" s="7"/>
      <c r="N293" s="7"/>
      <c r="O293" s="7"/>
    </row>
    <row r="294" spans="1:18" ht="23.25" customHeight="1">
      <c r="A294" s="126" t="s">
        <v>101</v>
      </c>
      <c r="B294" s="126"/>
      <c r="C294" s="126"/>
      <c r="D294" s="126"/>
      <c r="E294" s="126"/>
      <c r="F294" s="126"/>
      <c r="G294" s="122"/>
      <c r="H294" s="122"/>
      <c r="I294" s="122" t="e">
        <f>IF(D319="ناجح(ة) دورة1","-الدورة الأولى-","-الدورة الثانية-")</f>
        <v>#N/A</v>
      </c>
      <c r="J294" s="124" t="s">
        <v>48</v>
      </c>
      <c r="K294" s="124"/>
      <c r="L294" s="87"/>
      <c r="M294" s="88"/>
      <c r="N294" s="89"/>
      <c r="O294" s="9"/>
    </row>
    <row r="295" spans="1:18" ht="20.25" customHeight="1">
      <c r="A295" s="476" t="s">
        <v>93</v>
      </c>
      <c r="B295" s="476"/>
      <c r="C295" s="90" t="e">
        <f>INDEX(Commerce_session2!A6:DN806,MATCH("J",Commerce_session2!A6:A806,0),3)</f>
        <v>#N/A</v>
      </c>
      <c r="D295" s="91" t="s">
        <v>92</v>
      </c>
      <c r="E295" s="448" t="e">
        <f>INDEX(Commerce_session2!A6:DN806,MATCH("J",Commerce_session2!A6:A806,0),4)</f>
        <v>#N/A</v>
      </c>
      <c r="F295" s="448" t="e">
        <f>INDEX(Commerce_session1!D280:DA466,MATCH("a",Commerce_session1!D280:D466,0),3)</f>
        <v>#N/A</v>
      </c>
      <c r="G295" s="477" t="s">
        <v>16</v>
      </c>
      <c r="H295" s="477"/>
      <c r="I295" s="477"/>
      <c r="J295" s="478" t="e">
        <f>INDEX(Commerce_session2!A6:DN806,MATCH("J",Commerce_session2!A6:A806,0),6)</f>
        <v>#N/A</v>
      </c>
      <c r="K295" s="478"/>
      <c r="L295" s="88"/>
      <c r="M295" s="92" t="s">
        <v>17</v>
      </c>
      <c r="N295" s="90" t="e">
        <f>INDEX(Commerce_session2!A6:DN806,MATCH("J",Commerce_session2!A6:A806,0),7)</f>
        <v>#N/A</v>
      </c>
      <c r="O295" s="10"/>
    </row>
    <row r="296" spans="1:18" ht="20.25" customHeight="1">
      <c r="A296" s="476" t="s">
        <v>18</v>
      </c>
      <c r="B296" s="476"/>
      <c r="C296" s="448" t="e">
        <f>INDEX(Commerce_session2!A6:DN806,MATCH("J",Commerce_session2!A6:A806,0),5)</f>
        <v>#N/A</v>
      </c>
      <c r="D296" s="448"/>
      <c r="E296" s="91"/>
      <c r="F296" s="88"/>
      <c r="G296" s="93"/>
      <c r="H296" s="88"/>
      <c r="I296" s="88"/>
      <c r="J296" s="93"/>
      <c r="K296" s="88"/>
      <c r="L296" s="88"/>
      <c r="M296" s="88"/>
      <c r="N296" s="88"/>
      <c r="O296" s="10"/>
    </row>
    <row r="297" spans="1:18" ht="20.25" customHeight="1">
      <c r="A297" s="476" t="s">
        <v>102</v>
      </c>
      <c r="B297" s="476"/>
      <c r="C297" s="476"/>
      <c r="D297" s="476"/>
      <c r="E297" s="476"/>
      <c r="F297" s="476"/>
      <c r="G297" s="476"/>
      <c r="H297" s="476"/>
      <c r="I297" s="476"/>
      <c r="J297" s="476"/>
      <c r="K297" s="476"/>
      <c r="L297" s="476"/>
      <c r="M297" s="476"/>
      <c r="N297" s="476"/>
      <c r="O297" s="476"/>
    </row>
    <row r="298" spans="1:18" ht="20.25" customHeight="1" thickBot="1">
      <c r="A298" s="459" t="s">
        <v>19</v>
      </c>
      <c r="B298" s="459"/>
      <c r="C298" s="459"/>
      <c r="D298" s="459"/>
      <c r="E298" s="459"/>
      <c r="F298" s="459"/>
      <c r="G298" s="459"/>
      <c r="H298" s="94"/>
      <c r="I298" s="94"/>
      <c r="J298" s="95"/>
      <c r="K298" s="94"/>
      <c r="L298" s="94"/>
      <c r="M298" s="94"/>
      <c r="N298" s="94"/>
      <c r="O298" s="11"/>
    </row>
    <row r="299" spans="1:18" ht="18.75" thickBot="1">
      <c r="A299" s="460" t="s">
        <v>20</v>
      </c>
      <c r="B299" s="463" t="s">
        <v>21</v>
      </c>
      <c r="C299" s="464"/>
      <c r="D299" s="464"/>
      <c r="E299" s="464"/>
      <c r="F299" s="464" t="s">
        <v>22</v>
      </c>
      <c r="G299" s="464"/>
      <c r="H299" s="464"/>
      <c r="I299" s="465" t="s">
        <v>23</v>
      </c>
      <c r="J299" s="466"/>
      <c r="K299" s="466"/>
      <c r="L299" s="466"/>
      <c r="M299" s="466"/>
      <c r="N299" s="466"/>
      <c r="O299" s="467"/>
    </row>
    <row r="300" spans="1:18">
      <c r="A300" s="461"/>
      <c r="B300" s="468" t="s">
        <v>24</v>
      </c>
      <c r="C300" s="470" t="s">
        <v>25</v>
      </c>
      <c r="D300" s="472" t="s">
        <v>26</v>
      </c>
      <c r="E300" s="474" t="s">
        <v>27</v>
      </c>
      <c r="F300" s="479" t="s">
        <v>28</v>
      </c>
      <c r="G300" s="468" t="s">
        <v>11</v>
      </c>
      <c r="H300" s="481" t="s">
        <v>27</v>
      </c>
      <c r="I300" s="482" t="s">
        <v>29</v>
      </c>
      <c r="J300" s="483"/>
      <c r="K300" s="484" t="s">
        <v>30</v>
      </c>
      <c r="L300" s="485"/>
      <c r="M300" s="486"/>
      <c r="N300" s="455" t="s">
        <v>20</v>
      </c>
      <c r="O300" s="456"/>
    </row>
    <row r="301" spans="1:18" ht="15.75" thickBot="1">
      <c r="A301" s="462"/>
      <c r="B301" s="469"/>
      <c r="C301" s="471"/>
      <c r="D301" s="473"/>
      <c r="E301" s="475"/>
      <c r="F301" s="480"/>
      <c r="G301" s="469"/>
      <c r="H301" s="473"/>
      <c r="I301" s="106" t="s">
        <v>10</v>
      </c>
      <c r="J301" s="106" t="s">
        <v>31</v>
      </c>
      <c r="K301" s="106" t="s">
        <v>32</v>
      </c>
      <c r="L301" s="457" t="s">
        <v>33</v>
      </c>
      <c r="M301" s="458"/>
      <c r="N301" s="106" t="s">
        <v>34</v>
      </c>
      <c r="O301" s="107" t="s">
        <v>35</v>
      </c>
    </row>
    <row r="302" spans="1:18" ht="18.75" customHeight="1" thickBot="1">
      <c r="A302" s="549" t="s">
        <v>76</v>
      </c>
      <c r="B302" s="552" t="s">
        <v>36</v>
      </c>
      <c r="C302" s="555" t="s">
        <v>90</v>
      </c>
      <c r="D302" s="556">
        <v>17</v>
      </c>
      <c r="E302" s="449">
        <v>6</v>
      </c>
      <c r="F302" s="96" t="s">
        <v>54</v>
      </c>
      <c r="G302" s="70">
        <v>5</v>
      </c>
      <c r="H302" s="71">
        <v>2</v>
      </c>
      <c r="I302" s="12" t="e">
        <f>INDEX(Commerce_session2!A6:DN806,MATCH("J",Commerce_session2!A6:A806,0),17)</f>
        <v>#N/A</v>
      </c>
      <c r="J302" s="13" t="e">
        <f>INDEX(Commerce_session2!A6:DN806,MATCH("J",Commerce_session2!A6:A806,0),18)</f>
        <v>#N/A</v>
      </c>
      <c r="K302" s="452" t="e">
        <f>INDEX(Commerce_session2!A6:DN806,MATCH("J",Commerce_session2!A6:A806,0),29)</f>
        <v>#N/A</v>
      </c>
      <c r="L302" s="494" t="e">
        <f>INDEX(Commerce_session2!A6:DN806,MATCH("J",Commerce_session2!A6:A806,0),30)</f>
        <v>#N/A</v>
      </c>
      <c r="M302" s="495" t="e">
        <f>INDEX(Commerce_session1!D280:CZ322,MATCH("a",Commerce_session1!D280:D322,0),15)</f>
        <v>#N/A</v>
      </c>
      <c r="N302" s="498" t="e">
        <f>INDEX(Commerce_session2!A6:DN806,MATCH("J",Commerce_session2!A6:A806,0),111)</f>
        <v>#N/A</v>
      </c>
      <c r="O302" s="487" t="e">
        <f>INDEX(Commerce_session2!A6:DN806,MATCH("J",Commerce_session2!A6:A806,0),112)</f>
        <v>#N/A</v>
      </c>
    </row>
    <row r="303" spans="1:18" ht="18.75" customHeight="1" thickBot="1">
      <c r="A303" s="550"/>
      <c r="B303" s="553"/>
      <c r="C303" s="503"/>
      <c r="D303" s="557"/>
      <c r="E303" s="450"/>
      <c r="F303" s="97" t="s">
        <v>55</v>
      </c>
      <c r="G303" s="72">
        <v>6</v>
      </c>
      <c r="H303" s="73">
        <v>2</v>
      </c>
      <c r="I303" s="14" t="e">
        <f>INDEX(Commerce_session2!A6:DN806,MATCH("J",Commerce_session2!A6:A806,0),22)</f>
        <v>#N/A</v>
      </c>
      <c r="J303" s="15" t="e">
        <f>INDEX(Commerce_session2!A6:DN806,MATCH("J",Commerce_session2!A6:A806,0),23)</f>
        <v>#N/A</v>
      </c>
      <c r="K303" s="453" t="e">
        <f>INDEX(Commerce_session1!B280:CY322,MATCH("a",Commerce_session1!B280:B322,0),14)</f>
        <v>#N/A</v>
      </c>
      <c r="L303" s="496" t="e">
        <f>INDEX(Commerce_session1!D280:CZ322,MATCH("a",Commerce_session1!D280:D322,0),14)</f>
        <v>#N/A</v>
      </c>
      <c r="M303" s="497" t="e">
        <f>INDEX(Commerce_session1!E280:DA322,MATCH("a",Commerce_session1!E280:E322,0),14)</f>
        <v>#N/A</v>
      </c>
      <c r="N303" s="498" t="e">
        <f>INDEX(Commerce_session1!#REF!,MATCH("a",Commerce_session1!#REF!,0),62)</f>
        <v>#REF!</v>
      </c>
      <c r="O303" s="487" t="e">
        <f>INDEX(Commerce_session1!#REF!,MATCH("a",Commerce_session1!#REF!,0),62)</f>
        <v>#REF!</v>
      </c>
    </row>
    <row r="304" spans="1:18" ht="18.75" customHeight="1" thickBot="1">
      <c r="A304" s="550"/>
      <c r="B304" s="554"/>
      <c r="C304" s="504"/>
      <c r="D304" s="558"/>
      <c r="E304" s="451"/>
      <c r="F304" s="98" t="s">
        <v>56</v>
      </c>
      <c r="G304" s="74">
        <v>6</v>
      </c>
      <c r="H304" s="75">
        <v>2</v>
      </c>
      <c r="I304" s="16" t="e">
        <f>INDEX(Commerce_session2!A6:DN806,MATCH("J",Commerce_session2!A6:A806,0),27)</f>
        <v>#N/A</v>
      </c>
      <c r="J304" s="17" t="e">
        <f>INDEX(Commerce_session2!A6:DN806,MATCH("J",Commerce_session2!A6:A806,0),28)</f>
        <v>#N/A</v>
      </c>
      <c r="K304" s="454" t="e">
        <f>INDEX(Commerce_session1!B282:CY322,MATCH("a",Commerce_session1!B282:B322,0),14)</f>
        <v>#N/A</v>
      </c>
      <c r="L304" s="490" t="e">
        <f>INDEX(Commerce_session1!D282:CZ322,MATCH("a",Commerce_session1!D282:D322,0),14)</f>
        <v>#N/A</v>
      </c>
      <c r="M304" s="491" t="e">
        <f>INDEX(Commerce_session1!E282:DA322,MATCH("a",Commerce_session1!E282:E322,0),14)</f>
        <v>#N/A</v>
      </c>
      <c r="N304" s="498" t="e">
        <f>INDEX(Commerce_session1!#REF!,MATCH("a",Commerce_session1!#REF!,0),62)</f>
        <v>#REF!</v>
      </c>
      <c r="O304" s="487" t="e">
        <f>INDEX(Commerce_session1!#REF!,MATCH("a",Commerce_session1!#REF!,0),62)</f>
        <v>#REF!</v>
      </c>
    </row>
    <row r="305" spans="1:15" ht="19.5" customHeight="1" thickTop="1" thickBot="1">
      <c r="A305" s="550"/>
      <c r="B305" s="499" t="s">
        <v>37</v>
      </c>
      <c r="C305" s="502" t="s">
        <v>89</v>
      </c>
      <c r="D305" s="505">
        <v>7</v>
      </c>
      <c r="E305" s="508">
        <v>5</v>
      </c>
      <c r="F305" s="99" t="s">
        <v>83</v>
      </c>
      <c r="G305" s="76">
        <v>1</v>
      </c>
      <c r="H305" s="77">
        <v>1</v>
      </c>
      <c r="I305" s="18" t="e">
        <f>INDEX(Commerce_session2!A6:DN806,MATCH("J",Commerce_session2!A6:A806,0),33)</f>
        <v>#N/A</v>
      </c>
      <c r="J305" s="19" t="e">
        <f>INDEX(Commerce_session2!A6:DN806,MATCH("J",Commerce_session2!A6:A806,0),34)</f>
        <v>#N/A</v>
      </c>
      <c r="K305" s="509" t="e">
        <f>INDEX(Commerce_session2!A6:DN806,MATCH("J",Commerce_session2!A6:A806,0),45)</f>
        <v>#N/A</v>
      </c>
      <c r="L305" s="488" t="e">
        <f>INDEX(Commerce_session2!A6:DN806,MATCH("J",Commerce_session2!A6:A806,0),46)</f>
        <v>#N/A</v>
      </c>
      <c r="M305" s="489" t="e">
        <f>INDEX(Commerce_session1!D280:CZ322,MATCH("a",Commerce_session1!D280:D322,0),23)</f>
        <v>#N/A</v>
      </c>
      <c r="N305" s="498" t="e">
        <f>INDEX(Commerce_session1!#REF!,MATCH("a",Commerce_session1!#REF!,0),62)</f>
        <v>#REF!</v>
      </c>
      <c r="O305" s="487" t="e">
        <f>INDEX(Commerce_session1!#REF!,MATCH("a",Commerce_session1!#REF!,0),62)</f>
        <v>#REF!</v>
      </c>
    </row>
    <row r="306" spans="1:15" ht="18.75" customHeight="1" thickTop="1" thickBot="1">
      <c r="A306" s="550"/>
      <c r="B306" s="500"/>
      <c r="C306" s="503"/>
      <c r="D306" s="506"/>
      <c r="E306" s="450"/>
      <c r="F306" s="100" t="s">
        <v>99</v>
      </c>
      <c r="G306" s="78">
        <v>3</v>
      </c>
      <c r="H306" s="79">
        <v>2</v>
      </c>
      <c r="I306" s="18" t="e">
        <f>INDEX(Commerce_session2!A6:DN806,MATCH("J",Commerce_session2!A6:A806,0),38)</f>
        <v>#N/A</v>
      </c>
      <c r="J306" s="15" t="e">
        <f>INDEX(Commerce_session2!A6:DN806,MATCH("J",Commerce_session2!A6:A806,0),39)</f>
        <v>#N/A</v>
      </c>
      <c r="K306" s="510" t="e">
        <f>INDEX(Commerce_session1!B279:CY322,MATCH("a",Commerce_session1!B279:B322,0),22)</f>
        <v>#N/A</v>
      </c>
      <c r="L306" s="496" t="e">
        <f>INDEX(Commerce_session1!D279:CZ322,MATCH("a",Commerce_session1!D279:D322,0),22)</f>
        <v>#N/A</v>
      </c>
      <c r="M306" s="497" t="e">
        <f>INDEX(Commerce_session1!E279:DA322,MATCH("a",Commerce_session1!E279:E322,0),22)</f>
        <v>#N/A</v>
      </c>
      <c r="N306" s="498" t="e">
        <f>INDEX(Commerce_session1!#REF!,MATCH("a",Commerce_session1!#REF!,0),62)</f>
        <v>#REF!</v>
      </c>
      <c r="O306" s="487" t="e">
        <f>INDEX(Commerce_session1!#REF!,MATCH("a",Commerce_session1!#REF!,0),62)</f>
        <v>#REF!</v>
      </c>
    </row>
    <row r="307" spans="1:15" ht="18.75" customHeight="1" thickBot="1">
      <c r="A307" s="550"/>
      <c r="B307" s="501"/>
      <c r="C307" s="504"/>
      <c r="D307" s="507"/>
      <c r="E307" s="451"/>
      <c r="F307" s="101" t="s">
        <v>84</v>
      </c>
      <c r="G307" s="80">
        <v>3</v>
      </c>
      <c r="H307" s="81">
        <v>2</v>
      </c>
      <c r="I307" s="20" t="e">
        <f>INDEX(Commerce_session2!A6:DN806,MATCH("J",Commerce_session2!A6:A806,0),43)</f>
        <v>#N/A</v>
      </c>
      <c r="J307" s="17" t="e">
        <f>INDEX(Commerce_session2!A6:DN806,MATCH("J",Commerce_session2!A6:A806,0),44)</f>
        <v>#N/A</v>
      </c>
      <c r="K307" s="511" t="e">
        <f>INDEX(Commerce_session1!B280:CY322,MATCH("a",Commerce_session1!B280:B322,0),22)</f>
        <v>#N/A</v>
      </c>
      <c r="L307" s="490" t="e">
        <f>INDEX(Commerce_session1!D280:CZ322,MATCH("a",Commerce_session1!D280:D322,0),22)</f>
        <v>#N/A</v>
      </c>
      <c r="M307" s="491" t="e">
        <f>INDEX(Commerce_session1!E280:DA322,MATCH("a",Commerce_session1!E280:E322,0),22)</f>
        <v>#N/A</v>
      </c>
      <c r="N307" s="498" t="e">
        <f>INDEX(Commerce_session1!#REF!,MATCH("a",Commerce_session1!#REF!,0),62)</f>
        <v>#REF!</v>
      </c>
      <c r="O307" s="487" t="e">
        <f>INDEX(Commerce_session1!#REF!,MATCH("a",Commerce_session1!#REF!,0),62)</f>
        <v>#REF!</v>
      </c>
    </row>
    <row r="308" spans="1:15" ht="33.75" customHeight="1" thickTop="1" thickBot="1">
      <c r="A308" s="550"/>
      <c r="B308" s="531" t="s">
        <v>38</v>
      </c>
      <c r="C308" s="559" t="s">
        <v>50</v>
      </c>
      <c r="D308" s="520">
        <v>5</v>
      </c>
      <c r="E308" s="508">
        <v>2</v>
      </c>
      <c r="F308" s="102" t="s">
        <v>63</v>
      </c>
      <c r="G308" s="68">
        <v>4</v>
      </c>
      <c r="H308" s="69">
        <v>1</v>
      </c>
      <c r="I308" s="18" t="e">
        <f>INDEX(Commerce_session2!A6:DN806,MATCH("J",Commerce_session2!A6:A806,0),50)</f>
        <v>#N/A</v>
      </c>
      <c r="J308" s="19" t="e">
        <f>INDEX(Commerce_session2!A6:DN806,MATCH("J",Commerce_session2!A6:A806,0),51)</f>
        <v>#N/A</v>
      </c>
      <c r="K308" s="509" t="e">
        <f>INDEX(Commerce_session2!A6:DN806,MATCH("J",Commerce_session2!A6:A806,0),56)</f>
        <v>#N/A</v>
      </c>
      <c r="L308" s="488" t="e">
        <f>INDEX(Commerce_session2!A6:DN806,MATCH("J",Commerce_session2!A6:A806,0),57)</f>
        <v>#N/A</v>
      </c>
      <c r="M308" s="489" t="e">
        <f>INDEX(Commerce_session1!D280:CZ322,MATCH("a",Commerce_session1!D280:D322,0),29)</f>
        <v>#N/A</v>
      </c>
      <c r="N308" s="498" t="e">
        <f>INDEX(Commerce_session1!#REF!,MATCH("a",Commerce_session1!#REF!,0),62)</f>
        <v>#REF!</v>
      </c>
      <c r="O308" s="487" t="e">
        <f>INDEX(Commerce_session1!#REF!,MATCH("a",Commerce_session1!#REF!,0),62)</f>
        <v>#REF!</v>
      </c>
    </row>
    <row r="309" spans="1:15" ht="18.75" customHeight="1" thickBot="1">
      <c r="A309" s="550"/>
      <c r="B309" s="527"/>
      <c r="C309" s="524"/>
      <c r="D309" s="521"/>
      <c r="E309" s="451"/>
      <c r="F309" s="101" t="s">
        <v>62</v>
      </c>
      <c r="G309" s="80">
        <v>1</v>
      </c>
      <c r="H309" s="81">
        <v>1</v>
      </c>
      <c r="I309" s="16" t="e">
        <f>INDEX(Commerce_session2!A6:DN806,MATCH("J",Commerce_session2!A6:A806,0),54)</f>
        <v>#N/A</v>
      </c>
      <c r="J309" s="21" t="e">
        <f>INDEX(Commerce_session2!A6:DN806,MATCH("J",Commerce_session2!A6:A806,0),55)</f>
        <v>#N/A</v>
      </c>
      <c r="K309" s="511" t="e">
        <f>INDEX(Commerce_session1!B280:CY322,MATCH("a",Commerce_session1!B280:B322,0),28)</f>
        <v>#N/A</v>
      </c>
      <c r="L309" s="490" t="e">
        <f>INDEX(Commerce_session1!D280:CZ322,MATCH("a",Commerce_session1!D280:D322,0),28)</f>
        <v>#N/A</v>
      </c>
      <c r="M309" s="491" t="e">
        <f>INDEX(Commerce_session1!E280:DA322,MATCH("a",Commerce_session1!E280:E322,0),28)</f>
        <v>#N/A</v>
      </c>
      <c r="N309" s="498" t="e">
        <f>INDEX(Commerce_session1!#REF!,MATCH("a",Commerce_session1!#REF!,0),62)</f>
        <v>#REF!</v>
      </c>
      <c r="O309" s="487" t="e">
        <f>INDEX(Commerce_session1!#REF!,MATCH("a",Commerce_session1!#REF!,0),62)</f>
        <v>#REF!</v>
      </c>
    </row>
    <row r="310" spans="1:15" ht="20.25" customHeight="1" thickTop="1" thickBot="1">
      <c r="A310" s="551"/>
      <c r="B310" s="105" t="s">
        <v>39</v>
      </c>
      <c r="C310" s="104" t="s">
        <v>51</v>
      </c>
      <c r="D310" s="22">
        <v>1</v>
      </c>
      <c r="E310" s="23">
        <v>1</v>
      </c>
      <c r="F310" s="103" t="s">
        <v>64</v>
      </c>
      <c r="G310" s="82">
        <v>1</v>
      </c>
      <c r="H310" s="83">
        <v>1</v>
      </c>
      <c r="I310" s="20" t="e">
        <f>INDEX(Commerce_session2!A6:DN806,MATCH("J",Commerce_session2!A6:A806,0),61)</f>
        <v>#N/A</v>
      </c>
      <c r="J310" s="24" t="e">
        <f>INDEX(Commerce_session2!A6:DN806,MATCH("J",Commerce_session2!A6:A806,0),62)</f>
        <v>#N/A</v>
      </c>
      <c r="K310" s="36" t="e">
        <f>INDEX(Commerce_session2!A6:DN806,MATCH("J",Commerce_session2!A6:A806,0),63)</f>
        <v>#N/A</v>
      </c>
      <c r="L310" s="492" t="e">
        <f>INDEX(Commerce_session2!A6:DN806,MATCH("J",Commerce_session2!A6:A806,0),64)</f>
        <v>#N/A</v>
      </c>
      <c r="M310" s="493" t="e">
        <f>INDEX(Commerce_session1!D280:CZ322,MATCH("a",Commerce_session1!D280:D322,0),33)</f>
        <v>#N/A</v>
      </c>
      <c r="N310" s="498" t="e">
        <f>INDEX(Commerce_session1!#REF!,MATCH("a",Commerce_session1!#REF!,0),62)</f>
        <v>#REF!</v>
      </c>
      <c r="O310" s="487" t="e">
        <f>INDEX(Commerce_session1!#REF!,MATCH("a",Commerce_session1!#REF!,0),62)</f>
        <v>#REF!</v>
      </c>
    </row>
    <row r="311" spans="1:15" ht="19.5" customHeight="1" thickTop="1" thickBot="1">
      <c r="A311" s="516" t="s">
        <v>77</v>
      </c>
      <c r="B311" s="525" t="s">
        <v>36</v>
      </c>
      <c r="C311" s="522" t="s">
        <v>88</v>
      </c>
      <c r="D311" s="528">
        <v>16</v>
      </c>
      <c r="E311" s="449">
        <v>5</v>
      </c>
      <c r="F311" s="96" t="s">
        <v>67</v>
      </c>
      <c r="G311" s="114">
        <v>6</v>
      </c>
      <c r="H311" s="115">
        <v>2</v>
      </c>
      <c r="I311" s="18" t="e">
        <f>INDEX(Commerce_session2!A6:DN806,MATCH("J",Commerce_session2!A6:A806,0),70)</f>
        <v>#N/A</v>
      </c>
      <c r="J311" s="19" t="e">
        <f>INDEX(Commerce_session2!A6:DN806,MATCH("J",Commerce_session2!A6:A806,0),71)</f>
        <v>#N/A</v>
      </c>
      <c r="K311" s="519" t="e">
        <f>INDEX(Commerce_session2!A6:DN806,MATCH("J",Commerce_session2!A6:A806,0),82)</f>
        <v>#N/A</v>
      </c>
      <c r="L311" s="494" t="e">
        <f>INDEX(Commerce_session2!A6:DN806,MATCH("J",Commerce_session2!A6:A806,0),83)</f>
        <v>#N/A</v>
      </c>
      <c r="M311" s="495"/>
      <c r="N311" s="498" t="e">
        <f>INDEX(Commerce_session2!A6:DN806,MATCH("J",Commerce_session2!A6:A806,0),113)</f>
        <v>#N/A</v>
      </c>
      <c r="O311" s="487" t="e">
        <f>INDEX(Commerce_session2!A6:DN806,MATCH("J",Commerce_session2!A6:A806,0),114)</f>
        <v>#N/A</v>
      </c>
    </row>
    <row r="312" spans="1:15" ht="18.75" customHeight="1" thickBot="1">
      <c r="A312" s="517"/>
      <c r="B312" s="526"/>
      <c r="C312" s="523"/>
      <c r="D312" s="529"/>
      <c r="E312" s="450"/>
      <c r="F312" s="100" t="s">
        <v>68</v>
      </c>
      <c r="G312" s="116">
        <v>6</v>
      </c>
      <c r="H312" s="117">
        <v>2</v>
      </c>
      <c r="I312" s="14" t="e">
        <f>INDEX(Commerce_session2!A6:DN806,MATCH("J",Commerce_session2!A6:A806,0),75)</f>
        <v>#N/A</v>
      </c>
      <c r="J312" s="15" t="e">
        <f>INDEX(Commerce_session2!A6:DN806,MATCH("J",Commerce_session2!A6:A806,0),76)</f>
        <v>#N/A</v>
      </c>
      <c r="K312" s="510"/>
      <c r="L312" s="496"/>
      <c r="M312" s="497"/>
      <c r="N312" s="498" t="e">
        <f>INDEX(Commerce_session1!F280:DA322,MATCH("a",Commerce_session1!F280:F322,0),42)</f>
        <v>#N/A</v>
      </c>
      <c r="O312" s="487" t="e">
        <f>INDEX(Commerce_session1!G280:DA322,MATCH("a",Commerce_session1!G280:G322,0),42)</f>
        <v>#N/A</v>
      </c>
    </row>
    <row r="313" spans="1:15" ht="20.25" customHeight="1" thickBot="1">
      <c r="A313" s="517"/>
      <c r="B313" s="527"/>
      <c r="C313" s="524"/>
      <c r="D313" s="530"/>
      <c r="E313" s="451"/>
      <c r="F313" s="101" t="s">
        <v>103</v>
      </c>
      <c r="G313" s="118">
        <v>4</v>
      </c>
      <c r="H313" s="119">
        <v>1</v>
      </c>
      <c r="I313" s="127" t="e">
        <f>INDEX(Commerce_session2!A6:DN806,MATCH("J",Commerce_session2!A6:A806,0),80)</f>
        <v>#N/A</v>
      </c>
      <c r="J313" s="21" t="e">
        <f>INDEX(Commerce_session2!A6:DN806,MATCH("J",Commerce_session2!A6:A806,0),81)</f>
        <v>#N/A</v>
      </c>
      <c r="K313" s="511"/>
      <c r="L313" s="490"/>
      <c r="M313" s="491"/>
      <c r="N313" s="498" t="e">
        <f>INDEX(Commerce_session1!F281:DA322,MATCH("a",Commerce_session1!F281:F322,0),42)</f>
        <v>#N/A</v>
      </c>
      <c r="O313" s="487" t="e">
        <f>INDEX(Commerce_session1!G281:DA322,MATCH("a",Commerce_session1!G281:G322,0),42)</f>
        <v>#N/A</v>
      </c>
    </row>
    <row r="314" spans="1:15" ht="22.5" customHeight="1" thickTop="1" thickBot="1">
      <c r="A314" s="517"/>
      <c r="B314" s="531" t="s">
        <v>37</v>
      </c>
      <c r="C314" s="559" t="s">
        <v>87</v>
      </c>
      <c r="D314" s="532">
        <v>10</v>
      </c>
      <c r="E314" s="508">
        <v>4</v>
      </c>
      <c r="F314" s="128" t="s">
        <v>104</v>
      </c>
      <c r="G314" s="76">
        <v>5</v>
      </c>
      <c r="H314" s="77">
        <v>2</v>
      </c>
      <c r="I314" s="18" t="e">
        <f>INDEX(Commerce_session2!A6:DN806,MATCH("J",Commerce_session2!A6:A806,0),87)</f>
        <v>#N/A</v>
      </c>
      <c r="J314" s="19" t="e">
        <f>INDEX(Commerce_session2!A6:DN806,MATCH("J",Commerce_session2!A6:A806,0),88)</f>
        <v>#N/A</v>
      </c>
      <c r="K314" s="509" t="e">
        <f>INDEX(Commerce_session2!A6:DN806,MATCH("J",Commerce_session2!A6:A806,0),94)</f>
        <v>#N/A</v>
      </c>
      <c r="L314" s="488" t="e">
        <f>INDEX(Commerce_session2!A6:DN806,MATCH("J",Commerce_session2!A6:A806,0),95)</f>
        <v>#N/A</v>
      </c>
      <c r="M314" s="489"/>
      <c r="N314" s="498" t="e">
        <f>INDEX(Commerce_session1!E283:DA322,MATCH("a",Commerce_session1!E283:E322,0),43)</f>
        <v>#N/A</v>
      </c>
      <c r="O314" s="487" t="e">
        <f>INDEX(Commerce_session1!F283:DA322,MATCH("a",Commerce_session1!F283:F322,0),43)</f>
        <v>#N/A</v>
      </c>
    </row>
    <row r="315" spans="1:15" ht="18.75" customHeight="1" thickBot="1">
      <c r="A315" s="517"/>
      <c r="B315" s="527"/>
      <c r="C315" s="524"/>
      <c r="D315" s="530"/>
      <c r="E315" s="451"/>
      <c r="F315" s="98" t="s">
        <v>69</v>
      </c>
      <c r="G315" s="74">
        <v>5</v>
      </c>
      <c r="H315" s="75">
        <v>2</v>
      </c>
      <c r="I315" s="20" t="e">
        <f>INDEX(Commerce_session2!A6:DN806,MATCH("J",Commerce_session2!A6:A806,0),92)</f>
        <v>#N/A</v>
      </c>
      <c r="J315" s="17" t="e">
        <f>INDEX(Commerce_session2!A6:DN806,MATCH("J",Commerce_session2!A6:A806,0),93)</f>
        <v>#N/A</v>
      </c>
      <c r="K315" s="511"/>
      <c r="L315" s="490"/>
      <c r="M315" s="491"/>
      <c r="N315" s="498" t="e">
        <f>INDEX(Commerce_session1!F284:DA322,MATCH("a",Commerce_session1!F284:F322,0),42)</f>
        <v>#N/A</v>
      </c>
      <c r="O315" s="487" t="e">
        <f>INDEX(Commerce_session1!G284:DA322,MATCH("a",Commerce_session1!G284:G322,0),42)</f>
        <v>#N/A</v>
      </c>
    </row>
    <row r="316" spans="1:15" ht="18.75" customHeight="1" thickTop="1" thickBot="1">
      <c r="A316" s="517"/>
      <c r="B316" s="105" t="s">
        <v>38</v>
      </c>
      <c r="C316" s="104" t="s">
        <v>85</v>
      </c>
      <c r="D316" s="22">
        <v>3</v>
      </c>
      <c r="E316" s="23">
        <v>2</v>
      </c>
      <c r="F316" s="101" t="s">
        <v>74</v>
      </c>
      <c r="G316" s="74">
        <v>3</v>
      </c>
      <c r="H316" s="75">
        <v>2</v>
      </c>
      <c r="I316" s="20" t="e">
        <f>INDEX(Commerce_session2!A6:DN806,MATCH("J",Commerce_session2!A6:A806,0),99)</f>
        <v>#N/A</v>
      </c>
      <c r="J316" s="17" t="e">
        <f>INDEX(Commerce_session2!A6:DN806,MATCH("J",Commerce_session2!A6:A806,0),100)</f>
        <v>#N/A</v>
      </c>
      <c r="K316" s="125" t="e">
        <f>INDEX(Commerce_session2!A6:DN806,MATCH("J",Commerce_session2!A6:A806,0),101)</f>
        <v>#N/A</v>
      </c>
      <c r="L316" s="512" t="e">
        <f>INDEX(Commerce_session2!A6:DN806,MATCH("J",Commerce_session2!A6:A806,0),102)</f>
        <v>#N/A</v>
      </c>
      <c r="M316" s="513"/>
      <c r="N316" s="498" t="e">
        <f>INDEX(Commerce_session1!F286:DA322,MATCH("a",Commerce_session1!F286:F322,0),42)</f>
        <v>#N/A</v>
      </c>
      <c r="O316" s="487" t="e">
        <f>INDEX(Commerce_session1!G286:DA322,MATCH("a",Commerce_session1!G286:G322,0),42)</f>
        <v>#N/A</v>
      </c>
    </row>
    <row r="317" spans="1:15" ht="20.25" customHeight="1" thickTop="1" thickBot="1">
      <c r="A317" s="518"/>
      <c r="B317" s="105" t="s">
        <v>39</v>
      </c>
      <c r="C317" s="104" t="s">
        <v>86</v>
      </c>
      <c r="D317" s="22">
        <v>1</v>
      </c>
      <c r="E317" s="23">
        <v>1</v>
      </c>
      <c r="F317" s="103" t="s">
        <v>73</v>
      </c>
      <c r="G317" s="82">
        <v>1</v>
      </c>
      <c r="H317" s="83">
        <v>1</v>
      </c>
      <c r="I317" s="25" t="e">
        <f>INDEX(Commerce_session2!A6:DN806,MATCH("J",Commerce_session2!A6:A806,0),105)</f>
        <v>#N/A</v>
      </c>
      <c r="J317" s="26" t="e">
        <f>INDEX(Commerce_session2!A6:DN806,MATCH("J",Commerce_session2!A6:A806,0),106)</f>
        <v>#N/A</v>
      </c>
      <c r="K317" s="27" t="e">
        <f>INDEX(Commerce_session2!A6:DN806,MATCH("J",Commerce_session2!A6:A806,0),107)</f>
        <v>#N/A</v>
      </c>
      <c r="L317" s="514" t="e">
        <f>INDEX(Commerce_session2!A6:DN806,MATCH("J",Commerce_session2!A6:A806,0),108)</f>
        <v>#N/A</v>
      </c>
      <c r="M317" s="515" t="e">
        <f>INDEX(Commerce_session1!D280:CZ322,MATCH("a",Commerce_session1!D280:D322,0),61)</f>
        <v>#N/A</v>
      </c>
      <c r="N317" s="498" t="e">
        <f>INDEX(Commerce_session1!F287:DA322,MATCH("a",Commerce_session1!F287:F322,0),42)</f>
        <v>#N/A</v>
      </c>
      <c r="O317" s="487" t="e">
        <f>INDEX(Commerce_session1!G287:DA322,MATCH("a",Commerce_session1!G287:G322,0),42)</f>
        <v>#N/A</v>
      </c>
    </row>
    <row r="318" spans="1:15" ht="20.25">
      <c r="A318" s="535" t="s">
        <v>40</v>
      </c>
      <c r="B318" s="536"/>
      <c r="C318" s="537"/>
      <c r="D318" s="121" t="e">
        <f>INDEX(Commerce_session2!A6:DN806,MATCH("J",Commerce_session2!A6:A806,0),115)</f>
        <v>#N/A</v>
      </c>
      <c r="E318" s="538" t="s">
        <v>41</v>
      </c>
      <c r="F318" s="540"/>
      <c r="G318" s="120" t="e">
        <f>INDEX(Commerce_session2!A6:DN806,MATCH("J",Commerce_session2!A6:A806,0),116)</f>
        <v>#N/A</v>
      </c>
      <c r="H318" s="538" t="s">
        <v>91</v>
      </c>
      <c r="I318" s="539"/>
      <c r="J318" s="539"/>
      <c r="K318" s="540"/>
      <c r="L318" s="541" t="e">
        <f>INDEX(Commerce_session2!A6:DN806,MATCH("J",Commerce_session2!A6:A806,0),117)</f>
        <v>#N/A</v>
      </c>
      <c r="M318" s="542"/>
      <c r="N318" s="8"/>
      <c r="O318" s="8"/>
    </row>
    <row r="319" spans="1:15" ht="22.5">
      <c r="A319" s="546" t="s">
        <v>42</v>
      </c>
      <c r="B319" s="547"/>
      <c r="C319" s="548"/>
      <c r="D319" s="543" t="e">
        <f>INDEX(Commerce_session2!A6:DN806,MATCH("J",Commerce_session2!A6:A806,0),118)</f>
        <v>#N/A</v>
      </c>
      <c r="E319" s="544"/>
      <c r="F319" s="545"/>
      <c r="G319" s="108"/>
      <c r="H319" s="109"/>
      <c r="I319" s="110"/>
      <c r="J319" s="111"/>
      <c r="K319" s="110"/>
      <c r="L319" s="110"/>
      <c r="M319" s="110"/>
      <c r="N319" s="112" t="s">
        <v>43</v>
      </c>
      <c r="O319" s="28">
        <f ca="1">TODAY()</f>
        <v>43626</v>
      </c>
    </row>
    <row r="320" spans="1:15" ht="32.25" customHeight="1">
      <c r="A320" s="113" t="s">
        <v>44</v>
      </c>
      <c r="B320" s="29"/>
      <c r="C320" s="29"/>
      <c r="D320" s="533"/>
      <c r="E320" s="533"/>
      <c r="F320" s="30"/>
      <c r="G320" s="4"/>
      <c r="J320" s="4"/>
      <c r="L320" s="534" t="s">
        <v>46</v>
      </c>
      <c r="M320" s="534"/>
      <c r="N320" s="534"/>
    </row>
  </sheetData>
  <sheetProtection password="CA90" sheet="1" objects="1" scenarios="1"/>
  <mergeCells count="730">
    <mergeCell ref="L1:O1"/>
    <mergeCell ref="A2:E2"/>
    <mergeCell ref="D5:L5"/>
    <mergeCell ref="A7:B7"/>
    <mergeCell ref="E7:F7"/>
    <mergeCell ref="G7:I7"/>
    <mergeCell ref="J7:K7"/>
    <mergeCell ref="A8:B8"/>
    <mergeCell ref="C8:D8"/>
    <mergeCell ref="A9:O9"/>
    <mergeCell ref="A10:G10"/>
    <mergeCell ref="A11:A13"/>
    <mergeCell ref="B11:E11"/>
    <mergeCell ref="F11:H11"/>
    <mergeCell ref="I11:O11"/>
    <mergeCell ref="B12:B13"/>
    <mergeCell ref="C12:C13"/>
    <mergeCell ref="B20:B21"/>
    <mergeCell ref="C20:C21"/>
    <mergeCell ref="K12:M12"/>
    <mergeCell ref="N12:O12"/>
    <mergeCell ref="L13:M13"/>
    <mergeCell ref="A14:A22"/>
    <mergeCell ref="B14:B16"/>
    <mergeCell ref="C14:C16"/>
    <mergeCell ref="D14:D16"/>
    <mergeCell ref="E14:E16"/>
    <mergeCell ref="K14:K16"/>
    <mergeCell ref="L14:M16"/>
    <mergeCell ref="D12:D13"/>
    <mergeCell ref="E12:E13"/>
    <mergeCell ref="F12:F13"/>
    <mergeCell ref="G12:G13"/>
    <mergeCell ref="H12:H13"/>
    <mergeCell ref="I12:J12"/>
    <mergeCell ref="O23:O29"/>
    <mergeCell ref="B26:B27"/>
    <mergeCell ref="C26:C27"/>
    <mergeCell ref="D26:D27"/>
    <mergeCell ref="E26:E27"/>
    <mergeCell ref="K26:K27"/>
    <mergeCell ref="L26:M27"/>
    <mergeCell ref="D20:D21"/>
    <mergeCell ref="E20:E21"/>
    <mergeCell ref="K20:K21"/>
    <mergeCell ref="L20:M21"/>
    <mergeCell ref="L22:M22"/>
    <mergeCell ref="B23:B25"/>
    <mergeCell ref="C23:C25"/>
    <mergeCell ref="D23:D25"/>
    <mergeCell ref="E23:E25"/>
    <mergeCell ref="N14:N22"/>
    <mergeCell ref="O14:O22"/>
    <mergeCell ref="B17:B19"/>
    <mergeCell ref="C17:C19"/>
    <mergeCell ref="D17:D19"/>
    <mergeCell ref="E17:E19"/>
    <mergeCell ref="K17:K19"/>
    <mergeCell ref="L17:M19"/>
    <mergeCell ref="L28:M28"/>
    <mergeCell ref="L29:M29"/>
    <mergeCell ref="A30:C30"/>
    <mergeCell ref="E30:F30"/>
    <mergeCell ref="H30:K30"/>
    <mergeCell ref="L30:M30"/>
    <mergeCell ref="K23:K25"/>
    <mergeCell ref="L23:M25"/>
    <mergeCell ref="N23:N29"/>
    <mergeCell ref="A23:A29"/>
    <mergeCell ref="D37:L37"/>
    <mergeCell ref="A39:B39"/>
    <mergeCell ref="E39:F39"/>
    <mergeCell ref="G39:I39"/>
    <mergeCell ref="J39:K39"/>
    <mergeCell ref="A40:B40"/>
    <mergeCell ref="C40:D40"/>
    <mergeCell ref="A31:C31"/>
    <mergeCell ref="D31:F31"/>
    <mergeCell ref="D32:E32"/>
    <mergeCell ref="L32:N32"/>
    <mergeCell ref="L33:O33"/>
    <mergeCell ref="A34:E34"/>
    <mergeCell ref="A41:O41"/>
    <mergeCell ref="A42:G42"/>
    <mergeCell ref="A43:A45"/>
    <mergeCell ref="B43:E43"/>
    <mergeCell ref="F43:H43"/>
    <mergeCell ref="I43:O43"/>
    <mergeCell ref="B44:B45"/>
    <mergeCell ref="C44:C45"/>
    <mergeCell ref="D44:D45"/>
    <mergeCell ref="E44:E45"/>
    <mergeCell ref="L52:M53"/>
    <mergeCell ref="L54:M54"/>
    <mergeCell ref="F44:F45"/>
    <mergeCell ref="G44:G45"/>
    <mergeCell ref="H44:H45"/>
    <mergeCell ref="I44:J44"/>
    <mergeCell ref="K44:M44"/>
    <mergeCell ref="N44:O44"/>
    <mergeCell ref="L45:M45"/>
    <mergeCell ref="A46:A54"/>
    <mergeCell ref="A62:C62"/>
    <mergeCell ref="E62:F62"/>
    <mergeCell ref="H62:K62"/>
    <mergeCell ref="L62:M62"/>
    <mergeCell ref="L46:M48"/>
    <mergeCell ref="N46:N54"/>
    <mergeCell ref="O46:O54"/>
    <mergeCell ref="B49:B51"/>
    <mergeCell ref="C49:C51"/>
    <mergeCell ref="D49:D51"/>
    <mergeCell ref="E49:E51"/>
    <mergeCell ref="K49:K51"/>
    <mergeCell ref="L49:M51"/>
    <mergeCell ref="B52:B53"/>
    <mergeCell ref="B46:B48"/>
    <mergeCell ref="C46:C48"/>
    <mergeCell ref="D46:D48"/>
    <mergeCell ref="E46:E48"/>
    <mergeCell ref="K46:K48"/>
    <mergeCell ref="C52:C53"/>
    <mergeCell ref="D52:D53"/>
    <mergeCell ref="E52:E53"/>
    <mergeCell ref="K52:K53"/>
    <mergeCell ref="A63:C63"/>
    <mergeCell ref="D63:F63"/>
    <mergeCell ref="N55:N61"/>
    <mergeCell ref="O55:O61"/>
    <mergeCell ref="B58:B59"/>
    <mergeCell ref="C58:C59"/>
    <mergeCell ref="D58:D59"/>
    <mergeCell ref="E58:E59"/>
    <mergeCell ref="K58:K59"/>
    <mergeCell ref="L58:M59"/>
    <mergeCell ref="L60:M60"/>
    <mergeCell ref="L61:M61"/>
    <mergeCell ref="A55:A61"/>
    <mergeCell ref="B55:B57"/>
    <mergeCell ref="C55:C57"/>
    <mergeCell ref="D55:D57"/>
    <mergeCell ref="E55:E57"/>
    <mergeCell ref="K55:K57"/>
    <mergeCell ref="L55:M57"/>
    <mergeCell ref="D64:E64"/>
    <mergeCell ref="L64:N64"/>
    <mergeCell ref="L65:O65"/>
    <mergeCell ref="A66:E66"/>
    <mergeCell ref="D69:L69"/>
    <mergeCell ref="A71:B71"/>
    <mergeCell ref="E71:F71"/>
    <mergeCell ref="G71:I71"/>
    <mergeCell ref="J71:K71"/>
    <mergeCell ref="A72:B72"/>
    <mergeCell ref="C72:D72"/>
    <mergeCell ref="A73:O73"/>
    <mergeCell ref="A74:G74"/>
    <mergeCell ref="A75:A77"/>
    <mergeCell ref="B75:E75"/>
    <mergeCell ref="F75:H75"/>
    <mergeCell ref="I75:O75"/>
    <mergeCell ref="B76:B77"/>
    <mergeCell ref="C76:C77"/>
    <mergeCell ref="B84:B85"/>
    <mergeCell ref="C84:C85"/>
    <mergeCell ref="K76:M76"/>
    <mergeCell ref="N76:O76"/>
    <mergeCell ref="L77:M77"/>
    <mergeCell ref="A78:A86"/>
    <mergeCell ref="B78:B80"/>
    <mergeCell ref="C78:C80"/>
    <mergeCell ref="D78:D80"/>
    <mergeCell ref="E78:E80"/>
    <mergeCell ref="K78:K80"/>
    <mergeCell ref="L78:M80"/>
    <mergeCell ref="D76:D77"/>
    <mergeCell ref="E76:E77"/>
    <mergeCell ref="F76:F77"/>
    <mergeCell ref="G76:G77"/>
    <mergeCell ref="H76:H77"/>
    <mergeCell ref="I76:J76"/>
    <mergeCell ref="O87:O93"/>
    <mergeCell ref="B90:B91"/>
    <mergeCell ref="C90:C91"/>
    <mergeCell ref="D90:D91"/>
    <mergeCell ref="E90:E91"/>
    <mergeCell ref="K90:K91"/>
    <mergeCell ref="L90:M91"/>
    <mergeCell ref="D84:D85"/>
    <mergeCell ref="E84:E85"/>
    <mergeCell ref="K84:K85"/>
    <mergeCell ref="L84:M85"/>
    <mergeCell ref="L86:M86"/>
    <mergeCell ref="B87:B89"/>
    <mergeCell ref="C87:C89"/>
    <mergeCell ref="D87:D89"/>
    <mergeCell ref="E87:E89"/>
    <mergeCell ref="N78:N86"/>
    <mergeCell ref="O78:O86"/>
    <mergeCell ref="B81:B83"/>
    <mergeCell ref="C81:C83"/>
    <mergeCell ref="D81:D83"/>
    <mergeCell ref="E81:E83"/>
    <mergeCell ref="K81:K83"/>
    <mergeCell ref="L81:M83"/>
    <mergeCell ref="L92:M92"/>
    <mergeCell ref="L93:M93"/>
    <mergeCell ref="A94:C94"/>
    <mergeCell ref="E94:F94"/>
    <mergeCell ref="H94:K94"/>
    <mergeCell ref="L94:M94"/>
    <mergeCell ref="K87:K89"/>
    <mergeCell ref="L87:M89"/>
    <mergeCell ref="N87:N93"/>
    <mergeCell ref="A87:A93"/>
    <mergeCell ref="D101:L101"/>
    <mergeCell ref="A103:B103"/>
    <mergeCell ref="E103:F103"/>
    <mergeCell ref="G103:I103"/>
    <mergeCell ref="J103:K103"/>
    <mergeCell ref="A104:B104"/>
    <mergeCell ref="C104:D104"/>
    <mergeCell ref="A95:C95"/>
    <mergeCell ref="D95:F95"/>
    <mergeCell ref="D96:E96"/>
    <mergeCell ref="L96:N96"/>
    <mergeCell ref="L97:O97"/>
    <mergeCell ref="A98:E98"/>
    <mergeCell ref="A105:O105"/>
    <mergeCell ref="A106:G106"/>
    <mergeCell ref="A107:A109"/>
    <mergeCell ref="B107:E107"/>
    <mergeCell ref="F107:H107"/>
    <mergeCell ref="I107:O107"/>
    <mergeCell ref="B108:B109"/>
    <mergeCell ref="C108:C109"/>
    <mergeCell ref="D108:D109"/>
    <mergeCell ref="E108:E109"/>
    <mergeCell ref="L116:M117"/>
    <mergeCell ref="L118:M118"/>
    <mergeCell ref="F108:F109"/>
    <mergeCell ref="G108:G109"/>
    <mergeCell ref="H108:H109"/>
    <mergeCell ref="I108:J108"/>
    <mergeCell ref="K108:M108"/>
    <mergeCell ref="N108:O108"/>
    <mergeCell ref="L109:M109"/>
    <mergeCell ref="A110:A118"/>
    <mergeCell ref="A126:C126"/>
    <mergeCell ref="E126:F126"/>
    <mergeCell ref="H126:K126"/>
    <mergeCell ref="L126:M126"/>
    <mergeCell ref="L110:M112"/>
    <mergeCell ref="N110:N118"/>
    <mergeCell ref="O110:O118"/>
    <mergeCell ref="B113:B115"/>
    <mergeCell ref="C113:C115"/>
    <mergeCell ref="D113:D115"/>
    <mergeCell ref="E113:E115"/>
    <mergeCell ref="K113:K115"/>
    <mergeCell ref="L113:M115"/>
    <mergeCell ref="B116:B117"/>
    <mergeCell ref="B110:B112"/>
    <mergeCell ref="C110:C112"/>
    <mergeCell ref="D110:D112"/>
    <mergeCell ref="E110:E112"/>
    <mergeCell ref="K110:K112"/>
    <mergeCell ref="C116:C117"/>
    <mergeCell ref="D116:D117"/>
    <mergeCell ref="E116:E117"/>
    <mergeCell ref="K116:K117"/>
    <mergeCell ref="A127:C127"/>
    <mergeCell ref="D127:F127"/>
    <mergeCell ref="N119:N125"/>
    <mergeCell ref="O119:O125"/>
    <mergeCell ref="B122:B123"/>
    <mergeCell ref="C122:C123"/>
    <mergeCell ref="D122:D123"/>
    <mergeCell ref="E122:E123"/>
    <mergeCell ref="K122:K123"/>
    <mergeCell ref="L122:M123"/>
    <mergeCell ref="L124:M124"/>
    <mergeCell ref="L125:M125"/>
    <mergeCell ref="A119:A125"/>
    <mergeCell ref="B119:B121"/>
    <mergeCell ref="C119:C121"/>
    <mergeCell ref="D119:D121"/>
    <mergeCell ref="E119:E121"/>
    <mergeCell ref="K119:K121"/>
    <mergeCell ref="L119:M121"/>
    <mergeCell ref="D128:E128"/>
    <mergeCell ref="L128:N128"/>
    <mergeCell ref="L129:O129"/>
    <mergeCell ref="A130:E130"/>
    <mergeCell ref="D133:L133"/>
    <mergeCell ref="A135:B135"/>
    <mergeCell ref="E135:F135"/>
    <mergeCell ref="G135:I135"/>
    <mergeCell ref="J135:K135"/>
    <mergeCell ref="A136:B136"/>
    <mergeCell ref="C136:D136"/>
    <mergeCell ref="A137:O137"/>
    <mergeCell ref="A138:G138"/>
    <mergeCell ref="A139:A141"/>
    <mergeCell ref="B139:E139"/>
    <mergeCell ref="F139:H139"/>
    <mergeCell ref="I139:O139"/>
    <mergeCell ref="B140:B141"/>
    <mergeCell ref="C140:C141"/>
    <mergeCell ref="B148:B149"/>
    <mergeCell ref="C148:C149"/>
    <mergeCell ref="K140:M140"/>
    <mergeCell ref="N140:O140"/>
    <mergeCell ref="L141:M141"/>
    <mergeCell ref="A142:A150"/>
    <mergeCell ref="B142:B144"/>
    <mergeCell ref="C142:C144"/>
    <mergeCell ref="D142:D144"/>
    <mergeCell ref="E142:E144"/>
    <mergeCell ref="K142:K144"/>
    <mergeCell ref="L142:M144"/>
    <mergeCell ref="D140:D141"/>
    <mergeCell ref="E140:E141"/>
    <mergeCell ref="F140:F141"/>
    <mergeCell ref="G140:G141"/>
    <mergeCell ref="H140:H141"/>
    <mergeCell ref="I140:J140"/>
    <mergeCell ref="O151:O157"/>
    <mergeCell ref="B154:B155"/>
    <mergeCell ref="C154:C155"/>
    <mergeCell ref="D154:D155"/>
    <mergeCell ref="E154:E155"/>
    <mergeCell ref="K154:K155"/>
    <mergeCell ref="L154:M155"/>
    <mergeCell ref="D148:D149"/>
    <mergeCell ref="E148:E149"/>
    <mergeCell ref="K148:K149"/>
    <mergeCell ref="L148:M149"/>
    <mergeCell ref="L150:M150"/>
    <mergeCell ref="B151:B153"/>
    <mergeCell ref="C151:C153"/>
    <mergeCell ref="D151:D153"/>
    <mergeCell ref="E151:E153"/>
    <mergeCell ref="N142:N150"/>
    <mergeCell ref="O142:O150"/>
    <mergeCell ref="B145:B147"/>
    <mergeCell ref="C145:C147"/>
    <mergeCell ref="D145:D147"/>
    <mergeCell ref="E145:E147"/>
    <mergeCell ref="K145:K147"/>
    <mergeCell ref="L145:M147"/>
    <mergeCell ref="L156:M156"/>
    <mergeCell ref="L157:M157"/>
    <mergeCell ref="A158:C158"/>
    <mergeCell ref="E158:F158"/>
    <mergeCell ref="H158:K158"/>
    <mergeCell ref="L158:M158"/>
    <mergeCell ref="K151:K153"/>
    <mergeCell ref="L151:M153"/>
    <mergeCell ref="N151:N157"/>
    <mergeCell ref="A151:A157"/>
    <mergeCell ref="D165:L165"/>
    <mergeCell ref="A167:B167"/>
    <mergeCell ref="E167:F167"/>
    <mergeCell ref="G167:I167"/>
    <mergeCell ref="J167:K167"/>
    <mergeCell ref="A168:B168"/>
    <mergeCell ref="C168:D168"/>
    <mergeCell ref="A159:C159"/>
    <mergeCell ref="D159:F159"/>
    <mergeCell ref="D160:E160"/>
    <mergeCell ref="L160:N160"/>
    <mergeCell ref="L161:O161"/>
    <mergeCell ref="A162:E162"/>
    <mergeCell ref="A169:O169"/>
    <mergeCell ref="A170:G170"/>
    <mergeCell ref="A171:A173"/>
    <mergeCell ref="B171:E171"/>
    <mergeCell ref="F171:H171"/>
    <mergeCell ref="I171:O171"/>
    <mergeCell ref="B172:B173"/>
    <mergeCell ref="C172:C173"/>
    <mergeCell ref="D172:D173"/>
    <mergeCell ref="E172:E173"/>
    <mergeCell ref="L180:M181"/>
    <mergeCell ref="L182:M182"/>
    <mergeCell ref="F172:F173"/>
    <mergeCell ref="G172:G173"/>
    <mergeCell ref="H172:H173"/>
    <mergeCell ref="I172:J172"/>
    <mergeCell ref="K172:M172"/>
    <mergeCell ref="N172:O172"/>
    <mergeCell ref="L173:M173"/>
    <mergeCell ref="A174:A182"/>
    <mergeCell ref="A190:C190"/>
    <mergeCell ref="E190:F190"/>
    <mergeCell ref="H190:K190"/>
    <mergeCell ref="L190:M190"/>
    <mergeCell ref="L174:M176"/>
    <mergeCell ref="N174:N182"/>
    <mergeCell ref="O174:O182"/>
    <mergeCell ref="B177:B179"/>
    <mergeCell ref="C177:C179"/>
    <mergeCell ref="D177:D179"/>
    <mergeCell ref="E177:E179"/>
    <mergeCell ref="K177:K179"/>
    <mergeCell ref="L177:M179"/>
    <mergeCell ref="B180:B181"/>
    <mergeCell ref="B174:B176"/>
    <mergeCell ref="C174:C176"/>
    <mergeCell ref="D174:D176"/>
    <mergeCell ref="E174:E176"/>
    <mergeCell ref="K174:K176"/>
    <mergeCell ref="C180:C181"/>
    <mergeCell ref="D180:D181"/>
    <mergeCell ref="E180:E181"/>
    <mergeCell ref="K180:K181"/>
    <mergeCell ref="A191:C191"/>
    <mergeCell ref="D191:F191"/>
    <mergeCell ref="N183:N189"/>
    <mergeCell ref="O183:O189"/>
    <mergeCell ref="B186:B187"/>
    <mergeCell ref="C186:C187"/>
    <mergeCell ref="D186:D187"/>
    <mergeCell ref="E186:E187"/>
    <mergeCell ref="K186:K187"/>
    <mergeCell ref="L186:M187"/>
    <mergeCell ref="L188:M188"/>
    <mergeCell ref="L189:M189"/>
    <mergeCell ref="A183:A189"/>
    <mergeCell ref="B183:B185"/>
    <mergeCell ref="C183:C185"/>
    <mergeCell ref="D183:D185"/>
    <mergeCell ref="E183:E185"/>
    <mergeCell ref="K183:K185"/>
    <mergeCell ref="L183:M185"/>
    <mergeCell ref="D192:E192"/>
    <mergeCell ref="L192:N192"/>
    <mergeCell ref="L193:O193"/>
    <mergeCell ref="A194:E194"/>
    <mergeCell ref="D197:L197"/>
    <mergeCell ref="A199:B199"/>
    <mergeCell ref="E199:F199"/>
    <mergeCell ref="G199:I199"/>
    <mergeCell ref="J199:K199"/>
    <mergeCell ref="A200:B200"/>
    <mergeCell ref="C200:D200"/>
    <mergeCell ref="A201:O201"/>
    <mergeCell ref="A202:G202"/>
    <mergeCell ref="A203:A205"/>
    <mergeCell ref="B203:E203"/>
    <mergeCell ref="F203:H203"/>
    <mergeCell ref="I203:O203"/>
    <mergeCell ref="B204:B205"/>
    <mergeCell ref="C204:C205"/>
    <mergeCell ref="B212:B213"/>
    <mergeCell ref="C212:C213"/>
    <mergeCell ref="K204:M204"/>
    <mergeCell ref="N204:O204"/>
    <mergeCell ref="L205:M205"/>
    <mergeCell ref="A206:A214"/>
    <mergeCell ref="B206:B208"/>
    <mergeCell ref="C206:C208"/>
    <mergeCell ref="D206:D208"/>
    <mergeCell ref="E206:E208"/>
    <mergeCell ref="K206:K208"/>
    <mergeCell ref="L206:M208"/>
    <mergeCell ref="D204:D205"/>
    <mergeCell ref="E204:E205"/>
    <mergeCell ref="F204:F205"/>
    <mergeCell ref="G204:G205"/>
    <mergeCell ref="H204:H205"/>
    <mergeCell ref="I204:J204"/>
    <mergeCell ref="O215:O221"/>
    <mergeCell ref="B218:B219"/>
    <mergeCell ref="C218:C219"/>
    <mergeCell ref="D218:D219"/>
    <mergeCell ref="E218:E219"/>
    <mergeCell ref="K218:K219"/>
    <mergeCell ref="L218:M219"/>
    <mergeCell ref="D212:D213"/>
    <mergeCell ref="E212:E213"/>
    <mergeCell ref="K212:K213"/>
    <mergeCell ref="L212:M213"/>
    <mergeCell ref="L214:M214"/>
    <mergeCell ref="B215:B217"/>
    <mergeCell ref="C215:C217"/>
    <mergeCell ref="D215:D217"/>
    <mergeCell ref="E215:E217"/>
    <mergeCell ref="N206:N214"/>
    <mergeCell ref="O206:O214"/>
    <mergeCell ref="B209:B211"/>
    <mergeCell ref="C209:C211"/>
    <mergeCell ref="D209:D211"/>
    <mergeCell ref="E209:E211"/>
    <mergeCell ref="K209:K211"/>
    <mergeCell ref="L209:M211"/>
    <mergeCell ref="L220:M220"/>
    <mergeCell ref="L221:M221"/>
    <mergeCell ref="A222:C222"/>
    <mergeCell ref="E222:F222"/>
    <mergeCell ref="H222:K222"/>
    <mergeCell ref="L222:M222"/>
    <mergeCell ref="K215:K217"/>
    <mergeCell ref="L215:M217"/>
    <mergeCell ref="N215:N221"/>
    <mergeCell ref="A215:A221"/>
    <mergeCell ref="D229:L229"/>
    <mergeCell ref="A231:B231"/>
    <mergeCell ref="E231:F231"/>
    <mergeCell ref="G231:I231"/>
    <mergeCell ref="J231:K231"/>
    <mergeCell ref="A232:B232"/>
    <mergeCell ref="C232:D232"/>
    <mergeCell ref="A223:C223"/>
    <mergeCell ref="D223:F223"/>
    <mergeCell ref="D224:E224"/>
    <mergeCell ref="L224:N224"/>
    <mergeCell ref="L225:O225"/>
    <mergeCell ref="A226:E226"/>
    <mergeCell ref="A233:O233"/>
    <mergeCell ref="A234:G234"/>
    <mergeCell ref="A235:A237"/>
    <mergeCell ref="B235:E235"/>
    <mergeCell ref="F235:H235"/>
    <mergeCell ref="I235:O235"/>
    <mergeCell ref="B236:B237"/>
    <mergeCell ref="C236:C237"/>
    <mergeCell ref="D236:D237"/>
    <mergeCell ref="E236:E237"/>
    <mergeCell ref="L244:M245"/>
    <mergeCell ref="L246:M246"/>
    <mergeCell ref="F236:F237"/>
    <mergeCell ref="G236:G237"/>
    <mergeCell ref="H236:H237"/>
    <mergeCell ref="I236:J236"/>
    <mergeCell ref="K236:M236"/>
    <mergeCell ref="N236:O236"/>
    <mergeCell ref="L237:M237"/>
    <mergeCell ref="A238:A246"/>
    <mergeCell ref="A254:C254"/>
    <mergeCell ref="E254:F254"/>
    <mergeCell ref="H254:K254"/>
    <mergeCell ref="L254:M254"/>
    <mergeCell ref="L238:M240"/>
    <mergeCell ref="N238:N246"/>
    <mergeCell ref="O238:O246"/>
    <mergeCell ref="B241:B243"/>
    <mergeCell ref="C241:C243"/>
    <mergeCell ref="D241:D243"/>
    <mergeCell ref="E241:E243"/>
    <mergeCell ref="K241:K243"/>
    <mergeCell ref="L241:M243"/>
    <mergeCell ref="B244:B245"/>
    <mergeCell ref="B238:B240"/>
    <mergeCell ref="C238:C240"/>
    <mergeCell ref="D238:D240"/>
    <mergeCell ref="E238:E240"/>
    <mergeCell ref="K238:K240"/>
    <mergeCell ref="C244:C245"/>
    <mergeCell ref="D244:D245"/>
    <mergeCell ref="E244:E245"/>
    <mergeCell ref="K244:K245"/>
    <mergeCell ref="A255:C255"/>
    <mergeCell ref="D255:F255"/>
    <mergeCell ref="N247:N253"/>
    <mergeCell ref="O247:O253"/>
    <mergeCell ref="B250:B251"/>
    <mergeCell ref="C250:C251"/>
    <mergeCell ref="D250:D251"/>
    <mergeCell ref="E250:E251"/>
    <mergeCell ref="K250:K251"/>
    <mergeCell ref="L250:M251"/>
    <mergeCell ref="L252:M252"/>
    <mergeCell ref="L253:M253"/>
    <mergeCell ref="A247:A253"/>
    <mergeCell ref="B247:B249"/>
    <mergeCell ref="C247:C249"/>
    <mergeCell ref="D247:D249"/>
    <mergeCell ref="E247:E249"/>
    <mergeCell ref="K247:K249"/>
    <mergeCell ref="L247:M249"/>
    <mergeCell ref="D256:E256"/>
    <mergeCell ref="L256:N256"/>
    <mergeCell ref="L257:O257"/>
    <mergeCell ref="A258:E258"/>
    <mergeCell ref="D261:L261"/>
    <mergeCell ref="A263:B263"/>
    <mergeCell ref="E263:F263"/>
    <mergeCell ref="G263:I263"/>
    <mergeCell ref="J263:K263"/>
    <mergeCell ref="A264:B264"/>
    <mergeCell ref="C264:D264"/>
    <mergeCell ref="A265:O265"/>
    <mergeCell ref="A266:G266"/>
    <mergeCell ref="A267:A269"/>
    <mergeCell ref="B267:E267"/>
    <mergeCell ref="F267:H267"/>
    <mergeCell ref="I267:O267"/>
    <mergeCell ref="B268:B269"/>
    <mergeCell ref="C268:C269"/>
    <mergeCell ref="B276:B277"/>
    <mergeCell ref="C276:C277"/>
    <mergeCell ref="K268:M268"/>
    <mergeCell ref="N268:O268"/>
    <mergeCell ref="L269:M269"/>
    <mergeCell ref="A270:A278"/>
    <mergeCell ref="B270:B272"/>
    <mergeCell ref="C270:C272"/>
    <mergeCell ref="D270:D272"/>
    <mergeCell ref="E270:E272"/>
    <mergeCell ref="K270:K272"/>
    <mergeCell ref="L270:M272"/>
    <mergeCell ref="D268:D269"/>
    <mergeCell ref="E268:E269"/>
    <mergeCell ref="F268:F269"/>
    <mergeCell ref="G268:G269"/>
    <mergeCell ref="H268:H269"/>
    <mergeCell ref="I268:J268"/>
    <mergeCell ref="O279:O285"/>
    <mergeCell ref="B282:B283"/>
    <mergeCell ref="C282:C283"/>
    <mergeCell ref="D282:D283"/>
    <mergeCell ref="E282:E283"/>
    <mergeCell ref="K282:K283"/>
    <mergeCell ref="L282:M283"/>
    <mergeCell ref="D276:D277"/>
    <mergeCell ref="E276:E277"/>
    <mergeCell ref="K276:K277"/>
    <mergeCell ref="L276:M277"/>
    <mergeCell ref="L278:M278"/>
    <mergeCell ref="B279:B281"/>
    <mergeCell ref="C279:C281"/>
    <mergeCell ref="D279:D281"/>
    <mergeCell ref="E279:E281"/>
    <mergeCell ref="N270:N278"/>
    <mergeCell ref="O270:O278"/>
    <mergeCell ref="B273:B275"/>
    <mergeCell ref="C273:C275"/>
    <mergeCell ref="D273:D275"/>
    <mergeCell ref="E273:E275"/>
    <mergeCell ref="K273:K275"/>
    <mergeCell ref="L273:M275"/>
    <mergeCell ref="L284:M284"/>
    <mergeCell ref="L285:M285"/>
    <mergeCell ref="A286:C286"/>
    <mergeCell ref="E286:F286"/>
    <mergeCell ref="H286:K286"/>
    <mergeCell ref="L286:M286"/>
    <mergeCell ref="K279:K281"/>
    <mergeCell ref="L279:M281"/>
    <mergeCell ref="N279:N285"/>
    <mergeCell ref="A279:A285"/>
    <mergeCell ref="D293:L293"/>
    <mergeCell ref="A295:B295"/>
    <mergeCell ref="E295:F295"/>
    <mergeCell ref="G295:I295"/>
    <mergeCell ref="J295:K295"/>
    <mergeCell ref="A296:B296"/>
    <mergeCell ref="C296:D296"/>
    <mergeCell ref="A287:C287"/>
    <mergeCell ref="D287:F287"/>
    <mergeCell ref="D288:E288"/>
    <mergeCell ref="L288:N288"/>
    <mergeCell ref="L289:O289"/>
    <mergeCell ref="A290:E290"/>
    <mergeCell ref="N300:O300"/>
    <mergeCell ref="L301:M301"/>
    <mergeCell ref="A297:O297"/>
    <mergeCell ref="A298:G298"/>
    <mergeCell ref="A299:A301"/>
    <mergeCell ref="B299:E299"/>
    <mergeCell ref="F299:H299"/>
    <mergeCell ref="I299:O299"/>
    <mergeCell ref="B300:B301"/>
    <mergeCell ref="C300:C301"/>
    <mergeCell ref="D300:D301"/>
    <mergeCell ref="E300:E301"/>
    <mergeCell ref="K302:K304"/>
    <mergeCell ref="C308:C309"/>
    <mergeCell ref="D308:D309"/>
    <mergeCell ref="E308:E309"/>
    <mergeCell ref="K308:K309"/>
    <mergeCell ref="L308:M309"/>
    <mergeCell ref="L310:M310"/>
    <mergeCell ref="F300:F301"/>
    <mergeCell ref="G300:G301"/>
    <mergeCell ref="H300:H301"/>
    <mergeCell ref="I300:J300"/>
    <mergeCell ref="K300:M300"/>
    <mergeCell ref="A302:A310"/>
    <mergeCell ref="O311:O317"/>
    <mergeCell ref="B314:B315"/>
    <mergeCell ref="C314:C315"/>
    <mergeCell ref="D314:D315"/>
    <mergeCell ref="E314:E315"/>
    <mergeCell ref="K314:K315"/>
    <mergeCell ref="L314:M315"/>
    <mergeCell ref="L316:M316"/>
    <mergeCell ref="L317:M317"/>
    <mergeCell ref="L302:M304"/>
    <mergeCell ref="N302:N310"/>
    <mergeCell ref="O302:O310"/>
    <mergeCell ref="B305:B307"/>
    <mergeCell ref="C305:C307"/>
    <mergeCell ref="D305:D307"/>
    <mergeCell ref="E305:E307"/>
    <mergeCell ref="K305:K307"/>
    <mergeCell ref="L305:M307"/>
    <mergeCell ref="B308:B309"/>
    <mergeCell ref="B302:B304"/>
    <mergeCell ref="C302:C304"/>
    <mergeCell ref="D302:D304"/>
    <mergeCell ref="E302:E304"/>
    <mergeCell ref="D320:E320"/>
    <mergeCell ref="L320:N320"/>
    <mergeCell ref="A318:C318"/>
    <mergeCell ref="E318:F318"/>
    <mergeCell ref="H318:K318"/>
    <mergeCell ref="L318:M318"/>
    <mergeCell ref="A319:C319"/>
    <mergeCell ref="D319:F319"/>
    <mergeCell ref="N311:N317"/>
    <mergeCell ref="A311:A317"/>
    <mergeCell ref="B311:B313"/>
    <mergeCell ref="C311:C313"/>
    <mergeCell ref="D311:D313"/>
    <mergeCell ref="E311:E313"/>
    <mergeCell ref="K311:K313"/>
    <mergeCell ref="L311:M313"/>
  </mergeCells>
  <printOptions horizontalCentered="1"/>
  <pageMargins left="0" right="0" top="0" bottom="0" header="0" footer="0"/>
  <pageSetup paperSize="9" scale="74" orientation="landscape" r:id="rId1"/>
  <rowBreaks count="9" manualBreakCount="9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Commerce_session1</vt:lpstr>
      <vt:lpstr>RN_Sess1</vt:lpstr>
      <vt:lpstr>Commerce_session2</vt:lpstr>
      <vt:lpstr>RN_Sess2</vt:lpstr>
      <vt:lpstr>Commerce_session1!Zone_d_impression</vt:lpstr>
      <vt:lpstr>Commerce_session2!Zone_d_impression</vt:lpstr>
    </vt:vector>
  </TitlesOfParts>
  <Company>FSEG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TCLMD</dc:creator>
  <cp:lastModifiedBy>layouni</cp:lastModifiedBy>
  <cp:lastPrinted>2019-02-12T10:56:56Z</cp:lastPrinted>
  <dcterms:created xsi:type="dcterms:W3CDTF">2015-06-22T10:37:25Z</dcterms:created>
  <dcterms:modified xsi:type="dcterms:W3CDTF">2019-06-10T21:36:41Z</dcterms:modified>
</cp:coreProperties>
</file>