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550" windowHeight="5130" activeTab="8"/>
  </bookViews>
  <sheets>
    <sheet name="اعلان" sheetId="1" r:id="rId1"/>
    <sheet name="كشف النقاط" sheetId="2" r:id="rId2"/>
    <sheet name="مداولات 1" sheetId="3" r:id="rId3"/>
    <sheet name="استدراك 1" sheetId="4" r:id="rId4"/>
    <sheet name="مداولات 2" sheetId="5" r:id="rId5"/>
    <sheet name="استدراك 2" sheetId="6" r:id="rId6"/>
    <sheet name="نتيجة السنة" sheetId="7" r:id="rId7"/>
    <sheet name="relevé" sheetId="8" r:id="rId8"/>
    <sheet name="دورة1 دورة2" sheetId="9" r:id="rId9"/>
    <sheet name="نجاح" sheetId="10" r:id="rId10"/>
    <sheet name="anex" sheetId="11" r:id="rId11"/>
    <sheet name="classement" sheetId="12" r:id="rId12"/>
    <sheet name="شهادة الترتيب" sheetId="13" r:id="rId13"/>
    <sheet name="soutenance" sheetId="14" r:id="rId14"/>
    <sheet name="دبلوم" sheetId="15" r:id="rId15"/>
  </sheets>
  <definedNames>
    <definedName name="_xlnm.Print_Area" localSheetId="10">'anex'!$A$1:$AF$51</definedName>
    <definedName name="_xlnm.Print_Area" localSheetId="7">'relevé'!$A$1:$Y$847</definedName>
    <definedName name="_xlnm.Print_Area" localSheetId="13">'soutenance'!$A$1:$W$47</definedName>
    <definedName name="_xlnm.Print_Area" localSheetId="3">'استدراك 1'!$A$1:$AD$47</definedName>
    <definedName name="_xlnm.Print_Area" localSheetId="5">'استدراك 2'!$A$1:$AD$49</definedName>
    <definedName name="_xlnm.Print_Area" localSheetId="0">'اعلان'!$A$1:$O$217</definedName>
    <definedName name="_xlnm.Print_Area" localSheetId="12">'شهادة الترتيب'!$A$1:$N$64</definedName>
    <definedName name="_xlnm.Print_Area" localSheetId="1">'كشف النقاط'!$A$1:$S$396</definedName>
    <definedName name="_xlnm.Print_Area" localSheetId="2">'مداولات 1'!$A$1:$AD$53</definedName>
    <definedName name="_xlnm.Print_Area" localSheetId="4">'مداولات 2'!$A$1:$N$54</definedName>
    <definedName name="_xlnm.Print_Area" localSheetId="6">'نتيجة السنة'!$A$1:$Y$82</definedName>
    <definedName name="_xlnm.Print_Area" localSheetId="9">'نجاح'!$A$1:$U$190</definedName>
  </definedNames>
  <calcPr fullCalcOnLoad="1"/>
</workbook>
</file>

<file path=xl/sharedStrings.xml><?xml version="1.0" encoding="utf-8"?>
<sst xmlns="http://schemas.openxmlformats.org/spreadsheetml/2006/main" count="4572" uniqueCount="565">
  <si>
    <t>جامعة باجي مختار عنــابة</t>
  </si>
  <si>
    <t>السنة الجامعية :</t>
  </si>
  <si>
    <t>كلية العلوم الاقتصادية و علوم التسيير</t>
  </si>
  <si>
    <t>المقياس :</t>
  </si>
  <si>
    <t>قسم العلوم الاقتصادية</t>
  </si>
  <si>
    <t>المعامل :</t>
  </si>
  <si>
    <t>الاستاذ :</t>
  </si>
  <si>
    <t>الفوج :</t>
  </si>
  <si>
    <t>كشف النقــاط</t>
  </si>
  <si>
    <t>الرقم</t>
  </si>
  <si>
    <t>التطبيق</t>
  </si>
  <si>
    <t>المعدل1</t>
  </si>
  <si>
    <t>المعدل2</t>
  </si>
  <si>
    <t>الاستدراك</t>
  </si>
  <si>
    <t>الانقاذ</t>
  </si>
  <si>
    <t>المعدل النهائي</t>
  </si>
  <si>
    <t>المعدل بالمعامل</t>
  </si>
  <si>
    <t>الامتحان</t>
  </si>
  <si>
    <t>امضاء الاستاذ</t>
  </si>
  <si>
    <t>جامعة باجي مختار عنابة</t>
  </si>
  <si>
    <t xml:space="preserve">كلية العلوم الاقتصادية والتسيير </t>
  </si>
  <si>
    <t>رئيس اللجنة: ..................</t>
  </si>
  <si>
    <t>معدل</t>
  </si>
  <si>
    <t>المعدل</t>
  </si>
  <si>
    <t>ملاحظة</t>
  </si>
  <si>
    <t>السداسي</t>
  </si>
  <si>
    <t>رصيد</t>
  </si>
  <si>
    <t>الدورة الاولى</t>
  </si>
  <si>
    <t xml:space="preserve">تاريخ المداولات: </t>
  </si>
  <si>
    <t>رئيس القسم</t>
  </si>
  <si>
    <t>د1</t>
  </si>
  <si>
    <t>د2</t>
  </si>
  <si>
    <t>كشف نقاط السداسي السادس</t>
  </si>
  <si>
    <t>الفوج 1</t>
  </si>
  <si>
    <t>رقم</t>
  </si>
  <si>
    <t xml:space="preserve">الدورة </t>
  </si>
  <si>
    <r>
      <t xml:space="preserve">كشف نقــــاط  </t>
    </r>
    <r>
      <rPr>
        <b/>
        <u val="single"/>
        <sz val="14"/>
        <rFont val="Arial"/>
        <family val="2"/>
      </rPr>
      <t>الامتحان</t>
    </r>
  </si>
  <si>
    <t xml:space="preserve">      وحـــــدة استكشافيـة</t>
  </si>
  <si>
    <t xml:space="preserve">               وحــــــدة منهجية</t>
  </si>
  <si>
    <t>الرصيد</t>
  </si>
  <si>
    <t>الوحدة الاساسية</t>
  </si>
  <si>
    <t>الوحدة الاستكشافية</t>
  </si>
  <si>
    <t>الوحدة المنهجية</t>
  </si>
  <si>
    <t>نتيجة السداسي</t>
  </si>
  <si>
    <t>نتيجة السنة</t>
  </si>
  <si>
    <t>الجمهــورية الجزائــريــة الديمقراطيـــة الشعبيـــة</t>
  </si>
  <si>
    <t>وزارة التعليم العالي والبحث العلمي</t>
  </si>
  <si>
    <t xml:space="preserve">  المؤسسة :</t>
  </si>
  <si>
    <t xml:space="preserve">  الكليــــــة :</t>
  </si>
  <si>
    <t>العلوم الإقتصادية و علوم التسيير</t>
  </si>
  <si>
    <t xml:space="preserve">  القســــــم :</t>
  </si>
  <si>
    <t xml:space="preserve">العلوم الإقتصادية  </t>
  </si>
  <si>
    <t xml:space="preserve">تاريخ و مكان الإزدياد : </t>
  </si>
  <si>
    <t xml:space="preserve">بـــ : </t>
  </si>
  <si>
    <t>ولاية:</t>
  </si>
  <si>
    <t>الميدان:</t>
  </si>
  <si>
    <t>العلوم الإقتصادية و العلوم التسيير والعلوم التجارية</t>
  </si>
  <si>
    <t>الفرع : العلوم الإقتصادية</t>
  </si>
  <si>
    <t>الشهادة المحضرة :</t>
  </si>
  <si>
    <t>وحدة التعليم</t>
  </si>
  <si>
    <t>إسم المواد المشكلة للوحدة التعليمية</t>
  </si>
  <si>
    <t>النتائـــج  المحصلــــة</t>
  </si>
  <si>
    <t>طبيعة</t>
  </si>
  <si>
    <t>الرمز و العنوان</t>
  </si>
  <si>
    <t xml:space="preserve">الرصيد </t>
  </si>
  <si>
    <t>المعامل</t>
  </si>
  <si>
    <t>العنوان</t>
  </si>
  <si>
    <t>المواد</t>
  </si>
  <si>
    <t>الوحدة التعليمية</t>
  </si>
  <si>
    <t>المطلوب</t>
  </si>
  <si>
    <t>العلامة</t>
  </si>
  <si>
    <t>الدورة</t>
  </si>
  <si>
    <t>إجمالــي الأرصــدة المحصلــة خــلال المســار:</t>
  </si>
  <si>
    <t>إجمالــي الأرصــدة المطلوبة خــلال المســار:</t>
  </si>
  <si>
    <t>محرر الوثيقة:</t>
  </si>
  <si>
    <t>كشف نقــــاط  التطبيق</t>
  </si>
  <si>
    <t>كشف نقــــاط  الاستدراك</t>
  </si>
  <si>
    <r>
      <t xml:space="preserve">كشف نقــــاط  </t>
    </r>
    <r>
      <rPr>
        <b/>
        <u val="single"/>
        <sz val="14"/>
        <rFont val="Arial"/>
        <family val="2"/>
      </rPr>
      <t>الامتحان الاستدراكي</t>
    </r>
  </si>
  <si>
    <t>كشف نقــــاط  الامتحان</t>
  </si>
  <si>
    <t>الدورة الثانية</t>
  </si>
  <si>
    <t>مج الارصدة</t>
  </si>
  <si>
    <t>معامل</t>
  </si>
  <si>
    <t xml:space="preserve">                        وحـــــــــــــــــدة أساـسيــة</t>
  </si>
  <si>
    <t xml:space="preserve">                         وحـــــــــــــــــدات أساـسيــة</t>
  </si>
  <si>
    <t>وضعية</t>
  </si>
  <si>
    <t>أستاذ التطبيق:</t>
  </si>
  <si>
    <t>الرصيد:</t>
  </si>
  <si>
    <t>المالية الدولية</t>
  </si>
  <si>
    <t>كلي مفتوح 1</t>
  </si>
  <si>
    <t>كمية</t>
  </si>
  <si>
    <t>وحدة أفقية</t>
  </si>
  <si>
    <t>الوحدة الإفقية</t>
  </si>
  <si>
    <t>السنة</t>
  </si>
  <si>
    <t>سنة</t>
  </si>
  <si>
    <t>دورة الوحدة</t>
  </si>
  <si>
    <t>سنة الوحدة</t>
  </si>
  <si>
    <t>دورة</t>
  </si>
  <si>
    <t>إقتصاد دولي</t>
  </si>
  <si>
    <t>التخصص:</t>
  </si>
  <si>
    <t>كــــــــشف النقـــــــــــــاط</t>
  </si>
  <si>
    <t>أرصدة</t>
  </si>
  <si>
    <t>رقم التسجيل</t>
  </si>
  <si>
    <t>تاريخ الميلاد</t>
  </si>
  <si>
    <t>بلدية الميلاد</t>
  </si>
  <si>
    <t>ولاية الميلاد</t>
  </si>
  <si>
    <t>f</t>
  </si>
  <si>
    <t>الرتبة</t>
  </si>
  <si>
    <t>e</t>
  </si>
  <si>
    <t>d</t>
  </si>
  <si>
    <t>a</t>
  </si>
  <si>
    <t>b</t>
  </si>
  <si>
    <t>c</t>
  </si>
  <si>
    <t>r</t>
  </si>
  <si>
    <t>السداسي 2</t>
  </si>
  <si>
    <t>السداسي 1</t>
  </si>
  <si>
    <t>محضر مداولات السداسي الأول</t>
  </si>
  <si>
    <t>محضر مداولات السداسي الثاني</t>
  </si>
  <si>
    <t>الدورة 1+2</t>
  </si>
  <si>
    <t>محضر مداولات السنة أولى ماستر</t>
  </si>
  <si>
    <t>أمينة نغموشي</t>
  </si>
  <si>
    <t>عـــنابه  فــي:</t>
  </si>
  <si>
    <t>القـــــــــــــرار:</t>
  </si>
  <si>
    <t>أساسية</t>
  </si>
  <si>
    <t>منهجية</t>
  </si>
  <si>
    <t>إستكشافية</t>
  </si>
  <si>
    <t>أفقية</t>
  </si>
  <si>
    <t>و،ت ، أ</t>
  </si>
  <si>
    <t>و،ت،م</t>
  </si>
  <si>
    <t>و .ت . إ</t>
  </si>
  <si>
    <t>و،ت،أف</t>
  </si>
  <si>
    <t>j</t>
  </si>
  <si>
    <t>g</t>
  </si>
  <si>
    <t>h</t>
  </si>
  <si>
    <t>i</t>
  </si>
  <si>
    <t>q</t>
  </si>
  <si>
    <t>l</t>
  </si>
  <si>
    <t>m</t>
  </si>
  <si>
    <t>n</t>
  </si>
  <si>
    <t>o</t>
  </si>
  <si>
    <t>p</t>
  </si>
  <si>
    <t>k</t>
  </si>
  <si>
    <t>s</t>
  </si>
  <si>
    <t>t</t>
  </si>
  <si>
    <t>y</t>
  </si>
  <si>
    <t>اللقب</t>
  </si>
  <si>
    <t xml:space="preserve"> الإسم</t>
  </si>
  <si>
    <t>الإسم :</t>
  </si>
  <si>
    <t>اللـــــقــــب :</t>
  </si>
  <si>
    <t>السنـة الجامعيــة :</t>
  </si>
  <si>
    <t>رقــــم التــسجيـل :</t>
  </si>
  <si>
    <t>المعدل السنوي:</t>
  </si>
  <si>
    <t>u</t>
  </si>
  <si>
    <t>v</t>
  </si>
  <si>
    <t>w</t>
  </si>
  <si>
    <t>x</t>
  </si>
  <si>
    <t>z</t>
  </si>
  <si>
    <t>aa</t>
  </si>
  <si>
    <t>bb</t>
  </si>
  <si>
    <t>cc</t>
  </si>
  <si>
    <t>dd</t>
  </si>
  <si>
    <t>ee</t>
  </si>
  <si>
    <t>ff</t>
  </si>
  <si>
    <t>gg</t>
  </si>
  <si>
    <t xml:space="preserve">اللقب </t>
  </si>
  <si>
    <t>الإسم</t>
  </si>
  <si>
    <t>الدورة 1</t>
  </si>
  <si>
    <t xml:space="preserve">                        وحـــــــــــــــــدة أساسيــة</t>
  </si>
  <si>
    <t>hh</t>
  </si>
  <si>
    <t>سداسي 1</t>
  </si>
  <si>
    <t>سداسي 2</t>
  </si>
  <si>
    <t xml:space="preserve"> الوحدة الأساسية</t>
  </si>
  <si>
    <t xml:space="preserve">      الوحدة االمنهجية</t>
  </si>
  <si>
    <t>الوحدة الافقية</t>
  </si>
  <si>
    <t>معدل السداسي</t>
  </si>
  <si>
    <t>رتبة</t>
  </si>
  <si>
    <t>جامعة باجي مختار- عنابة</t>
  </si>
  <si>
    <t xml:space="preserve">             شهـــــــــادة  نجـــــــــاح  </t>
  </si>
  <si>
    <t xml:space="preserve">    يشهد رئيس قسم العلوم الإقتصادية بأن :</t>
  </si>
  <si>
    <t>الطالب (ة):</t>
  </si>
  <si>
    <t>رقم التسجيل:</t>
  </si>
  <si>
    <t>المولــــود (ة) بتاريخ:</t>
  </si>
  <si>
    <t>بـ:</t>
  </si>
  <si>
    <t>في الدورة :</t>
  </si>
  <si>
    <t>الأولى،</t>
  </si>
  <si>
    <t>عنابة في: 29/09/2015</t>
  </si>
  <si>
    <t xml:space="preserve">تنبيه :تسلم نسخة واحدة فقط، وعلى المعني بالامر استخراج صور </t>
  </si>
  <si>
    <t xml:space="preserve">            شهـــــــــادة  نجـــــــــاح  </t>
  </si>
  <si>
    <t>الثانية،</t>
  </si>
  <si>
    <t xml:space="preserve">             شهــــادة نجــــاح بالتــــأخير </t>
  </si>
  <si>
    <t xml:space="preserve">          شهــــــادة رسوب</t>
  </si>
  <si>
    <t>أجنبية</t>
  </si>
  <si>
    <t>لغة أجنبية</t>
  </si>
  <si>
    <t>الإندماج الإقتصادي الدولي</t>
  </si>
  <si>
    <t>السداسي الأول</t>
  </si>
  <si>
    <t>السداسي الثاني</t>
  </si>
  <si>
    <t>السداسي الاول</t>
  </si>
  <si>
    <t>2017-2018</t>
  </si>
  <si>
    <t>2018/2017</t>
  </si>
  <si>
    <t>الدورة الثانية 2017/2018</t>
  </si>
  <si>
    <t>2017/2018</t>
  </si>
  <si>
    <t>ماستر: (أكـــاديمية)</t>
  </si>
  <si>
    <t>2018-2017</t>
  </si>
  <si>
    <t>للسنة الجامعية: 2017/2018</t>
  </si>
  <si>
    <t>الثانية</t>
  </si>
  <si>
    <t>شمس الدين</t>
  </si>
  <si>
    <t>إستشراف الإقتصاد الدولي</t>
  </si>
  <si>
    <t>التحكيم التجاري الدولي</t>
  </si>
  <si>
    <t>منظمات ومؤشرات التصنيف الإقتصادي الدولي</t>
  </si>
  <si>
    <t>الإقتصاد الدولي والتنمية</t>
  </si>
  <si>
    <t>منهجية البحث العلمي</t>
  </si>
  <si>
    <t>ثلايجية</t>
  </si>
  <si>
    <t>تقنيات التفاوض الدولي</t>
  </si>
  <si>
    <t>حناشي</t>
  </si>
  <si>
    <t>المذكرة</t>
  </si>
  <si>
    <t>وحـــــدة أســـاسيــة</t>
  </si>
  <si>
    <t>شهـــادة ترتيــب</t>
  </si>
  <si>
    <t>الرقم:</t>
  </si>
  <si>
    <t>يشهد رئيس قسم العلوم الاقتصادية بأن:</t>
  </si>
  <si>
    <t>المولود (ة) بتاريخ:</t>
  </si>
  <si>
    <t xml:space="preserve">قد تحصل (ت) على الترتيب: </t>
  </si>
  <si>
    <t xml:space="preserve">من ضمــن دفعـــة تتكون من: </t>
  </si>
  <si>
    <t>طالب</t>
  </si>
  <si>
    <t xml:space="preserve">تخصص: </t>
  </si>
  <si>
    <t>السنة الثانية ماستر</t>
  </si>
  <si>
    <t xml:space="preserve">بمعدل ترتيب: </t>
  </si>
  <si>
    <t>التقييـم الدولـي المناسب</t>
  </si>
  <si>
    <t>ومعـدل عام لسداسيات الدراســة الاربعــة:</t>
  </si>
  <si>
    <t>عنابة في:</t>
  </si>
  <si>
    <t>تنبيه:</t>
  </si>
  <si>
    <t>تسلم نسخة واحدة فقط، وعلى المعني بالامر استخراج الصور والمصادقة عليها</t>
  </si>
  <si>
    <t>جامعة باجي مختار –عنابه</t>
  </si>
  <si>
    <t>Université Badji Mokhtar-Annaba</t>
  </si>
  <si>
    <t xml:space="preserve">كلية العلوم الإقتصادية والتسيير  </t>
  </si>
  <si>
    <t>Faculté des sciences économiques et gestions</t>
  </si>
  <si>
    <t>قسم العلوم الإقتصادية</t>
  </si>
  <si>
    <t>Département des sciences économiques</t>
  </si>
  <si>
    <t>الشعبة:العلوم الإقتصادية</t>
  </si>
  <si>
    <t xml:space="preserve">                  الميدان:العلوم الإقتصادية العلوم التجارية</t>
  </si>
  <si>
    <t xml:space="preserve">              </t>
  </si>
  <si>
    <t xml:space="preserve">            </t>
  </si>
  <si>
    <t xml:space="preserve">                                    محضر مناقشة مذكرة ماستر</t>
  </si>
  <si>
    <t xml:space="preserve">  بطاقة تقييم فردية خاصة بمناقشة مذكرة ماستر</t>
  </si>
  <si>
    <t>والخاصة بالطالب(ة):</t>
  </si>
  <si>
    <t xml:space="preserve"> رقم التسجيل:</t>
  </si>
  <si>
    <r>
      <t xml:space="preserve">المولود(ة)  بتاريخ </t>
    </r>
    <r>
      <rPr>
        <b/>
        <sz val="11"/>
        <rFont val="Arial"/>
        <family val="2"/>
      </rPr>
      <t>:</t>
    </r>
  </si>
  <si>
    <t>وبحضور كل من الأساتذة المحترمين للمناقشة العلنية لمذكرة ماستر :</t>
  </si>
  <si>
    <t xml:space="preserve">                             الإنطبــــــــــــــــــاعـــــــــــــــــات</t>
  </si>
  <si>
    <t xml:space="preserve">   العــــــــــــــلامــــــة</t>
  </si>
  <si>
    <t>التقديم العام:</t>
  </si>
  <si>
    <t>06/....</t>
  </si>
  <si>
    <t>الصفحة الخارجية ،خطة المذكرة ،عدد الصفحات</t>
  </si>
  <si>
    <t>1/...</t>
  </si>
  <si>
    <t>التصميم</t>
  </si>
  <si>
    <t>المراجع</t>
  </si>
  <si>
    <t>2/...</t>
  </si>
  <si>
    <t>الشكل  (الأخطاء ،اللغة ،....................)</t>
  </si>
  <si>
    <t>والموسومة بالعنوان التالي:</t>
  </si>
  <si>
    <t xml:space="preserve">  المضمون:</t>
  </si>
  <si>
    <t>08/...</t>
  </si>
  <si>
    <t>المقدمة (الإشكالية وأهمية الموضوع)</t>
  </si>
  <si>
    <t>المنهجية (تجربة وعمل ميداني)</t>
  </si>
  <si>
    <t>التقديم وتحليل النتائج</t>
  </si>
  <si>
    <t>المناقشة (أدوات المقارنة والمراجع المتخصصة)</t>
  </si>
  <si>
    <t xml:space="preserve">  عــــــــــــلامة  المـــــــذكرة</t>
  </si>
  <si>
    <t>14/.....</t>
  </si>
  <si>
    <r>
      <t xml:space="preserve">     </t>
    </r>
    <r>
      <rPr>
        <b/>
        <u val="single"/>
        <sz val="12"/>
        <rFont val="Arial"/>
        <family val="2"/>
      </rPr>
      <t xml:space="preserve"> العرض الشفاهي:</t>
    </r>
  </si>
  <si>
    <t>نوعية التقارير (التحكم بالوسائل البيداغوجية)</t>
  </si>
  <si>
    <t>مدى إتقان اللغة في إطار الموضوع ،التعبير الشفاهي (التحكم في اللغة المستعملة)</t>
  </si>
  <si>
    <r>
      <t>وبعد المداولات، قررت لجنة المداولات:</t>
    </r>
    <r>
      <rPr>
        <b/>
        <sz val="14"/>
        <rFont val="Calibri"/>
        <family val="2"/>
      </rPr>
      <t xml:space="preserve"> </t>
    </r>
    <r>
      <rPr>
        <b/>
        <sz val="14"/>
        <rFont val="Arial"/>
        <family val="2"/>
      </rPr>
      <t xml:space="preserve">   </t>
    </r>
  </si>
  <si>
    <t>تصرفات الطالب(ة) (تقبل الإنتقادات ،الإصغاء للأسئلة ،الإصغاء للنصائح الأساتذة.........)</t>
  </si>
  <si>
    <t>إحترام التوقيت المخصص لتقديم العمل (من..........إلى...............)</t>
  </si>
  <si>
    <t>مشاركة الطالب(ة) مدى قدرة الغجابة على الأسئلة المطروحة)</t>
  </si>
  <si>
    <t xml:space="preserve">   عــــــــــــلامة  العـــــــــــرض</t>
  </si>
  <si>
    <t>06/...</t>
  </si>
  <si>
    <t>رئيس(ة) لجنة المداولات                                                                  رئيس(ة) القسم</t>
  </si>
  <si>
    <t xml:space="preserve">      العــــــــــــــلامـــــــــــــة</t>
  </si>
  <si>
    <t>20/.....</t>
  </si>
  <si>
    <t xml:space="preserve">                                        كلية العلوم الإقتصادية وعلوم التسيير ،مجمع بن باديس ،سيدي عاشور -عنابه 23000-الجزائر</t>
  </si>
  <si>
    <t xml:space="preserve">                                            كلية العلوم الإقتصادية وعلوم التسيير ،مجمع بن باديس ،سيدي عاشور -عنابه 23000-الجزائر</t>
  </si>
  <si>
    <t xml:space="preserve">     Faculté des sciences Economique et sciences de Gestion ,complexe Ibn Badis Sidi Achour,Annaba 23000,Algérie</t>
  </si>
  <si>
    <t xml:space="preserve">      Faculté des sciences Economique et sciences de Gestion ,complexe Ibn Badis Sidi Achour,Annaba 23000,Algérie</t>
  </si>
  <si>
    <t xml:space="preserve">     فاكس/هاتف : 038 55 26 94</t>
  </si>
  <si>
    <t xml:space="preserve">       Tel/Fax: (213) 038 55 26 94</t>
  </si>
  <si>
    <t xml:space="preserve">  فاكس/هاتف : 038 55 26 94</t>
  </si>
  <si>
    <t xml:space="preserve">  Tel/Fax: (213) 038 55 26 94</t>
  </si>
  <si>
    <t>الجمهورية الجزائرية الديمقراطية الشعبية</t>
  </si>
  <si>
    <t xml:space="preserve">هوية حامل الشهادة: </t>
  </si>
  <si>
    <t>جامعة باجي مختار ـ عنابة</t>
  </si>
  <si>
    <t>4ـ2</t>
  </si>
  <si>
    <t>البرنامج البيداغوجي:</t>
  </si>
  <si>
    <t xml:space="preserve">          الملحق الوصفي لشهادة الماستر</t>
  </si>
  <si>
    <t>ملاحظة: توجد المعطيات الاتية في كشف النقاط المحصل عليها من طرف الطالب</t>
  </si>
  <si>
    <t xml:space="preserve">معدل الترتيب :  </t>
  </si>
  <si>
    <t xml:space="preserve">       يقدم هذا الملحق الوصفي للشهادة معلومات كاملة حول التعليم الذي تابعه الطالب للحصول على درجة جامعية بحيث يتضمن هذا الملحق مقروئية أفضل للمعارف المكتسبة خلال التكوين، بحيث يسهل للطالب حركيته الوطنية والدولية، لدى فهو خال من كل حكم قيمي او تصريح بمعادلة.</t>
  </si>
  <si>
    <t>الرمز</t>
  </si>
  <si>
    <t>عنوان الوحدة التعليمية</t>
  </si>
  <si>
    <t>الارصدة</t>
  </si>
  <si>
    <t>الرتبة (*)</t>
  </si>
  <si>
    <t>تاريخ الحصول</t>
  </si>
  <si>
    <t>التقييم الداخلي</t>
  </si>
  <si>
    <t>التقييم الدولي المناسب</t>
  </si>
  <si>
    <t>التعداد المطلق</t>
  </si>
  <si>
    <t>التعداد حسب النسبة المئوية</t>
  </si>
  <si>
    <t>A</t>
  </si>
  <si>
    <t>الاوائل</t>
  </si>
  <si>
    <t>1ـ</t>
  </si>
  <si>
    <t>هوية حامل الشهادة:</t>
  </si>
  <si>
    <t>UF1</t>
  </si>
  <si>
    <t>الوحدة الاساسية 1</t>
  </si>
  <si>
    <t>UF2</t>
  </si>
  <si>
    <t>الوحدة الاساسية 2</t>
  </si>
  <si>
    <t>B</t>
  </si>
  <si>
    <t>المواليين</t>
  </si>
  <si>
    <t>اللـــــــــــــــــقب:</t>
  </si>
  <si>
    <t>UD1</t>
  </si>
  <si>
    <t>الوحدة الاستكشافية 1</t>
  </si>
  <si>
    <t>UD2</t>
  </si>
  <si>
    <t>الوحدة الاستكشافية 2</t>
  </si>
  <si>
    <t>C</t>
  </si>
  <si>
    <t>الاســــــــــــــــــم:</t>
  </si>
  <si>
    <t>UT1</t>
  </si>
  <si>
    <t>الوحدة الافقية 1</t>
  </si>
  <si>
    <t>UT2</t>
  </si>
  <si>
    <t>الوحدة الافقية 2</t>
  </si>
  <si>
    <t>D</t>
  </si>
  <si>
    <t>تاريخ ومكان الازدياد:</t>
  </si>
  <si>
    <t>UM2</t>
  </si>
  <si>
    <t>الوحدة المنهجية 2</t>
  </si>
  <si>
    <t>E</t>
  </si>
  <si>
    <t>رقــــم التسجيـــــل:</t>
  </si>
  <si>
    <t xml:space="preserve">معدل السداسي: </t>
  </si>
  <si>
    <t>معدل الترتيب تم حسابه وفق القانون رقم 714 الؤرخ في 03 نوفمبر 2011 والذي نص على المعادلة التالية :</t>
  </si>
  <si>
    <t>2ـ</t>
  </si>
  <si>
    <t>معلومات حول الشهادة:</t>
  </si>
  <si>
    <t>رصيد السداسي:</t>
  </si>
  <si>
    <t xml:space="preserve"> MC = MSE(1-a*((r +d)/2+( s/4)))</t>
  </si>
  <si>
    <t>2ـ1</t>
  </si>
  <si>
    <t>عنوان الشهادة:</t>
  </si>
  <si>
    <t>ماستتير أكاديمية</t>
  </si>
  <si>
    <t>قرار لجنة المداولات:</t>
  </si>
  <si>
    <t>ناجح (ة)</t>
  </si>
  <si>
    <t>العلوم الاقتصادية و ع. التسيير و ع . التجارية</t>
  </si>
  <si>
    <t>4ـ4</t>
  </si>
  <si>
    <t>أهم ميادين الكفاءات التي تغطيها الشهادة:</t>
  </si>
  <si>
    <t>الشعبة:</t>
  </si>
  <si>
    <t>علوم اقتصادية</t>
  </si>
  <si>
    <t>السداسي الثالث</t>
  </si>
  <si>
    <t>السداسي الرابع</t>
  </si>
  <si>
    <t>UF3</t>
  </si>
  <si>
    <t>الوحدة الاساسية 3</t>
  </si>
  <si>
    <t>UF4</t>
  </si>
  <si>
    <t>الوحدة الاساسية 4</t>
  </si>
  <si>
    <t>ـ تكوين إطارات عليا في الميدان المصرفي، المالي والتأمين</t>
  </si>
  <si>
    <t>قرار الفتح:</t>
  </si>
  <si>
    <t xml:space="preserve">رقم 566 لمؤرخ بـ 04/09/2011 </t>
  </si>
  <si>
    <t>UD3</t>
  </si>
  <si>
    <t>الوحدة الاستكشافية 3</t>
  </si>
  <si>
    <t>ـ مشاريع البحث حول مفهوم الخطر وكيفية تسييره</t>
  </si>
  <si>
    <t>UT3</t>
  </si>
  <si>
    <t>الوحدة الافقية 3</t>
  </si>
  <si>
    <t xml:space="preserve">2ـ2 </t>
  </si>
  <si>
    <t>المؤسسة المانحة للشهادة:</t>
  </si>
  <si>
    <t>UM3</t>
  </si>
  <si>
    <t>الوحدة المنهجية 3</t>
  </si>
  <si>
    <t>5ـ</t>
  </si>
  <si>
    <t>معلومات حول وظيفة الشهادة:</t>
  </si>
  <si>
    <t>التسمية: جامعة باجي مختار عنابة   كلية العلوم الاقتصادية وعلوم التسيير   قسم العلوم الاقتصادية</t>
  </si>
  <si>
    <t>5ـ1</t>
  </si>
  <si>
    <r>
      <t xml:space="preserve">الالتحاق بمستوى عال: يمكن لحامل شهادة الماسترالالتحاق في </t>
    </r>
    <r>
      <rPr>
        <b/>
        <sz val="10"/>
        <rFont val="Arial"/>
        <family val="2"/>
      </rPr>
      <t>التكوين</t>
    </r>
    <r>
      <rPr>
        <b/>
        <sz val="11"/>
        <rFont val="Arial"/>
        <family val="2"/>
      </rPr>
      <t xml:space="preserve"> في الدكتوراه حسب عدد </t>
    </r>
    <r>
      <rPr>
        <b/>
        <sz val="10"/>
        <rFont val="Arial"/>
        <family val="2"/>
      </rPr>
      <t>المناصب</t>
    </r>
    <r>
      <rPr>
        <b/>
        <sz val="11"/>
        <rFont val="Arial"/>
        <family val="2"/>
      </rPr>
      <t xml:space="preserve"> </t>
    </r>
    <r>
      <rPr>
        <b/>
        <sz val="10"/>
        <rFont val="Arial"/>
        <family val="2"/>
      </rPr>
      <t>البيداغوجية</t>
    </r>
    <r>
      <rPr>
        <b/>
        <sz val="11"/>
        <rFont val="Arial"/>
        <family val="2"/>
      </rPr>
      <t xml:space="preserve"> المفتوحة</t>
    </r>
  </si>
  <si>
    <t>الطبيعة القانونية:</t>
  </si>
  <si>
    <t>مؤسسة عمومية</t>
  </si>
  <si>
    <t>5ـ2</t>
  </si>
  <si>
    <t xml:space="preserve">المكانة المهنية الممنوحة: بعد الحصول على شهادة الماستر يمكن الالتحاق بمناصب شغل لدى الوظيف العمومي أو القطاع </t>
  </si>
  <si>
    <t>العنوان:  مجمع بن باديس سيدي عاشور عنابة</t>
  </si>
  <si>
    <t>الخاص .</t>
  </si>
  <si>
    <t>الهاتف:82 59 51 038   الفاكس: 82 59 51 038    موقع الواب:  www.univ-annaba.org</t>
  </si>
  <si>
    <t>6ـ</t>
  </si>
  <si>
    <t>المصادقة علي الملحق الوصفي:</t>
  </si>
  <si>
    <t>2ـ3</t>
  </si>
  <si>
    <t>اللغات المستعملة في التكوين:</t>
  </si>
  <si>
    <t>اللغة الرئيسية:  العربية                       اللغات الثانوية: الفرنسية، الانجليزية</t>
  </si>
  <si>
    <t>معدل المسار:</t>
  </si>
  <si>
    <t>3ـ</t>
  </si>
  <si>
    <t>معلومات خاصة بمستوى الشهادة:</t>
  </si>
  <si>
    <t>صفة الممضي: رئيس قسم العلوم الاقتصادية</t>
  </si>
  <si>
    <t>3ـ1</t>
  </si>
  <si>
    <t>شروط الالتحاق: شهادة الليسانس في العلوم الاقتصادية تخصص: بنك مالية وتامينات و ليسانس إقتصاد تطبيقي و</t>
  </si>
  <si>
    <t>الرتبـة:</t>
  </si>
  <si>
    <r>
      <t>a</t>
    </r>
    <r>
      <rPr>
        <b/>
        <u val="single"/>
        <sz val="11"/>
        <rFont val="Arial"/>
        <family val="2"/>
      </rPr>
      <t>&gt;</t>
    </r>
    <r>
      <rPr>
        <b/>
        <sz val="11"/>
        <rFont val="Arial"/>
        <family val="2"/>
      </rPr>
      <t>18</t>
    </r>
  </si>
  <si>
    <r>
      <t>20</t>
    </r>
    <r>
      <rPr>
        <b/>
        <u val="single"/>
        <sz val="11"/>
        <rFont val="Arial"/>
        <family val="2"/>
      </rPr>
      <t>&gt;</t>
    </r>
  </si>
  <si>
    <t xml:space="preserve"> ليسانس إقتصاد بيئة</t>
  </si>
  <si>
    <r>
      <t>b</t>
    </r>
    <r>
      <rPr>
        <b/>
        <u val="single"/>
        <sz val="11"/>
        <rFont val="Arial"/>
        <family val="2"/>
      </rPr>
      <t>&gt;</t>
    </r>
    <r>
      <rPr>
        <b/>
        <sz val="11"/>
        <rFont val="Arial"/>
        <family val="2"/>
      </rPr>
      <t>16</t>
    </r>
  </si>
  <si>
    <t>18&gt;</t>
  </si>
  <si>
    <t>التاريخ:</t>
  </si>
  <si>
    <t>3ـ2</t>
  </si>
  <si>
    <t>مستوى الشهادة: باكالوريا + 05 سنوات</t>
  </si>
  <si>
    <r>
      <t>c</t>
    </r>
    <r>
      <rPr>
        <b/>
        <u val="single"/>
        <sz val="11"/>
        <rFont val="Arial"/>
        <family val="2"/>
      </rPr>
      <t>&gt;</t>
    </r>
    <r>
      <rPr>
        <b/>
        <sz val="11"/>
        <rFont val="Arial"/>
        <family val="2"/>
      </rPr>
      <t>14</t>
    </r>
  </si>
  <si>
    <t>16&gt;</t>
  </si>
  <si>
    <r>
      <t>d</t>
    </r>
    <r>
      <rPr>
        <b/>
        <u val="single"/>
        <sz val="11"/>
        <rFont val="Arial"/>
        <family val="2"/>
      </rPr>
      <t>&gt;</t>
    </r>
    <r>
      <rPr>
        <b/>
        <sz val="11"/>
        <rFont val="Arial"/>
        <family val="2"/>
      </rPr>
      <t>12</t>
    </r>
  </si>
  <si>
    <t>14&gt;</t>
  </si>
  <si>
    <t>الامضاء:</t>
  </si>
  <si>
    <t>3ـ3</t>
  </si>
  <si>
    <t xml:space="preserve">المدة القانونية لبرنامج الدراسة: يتم التكوين في 04 سداسيات، لكل سداسي 30 رصيدا، كل سداسي يوافق مدة تكوين من 14 </t>
  </si>
  <si>
    <r>
      <t>e</t>
    </r>
    <r>
      <rPr>
        <b/>
        <u val="single"/>
        <sz val="11"/>
        <rFont val="Arial"/>
        <family val="2"/>
      </rPr>
      <t>&gt;</t>
    </r>
    <r>
      <rPr>
        <b/>
        <sz val="11"/>
        <rFont val="Arial"/>
        <family val="2"/>
      </rPr>
      <t>10</t>
    </r>
  </si>
  <si>
    <t>12&gt;</t>
  </si>
  <si>
    <t>إلى 16 أسبوعا، كما يوافق كل أسبوع حجما ساعيا ما بين عشرون (20) وخمسة وعشرون (25) ساعة.</t>
  </si>
  <si>
    <t>10&gt;</t>
  </si>
  <si>
    <t>الختم أو الختم الرسمي:</t>
  </si>
  <si>
    <t>4ـ</t>
  </si>
  <si>
    <t>معلومات تتعلق بمحتوى الشهادة والنتائج المحصلة:</t>
  </si>
  <si>
    <t>4ـ1</t>
  </si>
  <si>
    <t>تنظيم الدراسة: حضوريا، يتوزع التعليم الخاص بالماستر على أربعة(04) سداسيات، بمجموع 30 رصيدا لكل سداسي ( عن طريق الاكتساب)، ينظم هذا التعليم وفق وحدات تعليمية ( و ت ) أساسية ووحدات تعلييمية أفقية و وحدات تعليمية استكشافية ووحدات تعليمية في المنهجية. يسند لكل وحدة تعليمية معامل وأرصدة. عند اكتساب وحدة تعليمية يتم الاحتفاظ وتحويل الارصدة المرتبطة بها. تتكون الوحدة التعليمية من مادة أو عدة مواد، يسند لكل مادة معاملا ورصيدا،تدرس المادة على شكل محاضرة ،أعمال موجهة.</t>
  </si>
  <si>
    <t>4ـ3</t>
  </si>
  <si>
    <t>تصنيف التنقيط حسب الرتبة:</t>
  </si>
  <si>
    <t>7ـ</t>
  </si>
  <si>
    <t>معلومات تخص النظام الوطني للتعليم العالي</t>
  </si>
  <si>
    <t>يتم تقييم كل مادة سداسيا إما عن طريق المراقبة المستمرة والمنتظمة، أو عن طريق امتحان نهائي، أو عن طريق التوليف بين النمطين،لكل مادة معدل ينحصر ما بين 0 إلى 20، علامة الصفر (0) هي ادنى نقطة، وعلامة عشرون (20) هي اعلى علامة،العلامة عشرة (10)هي العلامة الكافية للحصول على مادة أو وحدة تعليمية.</t>
  </si>
  <si>
    <t>في الجزائر وموازاة مع النظام الكلاسيكي للتعليم، تم تطبيق منذ سبتمبر 2004 هيكلة تعليمية موسومة بالليسانس والماستر والدكتوراه، تتوج بثلاث شهادات هي الليسانس، الماستر، والدكتوراه، كما أن شهادات النظام الكلاسيكي مازالت تتعايش مع شهادات الليسانس والماستر والدكتوراه.</t>
  </si>
  <si>
    <t xml:space="preserve">    وزارة التعليم العالي والبحث العلمي</t>
  </si>
  <si>
    <t>%</t>
  </si>
  <si>
    <t>حجم المجتمع</t>
  </si>
  <si>
    <t>حجم الفئة</t>
  </si>
  <si>
    <t>الحدود</t>
  </si>
  <si>
    <t>الفئة</t>
  </si>
  <si>
    <t>الترتيب</t>
  </si>
  <si>
    <t>الاسم</t>
  </si>
  <si>
    <t>السداسي 3</t>
  </si>
  <si>
    <t>السداسي 4</t>
  </si>
  <si>
    <t>معدل السداسيات
MSE</t>
  </si>
  <si>
    <t>عدد مرات الرسوب 
r</t>
  </si>
  <si>
    <t>النجاح بالتأخير
d</t>
  </si>
  <si>
    <t>النجاح بالاستدراك
s</t>
  </si>
  <si>
    <t>معدل الترتيب
MC</t>
  </si>
  <si>
    <t xml:space="preserve"> </t>
  </si>
  <si>
    <t>الاول (01)</t>
  </si>
  <si>
    <t>الثاني (02)</t>
  </si>
  <si>
    <t>الثالث (03)</t>
  </si>
  <si>
    <t>الرابع (04)</t>
  </si>
  <si>
    <t>الخامس (05)</t>
  </si>
  <si>
    <t>السادس (06)</t>
  </si>
  <si>
    <t>السابع  (07)</t>
  </si>
  <si>
    <t>الثامن (08)</t>
  </si>
  <si>
    <t>التاسع (09)</t>
  </si>
  <si>
    <t>العاشر (10)</t>
  </si>
  <si>
    <t>الحادي عشر (11)</t>
  </si>
  <si>
    <t>الثاني عشر (12)</t>
  </si>
  <si>
    <t>الثالث عشر (13)</t>
  </si>
  <si>
    <t>الرابع عشر (14)</t>
  </si>
  <si>
    <t>منتقل</t>
  </si>
  <si>
    <t>الخامس عشر (15)</t>
  </si>
  <si>
    <t>السادس عشر (16)</t>
  </si>
  <si>
    <t>السابع عشر (17)</t>
  </si>
  <si>
    <t xml:space="preserve">لكحل </t>
  </si>
  <si>
    <t>أحمد</t>
  </si>
  <si>
    <t>بن سلطان</t>
  </si>
  <si>
    <t>خزان</t>
  </si>
  <si>
    <t>عبد الرؤوف</t>
  </si>
  <si>
    <t>السداسي3</t>
  </si>
  <si>
    <t>السداسي4</t>
  </si>
  <si>
    <t>علوم إقتصادية و التسيير وعلوم تجارية</t>
  </si>
  <si>
    <t>الفرع :علوم إقتصادية</t>
  </si>
  <si>
    <t>إجمالي الأرصدة المحصلة في السنة (س3+س4):</t>
  </si>
  <si>
    <r>
      <t>v</t>
    </r>
    <r>
      <rPr>
        <sz val="14"/>
        <rFont val="Times New Roman"/>
        <family val="1"/>
      </rPr>
      <t>   الأستاذ(ة):</t>
    </r>
    <r>
      <rPr>
        <sz val="14"/>
        <rFont val="Arial"/>
        <family val="2"/>
      </rPr>
      <t>..................................الصفة: رئيسا......................................</t>
    </r>
  </si>
  <si>
    <r>
      <t>v</t>
    </r>
    <r>
      <rPr>
        <sz val="14"/>
        <rFont val="Times New Roman"/>
        <family val="1"/>
      </rPr>
      <t>    الأستاذ(ة):</t>
    </r>
    <r>
      <rPr>
        <sz val="14"/>
        <rFont val="Arial"/>
        <family val="2"/>
      </rPr>
      <t>.................................              الصفة: مؤطرا.....................................</t>
    </r>
  </si>
  <si>
    <r>
      <t>v</t>
    </r>
    <r>
      <rPr>
        <sz val="14"/>
        <rFont val="Times New Roman"/>
        <family val="1"/>
      </rPr>
      <t>    الأستاذ(ة)</t>
    </r>
    <r>
      <rPr>
        <sz val="14"/>
        <rFont val="Arial"/>
        <family val="2"/>
      </rPr>
      <t>....................                   الصفة: ممتحنا......................</t>
    </r>
  </si>
  <si>
    <r>
      <t>v</t>
    </r>
    <r>
      <rPr>
        <sz val="14"/>
        <rFont val="Times New Roman"/>
        <family val="1"/>
      </rPr>
      <t>    الأستاذ(ة)</t>
    </r>
    <r>
      <rPr>
        <sz val="14"/>
        <rFont val="Arial"/>
        <family val="2"/>
      </rPr>
      <t>......................                    الصفة: ممتحنا.........................</t>
    </r>
  </si>
  <si>
    <t>......................................................................................</t>
  </si>
  <si>
    <t>.....................................................................................</t>
  </si>
  <si>
    <t>........................................................................................</t>
  </si>
  <si>
    <t>بعلامة.........................من20  وملاحظة:............................................................</t>
  </si>
  <si>
    <t xml:space="preserve">   في تاريخ (أذكر التاريخ على لسان القلم):.................................................................</t>
  </si>
  <si>
    <t>إمضاء الأستاذ(ة) الممتحن(ة) (يرجى ذكر الإسم واللقب والرتبة)......................................................</t>
  </si>
  <si>
    <t xml:space="preserve">                       السنة الجامعية:2018/2017 </t>
  </si>
  <si>
    <t xml:space="preserve">              الميدان:العلوم الإقتصادية العلوم التجارية</t>
  </si>
  <si>
    <t xml:space="preserve">                 السنة الجامعية:2018/2017</t>
  </si>
  <si>
    <t>السنة الجامعية للتخرج: 2018/2017</t>
  </si>
  <si>
    <t xml:space="preserve">لقب واسم الممضي: </t>
  </si>
  <si>
    <t>السنة الجامعية: 2017-2018</t>
  </si>
  <si>
    <t>للسنة الجامعية:2017-2018</t>
  </si>
  <si>
    <t xml:space="preserve">عنابة في: </t>
  </si>
  <si>
    <t>منهجية البحث</t>
  </si>
  <si>
    <t xml:space="preserve"> العلمي</t>
  </si>
  <si>
    <t>شواقرية</t>
  </si>
  <si>
    <t>عنابه</t>
  </si>
  <si>
    <t>UM1</t>
  </si>
  <si>
    <t>الوحدة المنهجية 1</t>
  </si>
  <si>
    <t xml:space="preserve">السنة الثانية ماستر إقتصاد نقدي وبنكي </t>
  </si>
  <si>
    <t xml:space="preserve">التدقيق البنكي </t>
  </si>
  <si>
    <t>صالحي محمد يزيد</t>
  </si>
  <si>
    <t>مريم</t>
  </si>
  <si>
    <t>تسيير المحافظ المالية</t>
  </si>
  <si>
    <t>صيد نوال</t>
  </si>
  <si>
    <t>جباية العمليات المصرفية والمالية</t>
  </si>
  <si>
    <t>صالحي</t>
  </si>
  <si>
    <t>نظرية الألعاب</t>
  </si>
  <si>
    <t>شبيرة بوعلام</t>
  </si>
  <si>
    <t>ثلايجية نوة</t>
  </si>
  <si>
    <t>قانون المنازعات الإدارية</t>
  </si>
  <si>
    <t>حلايمية إبتسام</t>
  </si>
  <si>
    <t>تسيير المحافظ</t>
  </si>
  <si>
    <t>جباية العمليات</t>
  </si>
  <si>
    <t xml:space="preserve">نظرية </t>
  </si>
  <si>
    <t xml:space="preserve">قانون المنازعات </t>
  </si>
  <si>
    <t xml:space="preserve">لغة </t>
  </si>
  <si>
    <t xml:space="preserve">البنكي </t>
  </si>
  <si>
    <t xml:space="preserve"> المالية</t>
  </si>
  <si>
    <t>المصرفية والمالية</t>
  </si>
  <si>
    <t>الألعاب</t>
  </si>
  <si>
    <t>الإدارية</t>
  </si>
  <si>
    <t>صالحي ي</t>
  </si>
  <si>
    <t>صيد</t>
  </si>
  <si>
    <t>شبيرة</t>
  </si>
  <si>
    <t>حلايمية</t>
  </si>
  <si>
    <t>التدقيق البنكي</t>
  </si>
  <si>
    <t>جباية العمليات المصرفية</t>
  </si>
  <si>
    <t>نظرية الإلعاب</t>
  </si>
  <si>
    <t>قانون المنازعات</t>
  </si>
  <si>
    <t>لغة حية</t>
  </si>
  <si>
    <t>السنة أولى ماستر إقتصاد نقدي وبنكي</t>
  </si>
  <si>
    <t xml:space="preserve"> إقتصاد نقدي وبنكي</t>
  </si>
  <si>
    <t xml:space="preserve">       قــــد نـــجح(ة) في السنــة الأولـــى  مـــــــاستر تــــخصص  إقتصاد نقدي وبنكي</t>
  </si>
  <si>
    <t xml:space="preserve">              قــــد رسب(ة) في السنــة الأولـــى  مـــــــاستر تــــخصص  إقتصاد نقدي وبنكي</t>
  </si>
  <si>
    <t xml:space="preserve">              قــــد رسب(ة) في السنــة الثانية  مـــــــاستر تــــخصص  إقتصاد نقدي وبنكي</t>
  </si>
  <si>
    <t xml:space="preserve">       قــــد نـــجح(ة) في السنــة الثانية  مـــــــاستر تــــخصص  إقتصاد نقدي وبنكي</t>
  </si>
  <si>
    <t>تخصص:  إقتصاد نقدي وبنكي</t>
  </si>
  <si>
    <t xml:space="preserve">  ترتيب طلبة الماستر المتخرجين</t>
  </si>
  <si>
    <t>التخصص: إقتصاد نقدي وبنكي</t>
  </si>
  <si>
    <t>الفوج 2</t>
  </si>
  <si>
    <t xml:space="preserve">الحاج </t>
  </si>
  <si>
    <t>مروة</t>
  </si>
  <si>
    <t xml:space="preserve">العياشي </t>
  </si>
  <si>
    <t>نوار</t>
  </si>
  <si>
    <t xml:space="preserve">باطح </t>
  </si>
  <si>
    <t>محمد لمين</t>
  </si>
  <si>
    <t xml:space="preserve">بوساحة </t>
  </si>
  <si>
    <t>حسام الدين</t>
  </si>
  <si>
    <t xml:space="preserve">بوسالم </t>
  </si>
  <si>
    <t>محمد وليد</t>
  </si>
  <si>
    <t xml:space="preserve">بوعروج </t>
  </si>
  <si>
    <t>نسيمة</t>
  </si>
  <si>
    <t xml:space="preserve">بولعيد </t>
  </si>
  <si>
    <t xml:space="preserve">خاوة </t>
  </si>
  <si>
    <t>أسماء</t>
  </si>
  <si>
    <t xml:space="preserve">زغلاني </t>
  </si>
  <si>
    <t>ساعد</t>
  </si>
  <si>
    <t xml:space="preserve">زياني </t>
  </si>
  <si>
    <t>أميرة</t>
  </si>
  <si>
    <t xml:space="preserve">شلابي </t>
  </si>
  <si>
    <t>هاجر</t>
  </si>
  <si>
    <t xml:space="preserve">صولي </t>
  </si>
  <si>
    <t>هشام</t>
  </si>
  <si>
    <t>عطيل</t>
  </si>
  <si>
    <t>آسيا</t>
  </si>
  <si>
    <t xml:space="preserve">عيدود </t>
  </si>
  <si>
    <t>صبرينة</t>
  </si>
  <si>
    <t xml:space="preserve">قايدي </t>
  </si>
  <si>
    <t xml:space="preserve">قرايفية </t>
  </si>
  <si>
    <t>فؤاد</t>
  </si>
  <si>
    <t>قوادرية</t>
  </si>
  <si>
    <t xml:space="preserve">محفوظ </t>
  </si>
  <si>
    <t>بشرى</t>
  </si>
  <si>
    <t xml:space="preserve">مسطوري </t>
  </si>
  <si>
    <t>سارة</t>
  </si>
  <si>
    <t xml:space="preserve">هداف </t>
  </si>
  <si>
    <t>حياة</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</si>
</sst>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40C]dddd\ d\ mmmm\ yyyy"/>
    <numFmt numFmtId="173" formatCode="_-* #&quot; &quot;##0.00\ _ _-;\-* #&quot; &quot;##0.00\ _ _-;_-* &quot;-&quot;??\ _ _-;_-@_-"/>
    <numFmt numFmtId="174" formatCode="h:mm:ss&quot; &quot;AM/PM"/>
    <numFmt numFmtId="175" formatCode="[&gt;=3000000000000]#&quot; &quot;##&quot; &quot;##&quot; &quot;##&quot; &quot;###&quot; &quot;###&quot; | &quot;##;#&quot; &quot;##&quot; &quot;##&quot; &quot;##&quot; &quot;###&quot; &quot;###"/>
    <numFmt numFmtId="176" formatCode="[&gt;=3000000000000]##;#&quot; &quot;#0.00#&quot; &quot;#"/>
    <numFmt numFmtId="177" formatCode="[&gt;=3000000000000]##;#&quot; &quot;#&quot; &quot;#"/>
    <numFmt numFmtId="178" formatCode="_-* #&quot; &quot;##0&quot; &quot;&quot; &quot;_-;\-* #&quot; &quot;##0&quot; &quot;&quot; &quot;_-;_-* &quot;-&quot;&quot; &quot;&quot; &quot;_-;_-@_-"/>
    <numFmt numFmtId="179" formatCode="_-* #&quot; &quot;##0\ _ _-;\-* #&quot; &quot;##0\ _ _-;_-* &quot;-&quot;&quot; &quot;_ _-;_-@_-"/>
    <numFmt numFmtId="180" formatCode="#&quot; &quot;##0&quot; &quot;&quot; &quot;"/>
    <numFmt numFmtId="181" formatCode="m/d/yyyy;@"/>
    <numFmt numFmtId="182" formatCode="[&gt;=3000000000000]#&quot; &quot;##&quot; &quot;##&quot; &quot;##&quot; &quot;###&quot; &quot;###.0&quot; | &quot;##;#&quot; &quot;##&quot; &quot;##&quot; &quot;##&quot; &quot;###&quot; &quot;###.0"/>
    <numFmt numFmtId="183" formatCode="[&gt;=3000000000000]#&quot; &quot;##&quot; &quot;##&quot; &quot;##&quot; &quot;###&quot; &quot;###.00&quot; | &quot;##;#&quot; &quot;##&quot; &quot;##&quot; &quot;##&quot; &quot;###&quot; &quot;###.00"/>
    <numFmt numFmtId="184" formatCode="#&quot; &quot;##0.00"/>
    <numFmt numFmtId="185" formatCode="_-* #,##0.000\ _ _-;\-* #,##0.000\ _ _-;_-* &quot;-&quot;??\ _ _-;_-@_-"/>
    <numFmt numFmtId="186" formatCode="_-* #&quot; &quot;##0.000\ _ _-;\-* #&quot; &quot;##0.000\ _ _-;_-* &quot;-&quot;??\ _ _-;_-@_-"/>
    <numFmt numFmtId="187" formatCode="_-* #&quot; &quot;##0.0000\ _ _-;\-* #&quot; &quot;##0.0000\ _ _-;_-* &quot;-&quot;??\ _ _-;_-@_-"/>
    <numFmt numFmtId="188" formatCode="0.0"/>
    <numFmt numFmtId="189" formatCode="0.000"/>
    <numFmt numFmtId="190" formatCode="dd/mm/yy;@"/>
    <numFmt numFmtId="191" formatCode="#&quot; &quot;##0.00_ ;\-#&quot; &quot;##0.00\ "/>
    <numFmt numFmtId="192" formatCode="0.0000"/>
    <numFmt numFmtId="193" formatCode="0;[Red]0"/>
    <numFmt numFmtId="194" formatCode="[$-1010000]yyyy/mm/dd;@"/>
    <numFmt numFmtId="195" formatCode="0.00;[Red]0.00"/>
    <numFmt numFmtId="196" formatCode="#,##0;[Red]#,##0"/>
    <numFmt numFmtId="197" formatCode="0.0000000"/>
    <numFmt numFmtId="198" formatCode="0.000000"/>
    <numFmt numFmtId="199" formatCode="0.00000"/>
    <numFmt numFmtId="200" formatCode="0.000000000"/>
    <numFmt numFmtId="201" formatCode="0.0000000000"/>
    <numFmt numFmtId="202" formatCode="0.00000000"/>
    <numFmt numFmtId="203" formatCode="0.00_ ;\-0.00\ "/>
    <numFmt numFmtId="204" formatCode="0_ ;\-0\ "/>
    <numFmt numFmtId="205" formatCode="[$-1010000]d/m/yyyy;@"/>
  </numFmts>
  <fonts count="80">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b/>
      <sz val="12"/>
      <name val="Arial"/>
      <family val="2"/>
    </font>
    <font>
      <sz val="8"/>
      <name val="Arial"/>
      <family val="2"/>
    </font>
    <font>
      <sz val="14"/>
      <name val="Arial"/>
      <family val="2"/>
    </font>
    <font>
      <b/>
      <sz val="14"/>
      <name val="Arial"/>
      <family val="2"/>
    </font>
    <font>
      <sz val="11"/>
      <name val="Arial"/>
      <family val="2"/>
    </font>
    <font>
      <sz val="9"/>
      <name val="Arial"/>
      <family val="2"/>
    </font>
    <font>
      <sz val="10"/>
      <color indexed="8"/>
      <name val="MS Sans Serif"/>
      <family val="2"/>
    </font>
    <font>
      <b/>
      <sz val="26"/>
      <name val="Arial"/>
      <family val="2"/>
    </font>
    <font>
      <sz val="12"/>
      <name val="Arial"/>
      <family val="2"/>
    </font>
    <font>
      <b/>
      <u val="single"/>
      <sz val="14"/>
      <name val="Arial"/>
      <family val="2"/>
    </font>
    <font>
      <b/>
      <sz val="16"/>
      <name val="Arial"/>
      <family val="2"/>
    </font>
    <font>
      <b/>
      <sz val="11"/>
      <name val="Arial"/>
      <family val="2"/>
    </font>
    <font>
      <sz val="14"/>
      <color indexed="8"/>
      <name val="Arial"/>
      <family val="2"/>
    </font>
    <font>
      <sz val="9"/>
      <color indexed="8"/>
      <name val="Arial"/>
      <family val="2"/>
    </font>
    <font>
      <sz val="8"/>
      <color indexed="8"/>
      <name val="Arial"/>
      <family val="2"/>
    </font>
    <font>
      <sz val="10"/>
      <color indexed="8"/>
      <name val="Arial"/>
      <family val="2"/>
    </font>
    <font>
      <sz val="11"/>
      <color indexed="8"/>
      <name val="Arial"/>
      <family val="2"/>
    </font>
    <font>
      <b/>
      <sz val="14"/>
      <color indexed="8"/>
      <name val="Arial"/>
      <family val="2"/>
    </font>
    <font>
      <b/>
      <sz val="8"/>
      <name val="Arial"/>
      <family val="2"/>
    </font>
    <font>
      <b/>
      <sz val="10"/>
      <color indexed="8"/>
      <name val="Arial"/>
      <family val="2"/>
    </font>
    <font>
      <b/>
      <i/>
      <sz val="18"/>
      <name val="Arial"/>
      <family val="2"/>
    </font>
    <font>
      <sz val="16"/>
      <name val="Arial"/>
      <family val="2"/>
    </font>
    <font>
      <sz val="14"/>
      <color indexed="8"/>
      <name val="Calibri"/>
      <family val="2"/>
    </font>
    <font>
      <b/>
      <u val="single"/>
      <sz val="12"/>
      <name val="Arial"/>
      <family val="2"/>
    </font>
    <font>
      <b/>
      <sz val="14"/>
      <name val="Calibri"/>
      <family val="2"/>
    </font>
    <font>
      <b/>
      <sz val="18"/>
      <name val="Arial"/>
      <family val="2"/>
    </font>
    <font>
      <sz val="18"/>
      <name val="Arial"/>
      <family val="2"/>
    </font>
    <font>
      <sz val="14"/>
      <name val="Wingdings"/>
      <family val="0"/>
    </font>
    <font>
      <sz val="14"/>
      <name val="Times New Roman"/>
      <family val="1"/>
    </font>
    <font>
      <b/>
      <sz val="10"/>
      <color indexed="8"/>
      <name val="Calibri"/>
      <family val="2"/>
    </font>
    <font>
      <b/>
      <sz val="11"/>
      <color indexed="14"/>
      <name val="Arial"/>
      <family val="2"/>
    </font>
    <font>
      <b/>
      <sz val="12"/>
      <color indexed="8"/>
      <name val="Calibri"/>
      <family val="2"/>
    </font>
    <font>
      <b/>
      <u val="single"/>
      <sz val="11"/>
      <name val="Arial"/>
      <family val="2"/>
    </font>
    <font>
      <b/>
      <sz val="14"/>
      <color indexed="8"/>
      <name val="Calibri"/>
      <family val="2"/>
    </font>
    <font>
      <sz val="10"/>
      <color indexed="8"/>
      <name val="Calibri"/>
      <family val="2"/>
    </font>
    <font>
      <sz val="14"/>
      <name val="Arabic Transparent"/>
      <family val="0"/>
    </font>
    <font>
      <sz val="14"/>
      <color indexed="8"/>
      <name val="Comic Sans MS"/>
      <family val="4"/>
    </font>
    <font>
      <b/>
      <sz val="12"/>
      <color indexed="8"/>
      <name val="Arial"/>
      <family val="2"/>
    </font>
    <font>
      <b/>
      <sz val="12"/>
      <name val="Arabic Transparent"/>
      <family val="0"/>
    </font>
    <font>
      <b/>
      <sz val="11"/>
      <name val="Arabic Transparent"/>
      <family val="0"/>
    </font>
    <font>
      <sz val="20"/>
      <name val="Arial"/>
      <family val="2"/>
    </font>
    <font>
      <b/>
      <sz val="11"/>
      <color indexed="8"/>
      <name val="Comic Sans MS"/>
      <family val="4"/>
    </font>
    <font>
      <sz val="10"/>
      <color indexed="9"/>
      <name val="Arial"/>
      <family val="2"/>
    </font>
    <font>
      <b/>
      <sz val="11"/>
      <color indexed="8"/>
      <name val="Arial"/>
      <family val="2"/>
    </font>
    <font>
      <sz val="14"/>
      <color indexed="17"/>
      <name val="Arial"/>
      <family val="2"/>
    </font>
    <font>
      <sz val="16"/>
      <color indexed="17"/>
      <name val="Arial"/>
      <family val="2"/>
    </font>
    <font>
      <sz val="12"/>
      <color indexed="8"/>
      <name val="Arial"/>
      <family val="2"/>
    </font>
    <font>
      <sz val="12"/>
      <color indexed="8"/>
      <name val="Calibri"/>
      <family val="2"/>
    </font>
    <font>
      <b/>
      <sz val="10"/>
      <name val="Cambria"/>
      <family val="1"/>
    </font>
    <font>
      <sz val="10"/>
      <color theme="0"/>
      <name val="Arial"/>
      <family val="2"/>
    </font>
    <font>
      <sz val="14"/>
      <color theme="1"/>
      <name val="Arial"/>
      <family val="2"/>
    </font>
    <font>
      <b/>
      <sz val="10"/>
      <color theme="1"/>
      <name val="Arial"/>
      <family val="2"/>
    </font>
    <font>
      <b/>
      <sz val="11"/>
      <color theme="1"/>
      <name val="Arial"/>
      <family val="2"/>
    </font>
    <font>
      <sz val="10"/>
      <color theme="1"/>
      <name val="Arial"/>
      <family val="2"/>
    </font>
    <font>
      <sz val="14"/>
      <color rgb="FF00B050"/>
      <name val="Arial"/>
      <family val="2"/>
    </font>
    <font>
      <sz val="16"/>
      <color rgb="FF00B050"/>
      <name val="Arial"/>
      <family val="2"/>
    </font>
    <font>
      <sz val="14"/>
      <color theme="1"/>
      <name val="Calibri"/>
      <family val="2"/>
    </font>
    <font>
      <sz val="12"/>
      <color theme="1"/>
      <name val="Arial"/>
      <family val="2"/>
    </font>
    <font>
      <sz val="12"/>
      <color theme="1"/>
      <name val="Calibri"/>
      <family val="2"/>
    </font>
    <font>
      <b/>
      <sz val="14"/>
      <color theme="1"/>
      <name val="Arial"/>
      <family val="2"/>
    </font>
    <font>
      <b/>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lightGrid"/>
    </fill>
    <fill>
      <patternFill patternType="solid">
        <fgColor theme="9" tint="0.39998000860214233"/>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indexed="9"/>
        <bgColor indexed="64"/>
      </patternFill>
    </fill>
    <fill>
      <patternFill patternType="solid">
        <fgColor theme="5" tint="0.7999799847602844"/>
        <bgColor indexed="64"/>
      </patternFill>
    </fill>
    <fill>
      <patternFill patternType="solid">
        <fgColor rgb="FFFFC000"/>
        <bgColor indexed="64"/>
      </patternFill>
    </fill>
    <fill>
      <patternFill patternType="solid">
        <fgColor theme="7" tint="0.5999900102615356"/>
        <bgColor indexed="64"/>
      </patternFill>
    </fill>
    <fill>
      <patternFill patternType="solid">
        <fgColor rgb="FF00B0F0"/>
        <bgColor indexed="64"/>
      </patternFill>
    </fill>
    <fill>
      <patternFill patternType="solid">
        <fgColor theme="6" tint="-0.24997000396251678"/>
        <bgColor indexed="64"/>
      </patternFill>
    </fill>
  </fills>
  <borders count="9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diagonalUp="1">
      <left>
        <color indexed="63"/>
      </left>
      <right>
        <color indexed="63"/>
      </right>
      <top>
        <color indexed="63"/>
      </top>
      <bottom>
        <color indexed="63"/>
      </bottom>
      <diagonal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thick"/>
      <top style="medium"/>
      <bottom style="medium"/>
    </border>
    <border>
      <left style="medium"/>
      <right style="medium"/>
      <top style="medium"/>
      <bottom>
        <color indexed="63"/>
      </bottom>
    </border>
    <border>
      <left style="medium"/>
      <right style="medium"/>
      <top>
        <color indexed="63"/>
      </top>
      <bottom style="medium"/>
    </border>
    <border>
      <left style="thick"/>
      <right>
        <color indexed="63"/>
      </right>
      <top>
        <color indexed="63"/>
      </top>
      <bottom>
        <color indexed="63"/>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ck"/>
      <right style="medium"/>
      <top style="medium"/>
      <bottom style="medium"/>
    </border>
    <border>
      <left style="thick"/>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thick"/>
      <top style="thick"/>
      <bottom style="medium"/>
    </border>
    <border>
      <left style="medium"/>
      <right>
        <color indexed="63"/>
      </right>
      <top>
        <color indexed="63"/>
      </top>
      <bottom>
        <color indexed="63"/>
      </bottom>
    </border>
    <border>
      <left/>
      <right style="thick"/>
      <top/>
      <bottom/>
    </border>
    <border>
      <left style="thick"/>
      <right/>
      <top style="medium"/>
      <bottom style="medium"/>
    </border>
    <border>
      <left>
        <color indexed="63"/>
      </left>
      <right>
        <color indexed="63"/>
      </right>
      <top style="medium"/>
      <bottom style="medium"/>
    </border>
    <border>
      <left style="medium"/>
      <right/>
      <top style="medium"/>
      <bottom style="medium"/>
    </border>
    <border>
      <left>
        <color indexed="63"/>
      </left>
      <right style="thick"/>
      <top style="medium"/>
      <bottom style="medium"/>
    </border>
    <border>
      <left style="thick"/>
      <right/>
      <top style="medium"/>
      <bottom style="thick"/>
    </border>
    <border>
      <left/>
      <right/>
      <top style="medium"/>
      <bottom style="thick"/>
    </border>
    <border>
      <left style="medium"/>
      <right/>
      <top style="medium"/>
      <bottom style="thick"/>
    </border>
    <border>
      <left/>
      <right style="thick"/>
      <top style="medium"/>
      <bottom style="thick"/>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right style="medium"/>
      <top style="thin"/>
      <bottom/>
    </border>
    <border>
      <left style="medium"/>
      <right/>
      <top/>
      <bottom style="medium"/>
    </border>
    <border>
      <left/>
      <right style="thin"/>
      <top/>
      <bottom style="medium"/>
    </border>
    <border>
      <left/>
      <right style="medium"/>
      <top/>
      <bottom style="medium"/>
    </border>
    <border>
      <left style="medium"/>
      <right/>
      <top/>
      <bottom style="thin"/>
    </border>
    <border>
      <left>
        <color indexed="63"/>
      </left>
      <right style="medium"/>
      <top>
        <color indexed="63"/>
      </top>
      <bottom style="thin"/>
    </border>
    <border>
      <left style="medium"/>
      <right style="thin"/>
      <top style="medium"/>
      <bottom/>
    </border>
    <border>
      <left style="thin"/>
      <right style="thin"/>
      <top style="medium"/>
      <bottom/>
    </border>
    <border>
      <left style="thin"/>
      <right style="medium"/>
      <top style="medium"/>
      <bottom/>
    </border>
    <border>
      <left style="thin"/>
      <right/>
      <top style="thin"/>
      <bottom style="medium"/>
    </border>
    <border>
      <left style="medium"/>
      <right style="thin"/>
      <top style="thin"/>
      <bottom style="medium"/>
    </border>
    <border>
      <left style="medium"/>
      <right style="medium"/>
      <top style="thick"/>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medium"/>
    </border>
    <border>
      <left style="thin"/>
      <right>
        <color indexed="63"/>
      </right>
      <top style="medium"/>
      <bottom style="thin"/>
    </border>
    <border>
      <left>
        <color indexed="63"/>
      </left>
      <right style="medium"/>
      <top style="medium"/>
      <bottom>
        <color indexed="63"/>
      </bottom>
    </border>
    <border>
      <left>
        <color indexed="63"/>
      </left>
      <right style="thin"/>
      <top style="thin"/>
      <bottom style="medium"/>
    </border>
    <border>
      <left style="thin"/>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medium"/>
      <right style="thin"/>
      <top/>
      <bottom/>
    </border>
    <border>
      <left style="medium"/>
      <right style="thick"/>
      <top style="medium"/>
      <bottom style="thick"/>
    </border>
    <border>
      <left style="thick"/>
      <right style="medium"/>
      <top style="thick"/>
      <bottom style="medium"/>
    </border>
    <border>
      <left style="medium"/>
      <right style="medium"/>
      <top style="thick"/>
      <bottom>
        <color indexed="63"/>
      </bottom>
    </border>
    <border>
      <left style="medium"/>
      <right style="thick"/>
      <top style="thick"/>
      <bottom style="medium"/>
    </border>
    <border>
      <left style="medium"/>
      <right style="medium"/>
      <top>
        <color indexed="63"/>
      </top>
      <bottom>
        <color indexed="63"/>
      </bottom>
    </border>
    <border>
      <left>
        <color indexed="63"/>
      </left>
      <right style="medium"/>
      <top style="thick"/>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medium"/>
    </border>
    <border>
      <left style="medium"/>
      <right style="medium"/>
      <top>
        <color indexed="63"/>
      </top>
      <bottom style="thick"/>
    </border>
    <border>
      <left style="medium"/>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844">
    <xf numFmtId="0" fontId="0" fillId="0" borderId="0" xfId="0" applyAlignment="1">
      <alignment/>
    </xf>
    <xf numFmtId="0" fontId="0" fillId="0" borderId="0" xfId="0" applyAlignment="1">
      <alignment vertical="center"/>
    </xf>
    <xf numFmtId="0" fontId="30"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30"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11"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1" fillId="0" borderId="0" xfId="0" applyFont="1" applyAlignment="1">
      <alignment vertical="center"/>
    </xf>
    <xf numFmtId="0" fontId="24" fillId="0" borderId="11" xfId="0" applyFont="1" applyBorder="1" applyAlignment="1">
      <alignment vertical="center"/>
    </xf>
    <xf numFmtId="0" fontId="24" fillId="0" borderId="0" xfId="0" applyFont="1" applyBorder="1" applyAlignment="1">
      <alignment vertical="center"/>
    </xf>
    <xf numFmtId="0" fontId="24" fillId="0" borderId="15" xfId="0" applyFont="1" applyBorder="1" applyAlignment="1">
      <alignment horizontal="center" vertical="center" wrapText="1"/>
    </xf>
    <xf numFmtId="0" fontId="20" fillId="0" borderId="10" xfId="0" applyFont="1" applyBorder="1" applyAlignment="1">
      <alignment vertical="center"/>
    </xf>
    <xf numFmtId="0" fontId="0" fillId="24" borderId="18" xfId="0" applyFont="1" applyFill="1" applyBorder="1" applyAlignment="1">
      <alignment vertical="center"/>
    </xf>
    <xf numFmtId="0" fontId="0" fillId="0" borderId="0" xfId="0" applyFont="1" applyAlignment="1">
      <alignment vertical="center"/>
    </xf>
    <xf numFmtId="0" fontId="32" fillId="0" borderId="14" xfId="51" applyFont="1" applyFill="1" applyBorder="1" applyAlignment="1">
      <alignment horizontal="center" vertical="center"/>
      <protection/>
    </xf>
    <xf numFmtId="0" fontId="0" fillId="0" borderId="19" xfId="0" applyFont="1" applyBorder="1" applyAlignment="1">
      <alignment vertical="center"/>
    </xf>
    <xf numFmtId="0" fontId="33" fillId="0" borderId="20" xfId="51" applyFont="1" applyFill="1" applyBorder="1" applyAlignment="1">
      <alignment horizontal="center" vertical="center"/>
      <protection/>
    </xf>
    <xf numFmtId="0" fontId="33" fillId="0" borderId="10" xfId="51" applyFont="1" applyFill="1" applyBorder="1" applyAlignment="1">
      <alignment horizontal="center" vertical="center"/>
      <protection/>
    </xf>
    <xf numFmtId="0" fontId="0" fillId="0" borderId="10" xfId="0" applyFont="1" applyBorder="1" applyAlignment="1">
      <alignment vertical="center"/>
    </xf>
    <xf numFmtId="0" fontId="34" fillId="0" borderId="0" xfId="51" applyFont="1" applyFill="1" applyAlignment="1">
      <alignment vertical="center"/>
      <protection/>
    </xf>
    <xf numFmtId="0" fontId="34" fillId="0" borderId="0" xfId="51" applyFont="1" applyFill="1" applyBorder="1" applyAlignment="1">
      <alignment vertical="center"/>
      <protection/>
    </xf>
    <xf numFmtId="0" fontId="34" fillId="0" borderId="21" xfId="51" applyFont="1" applyFill="1" applyBorder="1" applyAlignment="1">
      <alignment vertical="center"/>
      <protection/>
    </xf>
    <xf numFmtId="0" fontId="0" fillId="24" borderId="22" xfId="0" applyFont="1" applyFill="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20" fillId="0" borderId="10" xfId="0" applyFont="1" applyBorder="1" applyAlignment="1">
      <alignment horizontal="center" vertical="center"/>
    </xf>
    <xf numFmtId="0" fontId="0" fillId="0" borderId="10" xfId="0" applyFont="1" applyBorder="1" applyAlignment="1">
      <alignment horizontal="center" vertical="center"/>
    </xf>
    <xf numFmtId="2" fontId="34" fillId="0" borderId="20" xfId="51" applyNumberFormat="1" applyFont="1" applyFill="1" applyBorder="1" applyAlignment="1">
      <alignment horizontal="center" vertical="center"/>
      <protection/>
    </xf>
    <xf numFmtId="0" fontId="34" fillId="0" borderId="20" xfId="51" applyFont="1" applyFill="1" applyBorder="1" applyAlignment="1">
      <alignment horizontal="center" vertical="center"/>
      <protection/>
    </xf>
    <xf numFmtId="0" fontId="34" fillId="24" borderId="20" xfId="51" applyFont="1" applyFill="1" applyBorder="1" applyAlignment="1">
      <alignment horizontal="center" vertical="center"/>
      <protection/>
    </xf>
    <xf numFmtId="2" fontId="34" fillId="0" borderId="17" xfId="51" applyNumberFormat="1" applyFont="1" applyFill="1" applyBorder="1" applyAlignment="1">
      <alignment horizontal="center" vertical="center"/>
      <protection/>
    </xf>
    <xf numFmtId="2" fontId="34" fillId="0" borderId="10" xfId="51" applyNumberFormat="1" applyFont="1" applyFill="1" applyBorder="1" applyAlignment="1">
      <alignment horizontal="center" vertical="center"/>
      <protection/>
    </xf>
    <xf numFmtId="0" fontId="33" fillId="25" borderId="10" xfId="51" applyFont="1" applyFill="1" applyBorder="1" applyAlignment="1">
      <alignment horizontal="center" vertical="center"/>
      <protection/>
    </xf>
    <xf numFmtId="0" fontId="34" fillId="25" borderId="20" xfId="51" applyFont="1" applyFill="1" applyBorder="1" applyAlignment="1">
      <alignment horizontal="center" vertical="center"/>
      <protection/>
    </xf>
    <xf numFmtId="0" fontId="0" fillId="25" borderId="20" xfId="0" applyFont="1" applyFill="1" applyBorder="1" applyAlignment="1">
      <alignment horizontal="center" vertical="center"/>
    </xf>
    <xf numFmtId="0" fontId="23" fillId="0" borderId="10" xfId="0" applyFont="1" applyBorder="1" applyAlignment="1">
      <alignment horizontal="center" vertical="center"/>
    </xf>
    <xf numFmtId="0" fontId="20" fillId="0" borderId="20" xfId="0" applyFont="1" applyBorder="1" applyAlignment="1">
      <alignment horizontal="center" vertical="center"/>
    </xf>
    <xf numFmtId="0" fontId="32" fillId="0" borderId="0" xfId="51" applyFont="1" applyFill="1" applyAlignment="1">
      <alignment vertical="center"/>
      <protection/>
    </xf>
    <xf numFmtId="0" fontId="32" fillId="0" borderId="0" xfId="51" applyFont="1" applyFill="1" applyBorder="1" applyAlignment="1">
      <alignment vertical="center"/>
      <protection/>
    </xf>
    <xf numFmtId="0" fontId="32" fillId="0" borderId="15" xfId="51" applyFont="1" applyFill="1" applyBorder="1" applyAlignment="1">
      <alignment vertical="center"/>
      <protection/>
    </xf>
    <xf numFmtId="0" fontId="0" fillId="26" borderId="0" xfId="0" applyFont="1" applyFill="1" applyAlignment="1">
      <alignment vertical="center"/>
    </xf>
    <xf numFmtId="0" fontId="24" fillId="0" borderId="20" xfId="0" applyFont="1" applyBorder="1" applyAlignment="1">
      <alignment vertical="center"/>
    </xf>
    <xf numFmtId="0" fontId="0" fillId="26" borderId="10" xfId="0" applyFont="1" applyFill="1" applyBorder="1" applyAlignment="1">
      <alignment horizontal="center" vertical="center"/>
    </xf>
    <xf numFmtId="0" fontId="24" fillId="0" borderId="11" xfId="0" applyFont="1" applyBorder="1" applyAlignment="1">
      <alignment horizontal="center" vertical="center"/>
    </xf>
    <xf numFmtId="0" fontId="23" fillId="0" borderId="14" xfId="0" applyFont="1" applyBorder="1" applyAlignment="1">
      <alignment horizontal="center" vertical="center"/>
    </xf>
    <xf numFmtId="0" fontId="24" fillId="24" borderId="22" xfId="0" applyFont="1" applyFill="1" applyBorder="1" applyAlignment="1">
      <alignment vertical="center"/>
    </xf>
    <xf numFmtId="0" fontId="0" fillId="0" borderId="14" xfId="0" applyFont="1" applyBorder="1" applyAlignment="1">
      <alignment horizontal="center" vertical="center"/>
    </xf>
    <xf numFmtId="0" fontId="0" fillId="0" borderId="11" xfId="0" applyFont="1" applyBorder="1" applyAlignment="1">
      <alignment vertical="center"/>
    </xf>
    <xf numFmtId="0" fontId="0" fillId="0" borderId="20" xfId="0" applyFont="1" applyBorder="1" applyAlignment="1">
      <alignmen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horizontal="center" vertical="center"/>
    </xf>
    <xf numFmtId="0" fontId="18" fillId="0" borderId="11" xfId="0" applyFont="1" applyBorder="1" applyAlignment="1" applyProtection="1">
      <alignment horizontal="right" vertical="center" wrapText="1"/>
      <protection hidden="1"/>
    </xf>
    <xf numFmtId="0" fontId="18" fillId="0" borderId="11" xfId="0" applyFont="1" applyBorder="1" applyAlignment="1" applyProtection="1">
      <alignment horizontal="center" vertical="center" wrapText="1"/>
      <protection hidden="1"/>
    </xf>
    <xf numFmtId="0" fontId="18" fillId="0" borderId="23"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locked="0"/>
    </xf>
    <xf numFmtId="2" fontId="0" fillId="0" borderId="10" xfId="0" applyNumberFormat="1" applyFont="1" applyBorder="1" applyAlignment="1">
      <alignment horizontal="center" vertical="center"/>
    </xf>
    <xf numFmtId="0" fontId="18" fillId="0" borderId="14" xfId="0" applyFont="1" applyBorder="1" applyAlignment="1" applyProtection="1">
      <alignment horizontal="right" vertical="center"/>
      <protection hidden="1"/>
    </xf>
    <xf numFmtId="0" fontId="18" fillId="0" borderId="14" xfId="0" applyFont="1" applyBorder="1" applyAlignment="1" applyProtection="1">
      <alignment horizontal="center" vertical="center"/>
      <protection hidden="1"/>
    </xf>
    <xf numFmtId="2" fontId="0" fillId="0" borderId="10" xfId="0" applyNumberFormat="1" applyFont="1" applyFill="1" applyBorder="1" applyAlignment="1">
      <alignment horizontal="center" vertical="center"/>
    </xf>
    <xf numFmtId="2" fontId="0" fillId="0" borderId="0" xfId="0" applyNumberFormat="1" applyFont="1" applyAlignment="1">
      <alignment vertical="center"/>
    </xf>
    <xf numFmtId="2" fontId="0" fillId="0" borderId="0" xfId="0" applyNumberFormat="1" applyFont="1" applyFill="1" applyAlignment="1">
      <alignment vertical="center"/>
    </xf>
    <xf numFmtId="0" fontId="22" fillId="0" borderId="0" xfId="0" applyFont="1" applyAlignment="1">
      <alignment horizontal="center" vertical="center"/>
    </xf>
    <xf numFmtId="1" fontId="18" fillId="0" borderId="10" xfId="51" applyNumberFormat="1" applyFont="1" applyFill="1" applyBorder="1" applyAlignment="1">
      <alignment vertical="center"/>
      <protection/>
    </xf>
    <xf numFmtId="14" fontId="19" fillId="0" borderId="0" xfId="0" applyNumberFormat="1" applyFont="1" applyAlignment="1">
      <alignment horizontal="center" vertical="center"/>
    </xf>
    <xf numFmtId="0" fontId="29" fillId="0" borderId="0" xfId="0" applyFont="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1" fontId="0" fillId="0" borderId="10" xfId="0" applyNumberFormat="1" applyFont="1" applyBorder="1" applyAlignment="1">
      <alignment horizontal="center" vertical="center"/>
    </xf>
    <xf numFmtId="0" fontId="18" fillId="25" borderId="10" xfId="0" applyFont="1" applyFill="1" applyBorder="1" applyAlignment="1">
      <alignment horizontal="center" vertical="center"/>
    </xf>
    <xf numFmtId="1" fontId="0" fillId="25" borderId="10" xfId="0" applyNumberFormat="1" applyFont="1" applyFill="1" applyBorder="1" applyAlignment="1">
      <alignment horizontal="center" vertical="center"/>
    </xf>
    <xf numFmtId="0" fontId="0" fillId="25" borderId="10" xfId="0" applyFont="1" applyFill="1" applyBorder="1" applyAlignment="1">
      <alignment horizontal="center" vertical="center"/>
    </xf>
    <xf numFmtId="0" fontId="21" fillId="0" borderId="0" xfId="0" applyFont="1" applyAlignment="1" applyProtection="1">
      <alignment horizontal="right" vertical="center"/>
      <protection hidden="1"/>
    </xf>
    <xf numFmtId="0" fontId="18" fillId="0" borderId="0" xfId="0" applyFont="1" applyAlignment="1" applyProtection="1">
      <alignment vertical="center"/>
      <protection hidden="1"/>
    </xf>
    <xf numFmtId="0" fontId="18" fillId="0" borderId="1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hidden="1"/>
    </xf>
    <xf numFmtId="0" fontId="22" fillId="0" borderId="10" xfId="0" applyFont="1" applyFill="1" applyBorder="1" applyAlignment="1">
      <alignment vertical="center"/>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hidden="1"/>
    </xf>
    <xf numFmtId="184" fontId="0" fillId="0" borderId="1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50" applyFont="1" applyAlignment="1" applyProtection="1">
      <alignment vertical="center"/>
      <protection hidden="1"/>
    </xf>
    <xf numFmtId="0" fontId="0" fillId="26" borderId="0" xfId="50" applyFont="1" applyFill="1" applyAlignment="1" applyProtection="1">
      <alignment vertical="center"/>
      <protection hidden="1"/>
    </xf>
    <xf numFmtId="0" fontId="18" fillId="0" borderId="12" xfId="50" applyFont="1" applyBorder="1" applyAlignment="1" applyProtection="1">
      <alignment vertical="center"/>
      <protection hidden="1"/>
    </xf>
    <xf numFmtId="0" fontId="0" fillId="26" borderId="23" xfId="50" applyFont="1" applyFill="1" applyBorder="1" applyAlignment="1" applyProtection="1">
      <alignment vertical="center"/>
      <protection hidden="1"/>
    </xf>
    <xf numFmtId="0" fontId="0" fillId="0" borderId="15" xfId="0" applyFont="1" applyBorder="1" applyAlignment="1">
      <alignment vertical="center"/>
    </xf>
    <xf numFmtId="0" fontId="34" fillId="0" borderId="15" xfId="51" applyFont="1" applyFill="1" applyBorder="1" applyAlignment="1">
      <alignment horizontal="center" vertical="center"/>
      <protection/>
    </xf>
    <xf numFmtId="0" fontId="0" fillId="24" borderId="13" xfId="0" applyFont="1" applyFill="1" applyBorder="1" applyAlignment="1">
      <alignment vertical="center"/>
    </xf>
    <xf numFmtId="0" fontId="0" fillId="26" borderId="15" xfId="50" applyFont="1" applyFill="1" applyBorder="1" applyAlignment="1" applyProtection="1">
      <alignment vertical="center"/>
      <protection hidden="1"/>
    </xf>
    <xf numFmtId="0" fontId="0" fillId="25" borderId="24" xfId="0" applyFont="1" applyFill="1" applyBorder="1" applyAlignment="1">
      <alignment vertical="center"/>
    </xf>
    <xf numFmtId="0" fontId="0" fillId="25" borderId="18" xfId="0" applyFont="1" applyFill="1" applyBorder="1" applyAlignment="1">
      <alignment horizontal="center" vertical="center"/>
    </xf>
    <xf numFmtId="0" fontId="0" fillId="25" borderId="22" xfId="0" applyFont="1" applyFill="1" applyBorder="1" applyAlignment="1">
      <alignment vertical="center"/>
    </xf>
    <xf numFmtId="0" fontId="0" fillId="25" borderId="18" xfId="0" applyFont="1" applyFill="1" applyBorder="1" applyAlignment="1">
      <alignment vertical="center"/>
    </xf>
    <xf numFmtId="0" fontId="0" fillId="0" borderId="16" xfId="0" applyFont="1" applyBorder="1" applyAlignment="1" applyProtection="1">
      <alignment vertical="center" wrapText="1"/>
      <protection locked="0"/>
    </xf>
    <xf numFmtId="1" fontId="34" fillId="25" borderId="20" xfId="51" applyNumberFormat="1" applyFont="1" applyFill="1" applyBorder="1" applyAlignment="1">
      <alignment horizontal="center" vertical="center"/>
      <protection/>
    </xf>
    <xf numFmtId="1" fontId="34" fillId="0" borderId="10" xfId="51" applyNumberFormat="1" applyFont="1" applyFill="1" applyBorder="1" applyAlignment="1">
      <alignment horizontal="center" vertical="center"/>
      <protection/>
    </xf>
    <xf numFmtId="0" fontId="18" fillId="0" borderId="0" xfId="0" applyFont="1" applyFill="1" applyBorder="1" applyAlignment="1" applyProtection="1">
      <alignment horizontal="center" vertical="center" wrapText="1"/>
      <protection locked="0"/>
    </xf>
    <xf numFmtId="2" fontId="0" fillId="0" borderId="0" xfId="0" applyNumberFormat="1" applyFont="1" applyBorder="1" applyAlignment="1">
      <alignment vertical="center"/>
    </xf>
    <xf numFmtId="2" fontId="68" fillId="0" borderId="0" xfId="0" applyNumberFormat="1" applyFont="1" applyBorder="1" applyAlignment="1">
      <alignment vertical="center"/>
    </xf>
    <xf numFmtId="2" fontId="0" fillId="26" borderId="10" xfId="0" applyNumberFormat="1" applyFont="1" applyFill="1" applyBorder="1" applyAlignment="1">
      <alignment horizontal="center" vertical="center"/>
    </xf>
    <xf numFmtId="0" fontId="0" fillId="0" borderId="23" xfId="50" applyFont="1" applyBorder="1" applyAlignment="1" applyProtection="1">
      <alignment vertical="center"/>
      <protection hidden="1"/>
    </xf>
    <xf numFmtId="0" fontId="0" fillId="0" borderId="17" xfId="0" applyFont="1" applyBorder="1" applyAlignment="1" applyProtection="1">
      <alignment vertical="center" wrapText="1"/>
      <protection locked="0"/>
    </xf>
    <xf numFmtId="0" fontId="0" fillId="25" borderId="22" xfId="0" applyFont="1" applyFill="1" applyBorder="1" applyAlignment="1">
      <alignment horizontal="center" vertical="center"/>
    </xf>
    <xf numFmtId="0" fontId="34" fillId="24" borderId="17" xfId="51" applyFont="1" applyFill="1" applyBorder="1" applyAlignment="1">
      <alignment horizontal="center" vertical="center"/>
      <protection/>
    </xf>
    <xf numFmtId="0" fontId="23" fillId="0" borderId="0" xfId="0" applyFont="1" applyBorder="1" applyAlignment="1">
      <alignment horizontal="center" vertical="center"/>
    </xf>
    <xf numFmtId="0" fontId="20" fillId="0" borderId="0"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20" xfId="0" applyFont="1" applyBorder="1" applyAlignment="1">
      <alignment vertical="center"/>
    </xf>
    <xf numFmtId="0" fontId="24" fillId="24" borderId="10" xfId="0" applyFont="1" applyFill="1" applyBorder="1" applyAlignment="1">
      <alignment horizontal="center" vertical="center"/>
    </xf>
    <xf numFmtId="0" fontId="24" fillId="26" borderId="15" xfId="50" applyFont="1" applyFill="1" applyBorder="1" applyAlignment="1" applyProtection="1">
      <alignment vertical="center"/>
      <protection hidden="1"/>
    </xf>
    <xf numFmtId="0" fontId="0" fillId="0" borderId="0" xfId="0" applyFont="1" applyAlignment="1">
      <alignment horizontal="center" vertical="center"/>
    </xf>
    <xf numFmtId="0" fontId="0" fillId="0" borderId="17" xfId="0" applyFont="1" applyBorder="1" applyAlignment="1">
      <alignment vertical="center" wrapText="1"/>
    </xf>
    <xf numFmtId="0" fontId="0" fillId="0" borderId="16" xfId="0" applyFont="1" applyBorder="1" applyAlignment="1">
      <alignment vertical="center" wrapText="1"/>
    </xf>
    <xf numFmtId="190" fontId="0" fillId="0" borderId="0" xfId="0" applyNumberFormat="1" applyFont="1" applyAlignment="1">
      <alignment vertical="center"/>
    </xf>
    <xf numFmtId="1" fontId="18" fillId="0" borderId="0" xfId="0" applyNumberFormat="1"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left" vertical="center"/>
    </xf>
    <xf numFmtId="0" fontId="30" fillId="0" borderId="25" xfId="0" applyFont="1" applyBorder="1" applyAlignment="1">
      <alignment horizontal="center" vertical="center"/>
    </xf>
    <xf numFmtId="0" fontId="30" fillId="0" borderId="0" xfId="0" applyFont="1" applyBorder="1" applyAlignment="1">
      <alignment vertical="center"/>
    </xf>
    <xf numFmtId="2" fontId="19" fillId="0" borderId="25" xfId="0" applyNumberFormat="1" applyFont="1" applyBorder="1" applyAlignment="1">
      <alignment horizontal="center" vertical="center"/>
    </xf>
    <xf numFmtId="1"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190" fontId="30" fillId="0" borderId="25" xfId="0" applyNumberFormat="1" applyFont="1" applyBorder="1" applyAlignment="1">
      <alignment horizontal="center" vertical="center"/>
    </xf>
    <xf numFmtId="0" fontId="27" fillId="0" borderId="0" xfId="0" applyFont="1" applyBorder="1" applyAlignment="1">
      <alignment vertical="center"/>
    </xf>
    <xf numFmtId="0" fontId="30" fillId="0" borderId="26" xfId="0" applyFont="1" applyBorder="1" applyAlignment="1">
      <alignment horizontal="center" vertical="center"/>
    </xf>
    <xf numFmtId="0" fontId="30" fillId="0" borderId="10" xfId="0" applyFont="1" applyBorder="1" applyAlignment="1">
      <alignment horizontal="center" vertical="center"/>
    </xf>
    <xf numFmtId="0" fontId="69" fillId="0" borderId="10" xfId="0" applyFont="1" applyFill="1" applyBorder="1" applyAlignment="1">
      <alignment horizontal="right" vertical="center"/>
    </xf>
    <xf numFmtId="0" fontId="70" fillId="0" borderId="10" xfId="0" applyFont="1" applyFill="1" applyBorder="1" applyAlignment="1">
      <alignment horizontal="right" vertical="center"/>
    </xf>
    <xf numFmtId="1" fontId="19" fillId="0" borderId="25" xfId="0" applyNumberFormat="1" applyFont="1" applyBorder="1" applyAlignment="1">
      <alignment horizontal="center" vertical="center"/>
    </xf>
    <xf numFmtId="2" fontId="27" fillId="26" borderId="25" xfId="45" applyNumberFormat="1" applyFont="1" applyFill="1" applyBorder="1" applyAlignment="1">
      <alignment horizontal="center" vertical="center"/>
    </xf>
    <xf numFmtId="0" fontId="27" fillId="0" borderId="25" xfId="0" applyFont="1" applyBorder="1" applyAlignment="1">
      <alignment horizontal="center" vertical="center"/>
    </xf>
    <xf numFmtId="2" fontId="27" fillId="0" borderId="25" xfId="45" applyNumberFormat="1" applyFont="1" applyBorder="1" applyAlignment="1">
      <alignment horizontal="center" vertical="center"/>
    </xf>
    <xf numFmtId="1" fontId="27" fillId="0" borderId="25" xfId="0" applyNumberFormat="1"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27" fillId="0" borderId="0" xfId="0" applyFont="1" applyAlignment="1">
      <alignment horizontal="center" vertical="center"/>
    </xf>
    <xf numFmtId="0" fontId="70" fillId="0" borderId="0" xfId="0" applyFont="1" applyFill="1" applyBorder="1" applyAlignment="1">
      <alignment horizontal="right" vertical="center"/>
    </xf>
    <xf numFmtId="1" fontId="18" fillId="0" borderId="0" xfId="51" applyNumberFormat="1" applyFont="1" applyFill="1" applyBorder="1" applyAlignment="1">
      <alignment vertical="center"/>
      <protection/>
    </xf>
    <xf numFmtId="2" fontId="0" fillId="0" borderId="10" xfId="0" applyNumberFormat="1" applyFont="1" applyFill="1" applyBorder="1" applyAlignment="1">
      <alignment horizontal="center" vertical="center" wrapText="1"/>
    </xf>
    <xf numFmtId="1" fontId="19" fillId="0" borderId="10" xfId="51" applyNumberFormat="1" applyFont="1" applyFill="1" applyBorder="1" applyAlignment="1">
      <alignment vertical="center"/>
      <protection/>
    </xf>
    <xf numFmtId="190" fontId="23" fillId="0" borderId="0" xfId="0" applyNumberFormat="1" applyFont="1" applyAlignment="1">
      <alignment vertical="center"/>
    </xf>
    <xf numFmtId="190" fontId="27" fillId="0" borderId="0" xfId="0" applyNumberFormat="1" applyFont="1" applyAlignment="1">
      <alignment vertical="center"/>
    </xf>
    <xf numFmtId="0" fontId="19" fillId="0" borderId="0" xfId="0" applyFont="1" applyFill="1" applyAlignment="1">
      <alignment horizontal="left" vertical="center"/>
    </xf>
    <xf numFmtId="0" fontId="24" fillId="25" borderId="11" xfId="0" applyFont="1" applyFill="1" applyBorder="1" applyAlignment="1">
      <alignment vertical="center" textRotation="90"/>
    </xf>
    <xf numFmtId="0" fontId="24" fillId="24" borderId="14" xfId="0" applyFont="1" applyFill="1" applyBorder="1" applyAlignment="1">
      <alignment vertical="center" textRotation="90"/>
    </xf>
    <xf numFmtId="0" fontId="24" fillId="25" borderId="14" xfId="0" applyFont="1" applyFill="1" applyBorder="1" applyAlignment="1">
      <alignment vertical="center" textRotation="90"/>
    </xf>
    <xf numFmtId="0" fontId="24" fillId="25" borderId="20" xfId="0" applyFont="1" applyFill="1" applyBorder="1" applyAlignment="1">
      <alignment vertical="center" textRotation="90"/>
    </xf>
    <xf numFmtId="0" fontId="0" fillId="27" borderId="0" xfId="0" applyFont="1" applyFill="1" applyBorder="1" applyAlignment="1">
      <alignment vertical="center"/>
    </xf>
    <xf numFmtId="0" fontId="32" fillId="0" borderId="13" xfId="51" applyFont="1" applyFill="1" applyBorder="1" applyAlignment="1">
      <alignment vertical="center"/>
      <protection/>
    </xf>
    <xf numFmtId="0" fontId="70" fillId="0" borderId="13" xfId="0" applyFont="1" applyFill="1" applyBorder="1" applyAlignment="1">
      <alignment horizontal="right" vertical="center"/>
    </xf>
    <xf numFmtId="2" fontId="30" fillId="0" borderId="0" xfId="0" applyNumberFormat="1" applyFont="1" applyFill="1" applyAlignment="1">
      <alignment vertical="center"/>
    </xf>
    <xf numFmtId="0" fontId="22" fillId="0" borderId="0" xfId="0" applyFont="1" applyFill="1" applyAlignment="1">
      <alignment vertical="center"/>
    </xf>
    <xf numFmtId="0" fontId="21" fillId="0" borderId="0" xfId="0" applyFont="1" applyFill="1" applyAlignment="1">
      <alignment vertical="center"/>
    </xf>
    <xf numFmtId="0" fontId="18" fillId="0" borderId="11" xfId="0" applyFont="1" applyFill="1" applyBorder="1" applyAlignment="1" applyProtection="1">
      <alignment horizontal="right" vertical="center" wrapText="1"/>
      <protection hidden="1"/>
    </xf>
    <xf numFmtId="0" fontId="18" fillId="0" borderId="23" xfId="0" applyFont="1" applyFill="1" applyBorder="1" applyAlignment="1" applyProtection="1">
      <alignment horizontal="center" vertical="center" wrapText="1"/>
      <protection hidden="1"/>
    </xf>
    <xf numFmtId="0" fontId="37" fillId="0" borderId="10" xfId="0" applyFont="1" applyBorder="1" applyAlignment="1">
      <alignment horizontal="center" vertical="center"/>
    </xf>
    <xf numFmtId="0" fontId="19" fillId="27" borderId="0" xfId="52" applyFont="1" applyFill="1" applyBorder="1" applyAlignment="1">
      <alignment horizontal="center" vertical="center"/>
      <protection/>
    </xf>
    <xf numFmtId="2" fontId="0" fillId="27" borderId="0" xfId="0" applyNumberFormat="1" applyFont="1" applyFill="1" applyBorder="1" applyAlignment="1">
      <alignment horizontal="center" vertical="center"/>
    </xf>
    <xf numFmtId="2" fontId="26" fillId="27" borderId="0" xfId="0" applyNumberFormat="1" applyFont="1" applyFill="1" applyBorder="1" applyAlignment="1">
      <alignment horizontal="center" vertical="center"/>
    </xf>
    <xf numFmtId="0" fontId="19" fillId="27" borderId="0" xfId="52" applyFont="1" applyFill="1" applyBorder="1" applyAlignment="1">
      <alignment vertical="center"/>
      <protection/>
    </xf>
    <xf numFmtId="1" fontId="18" fillId="0" borderId="12" xfId="51" applyNumberFormat="1" applyFont="1" applyFill="1" applyBorder="1" applyAlignment="1">
      <alignment vertical="center"/>
      <protection/>
    </xf>
    <xf numFmtId="0" fontId="0" fillId="0" borderId="13" xfId="0" applyFont="1" applyBorder="1" applyAlignment="1">
      <alignment vertical="center"/>
    </xf>
    <xf numFmtId="0" fontId="23" fillId="0" borderId="10" xfId="0" applyFont="1" applyFill="1" applyBorder="1" applyAlignment="1">
      <alignment horizontal="center" vertical="center"/>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xf>
    <xf numFmtId="14" fontId="71" fillId="0" borderId="0" xfId="0" applyNumberFormat="1" applyFont="1" applyAlignment="1">
      <alignment horizontal="center" vertical="center"/>
    </xf>
    <xf numFmtId="0" fontId="72" fillId="0" borderId="10" xfId="0" applyFont="1" applyBorder="1" applyAlignment="1">
      <alignment horizontal="center" vertical="center"/>
    </xf>
    <xf numFmtId="0" fontId="38" fillId="0" borderId="10" xfId="0" applyFont="1" applyFill="1" applyBorder="1" applyAlignment="1" applyProtection="1">
      <alignment horizontal="center" vertical="center"/>
      <protection locked="0"/>
    </xf>
    <xf numFmtId="14" fontId="38" fillId="0" borderId="10" xfId="0" applyNumberFormat="1" applyFont="1" applyFill="1" applyBorder="1" applyAlignment="1" applyProtection="1">
      <alignment horizontal="center" vertical="center"/>
      <protection locked="0"/>
    </xf>
    <xf numFmtId="0" fontId="30" fillId="0" borderId="10" xfId="0" applyFont="1" applyFill="1" applyBorder="1" applyAlignment="1">
      <alignment vertical="center"/>
    </xf>
    <xf numFmtId="2" fontId="19" fillId="28" borderId="0" xfId="0" applyNumberFormat="1" applyFont="1" applyFill="1" applyAlignment="1">
      <alignment vertical="center"/>
    </xf>
    <xf numFmtId="0" fontId="29" fillId="0" borderId="0" xfId="0" applyFont="1" applyAlignment="1">
      <alignment horizontal="right" vertical="center"/>
    </xf>
    <xf numFmtId="0" fontId="29" fillId="0" borderId="0" xfId="0" applyFont="1" applyAlignment="1">
      <alignment horizontal="center" vertical="center"/>
    </xf>
    <xf numFmtId="0" fontId="40" fillId="0" borderId="0" xfId="0" applyFont="1" applyAlignment="1">
      <alignment vertical="center"/>
    </xf>
    <xf numFmtId="2" fontId="19" fillId="28" borderId="0" xfId="0" applyNumberFormat="1" applyFont="1" applyFill="1" applyAlignment="1">
      <alignment horizontal="right" vertical="center"/>
    </xf>
    <xf numFmtId="0" fontId="22" fillId="0" borderId="0" xfId="0" applyFont="1" applyAlignment="1">
      <alignment horizontal="left" vertical="center"/>
    </xf>
    <xf numFmtId="0" fontId="21" fillId="0" borderId="0" xfId="0" applyFont="1" applyAlignment="1">
      <alignment horizontal="right" vertical="center"/>
    </xf>
    <xf numFmtId="0" fontId="18" fillId="0" borderId="10" xfId="50" applyFont="1" applyBorder="1" applyAlignment="1" applyProtection="1">
      <alignment horizontal="center" vertical="center" wrapText="1"/>
      <protection hidden="1"/>
    </xf>
    <xf numFmtId="0" fontId="18" fillId="26" borderId="10" xfId="50" applyFont="1" applyFill="1" applyBorder="1" applyAlignment="1" applyProtection="1">
      <alignment horizontal="center" vertical="center" wrapText="1"/>
      <protection hidden="1"/>
    </xf>
    <xf numFmtId="0" fontId="18" fillId="26" borderId="10" xfId="50" applyFont="1" applyFill="1" applyBorder="1" applyAlignment="1" applyProtection="1">
      <alignment horizontal="center" vertical="center"/>
      <protection hidden="1"/>
    </xf>
    <xf numFmtId="0" fontId="22" fillId="0" borderId="0" xfId="0" applyFont="1" applyAlignment="1">
      <alignment horizontal="right" vertical="center"/>
    </xf>
    <xf numFmtId="0" fontId="21" fillId="0" borderId="0" xfId="0" applyFont="1" applyFill="1" applyAlignment="1">
      <alignment horizontal="right" vertical="center"/>
    </xf>
    <xf numFmtId="0" fontId="27" fillId="0" borderId="10" xfId="0" applyFont="1" applyFill="1" applyBorder="1" applyAlignment="1">
      <alignment horizontal="center" vertical="center"/>
    </xf>
    <xf numFmtId="1" fontId="27" fillId="26" borderId="25" xfId="45" applyNumberFormat="1" applyFont="1" applyFill="1" applyBorder="1" applyAlignment="1">
      <alignment horizontal="center" vertical="center"/>
    </xf>
    <xf numFmtId="0" fontId="19" fillId="0" borderId="0" xfId="0" applyFont="1" applyBorder="1" applyAlignment="1">
      <alignment vertical="center"/>
    </xf>
    <xf numFmtId="0" fontId="19" fillId="0" borderId="29" xfId="0" applyFont="1" applyBorder="1" applyAlignment="1">
      <alignment vertical="center"/>
    </xf>
    <xf numFmtId="1" fontId="18" fillId="0" borderId="0" xfId="0" applyNumberFormat="1" applyFont="1" applyBorder="1" applyAlignment="1">
      <alignment vertical="center"/>
    </xf>
    <xf numFmtId="2" fontId="0" fillId="26" borderId="30" xfId="0" applyNumberFormat="1" applyFill="1" applyBorder="1" applyAlignment="1">
      <alignment horizontal="center" vertical="center"/>
    </xf>
    <xf numFmtId="1" fontId="0" fillId="26" borderId="20" xfId="0" applyNumberFormat="1" applyFill="1" applyBorder="1" applyAlignment="1">
      <alignment horizontal="center" vertical="center"/>
    </xf>
    <xf numFmtId="2" fontId="0" fillId="26" borderId="20" xfId="0" applyNumberFormat="1" applyFill="1" applyBorder="1" applyAlignment="1">
      <alignment horizontal="center" vertical="center"/>
    </xf>
    <xf numFmtId="1" fontId="0" fillId="26" borderId="31" xfId="0" applyNumberFormat="1" applyFill="1" applyBorder="1" applyAlignment="1">
      <alignment horizontal="center" vertical="center"/>
    </xf>
    <xf numFmtId="1" fontId="0" fillId="26" borderId="32" xfId="0" applyNumberFormat="1" applyFill="1" applyBorder="1" applyAlignment="1">
      <alignment horizontal="center" vertical="center"/>
    </xf>
    <xf numFmtId="2" fontId="0" fillId="26" borderId="16" xfId="0" applyNumberFormat="1" applyFill="1" applyBorder="1" applyAlignment="1">
      <alignment horizontal="center" vertical="center"/>
    </xf>
    <xf numFmtId="1" fontId="0" fillId="26" borderId="17" xfId="0" applyNumberFormat="1" applyFill="1" applyBorder="1" applyAlignment="1">
      <alignment horizontal="center" vertical="center"/>
    </xf>
    <xf numFmtId="2" fontId="0" fillId="26" borderId="33" xfId="0" applyNumberFormat="1" applyFill="1" applyBorder="1" applyAlignment="1">
      <alignment horizontal="center" vertical="center"/>
    </xf>
    <xf numFmtId="0" fontId="22" fillId="0" borderId="0" xfId="0" applyFont="1" applyAlignment="1">
      <alignment horizontal="right"/>
    </xf>
    <xf numFmtId="0" fontId="22" fillId="0" borderId="0" xfId="0" applyFont="1" applyAlignment="1">
      <alignment horizontal="center"/>
    </xf>
    <xf numFmtId="0" fontId="22" fillId="0" borderId="0" xfId="0" applyFont="1" applyAlignment="1">
      <alignment/>
    </xf>
    <xf numFmtId="0" fontId="22" fillId="0" borderId="0" xfId="0" applyFont="1" applyAlignment="1">
      <alignment/>
    </xf>
    <xf numFmtId="0" fontId="21" fillId="0" borderId="0" xfId="0" applyFont="1" applyAlignment="1">
      <alignment/>
    </xf>
    <xf numFmtId="0" fontId="21" fillId="0" borderId="0" xfId="0" applyFont="1" applyAlignment="1">
      <alignment/>
    </xf>
    <xf numFmtId="0" fontId="30" fillId="0" borderId="0" xfId="0" applyFont="1" applyAlignment="1">
      <alignment horizontal="right"/>
    </xf>
    <xf numFmtId="0" fontId="0" fillId="29" borderId="0" xfId="0" applyFill="1" applyAlignment="1">
      <alignment/>
    </xf>
    <xf numFmtId="0" fontId="26" fillId="0" borderId="0" xfId="0" applyFont="1" applyAlignment="1">
      <alignment horizontal="center"/>
    </xf>
    <xf numFmtId="0" fontId="73" fillId="0" borderId="0" xfId="0" applyFont="1" applyAlignment="1">
      <alignment/>
    </xf>
    <xf numFmtId="0" fontId="40" fillId="0" borderId="0" xfId="0" applyFont="1" applyAlignment="1">
      <alignment/>
    </xf>
    <xf numFmtId="0" fontId="74" fillId="0" borderId="0" xfId="0" applyFont="1" applyAlignment="1">
      <alignment/>
    </xf>
    <xf numFmtId="0" fontId="22" fillId="30" borderId="0" xfId="0" applyFont="1" applyFill="1" applyAlignment="1">
      <alignment horizontal="left"/>
    </xf>
    <xf numFmtId="0" fontId="22" fillId="30" borderId="0" xfId="0" applyFont="1" applyFill="1" applyAlignment="1">
      <alignment/>
    </xf>
    <xf numFmtId="0" fontId="21" fillId="0" borderId="0" xfId="0" applyFont="1" applyAlignment="1">
      <alignment horizontal="left"/>
    </xf>
    <xf numFmtId="14" fontId="22" fillId="30" borderId="0" xfId="0" applyNumberFormat="1" applyFont="1" applyFill="1" applyAlignment="1">
      <alignment/>
    </xf>
    <xf numFmtId="0" fontId="29" fillId="0" borderId="0" xfId="0" applyFont="1" applyFill="1" applyAlignment="1">
      <alignment horizontal="center"/>
    </xf>
    <xf numFmtId="0" fontId="29" fillId="0" borderId="0" xfId="0" applyFont="1" applyAlignment="1">
      <alignment/>
    </xf>
    <xf numFmtId="0" fontId="29" fillId="0" borderId="0" xfId="0" applyFont="1" applyAlignment="1">
      <alignment horizontal="center"/>
    </xf>
    <xf numFmtId="0" fontId="21" fillId="0" borderId="0" xfId="0" applyFont="1" applyBorder="1" applyAlignment="1">
      <alignment/>
    </xf>
    <xf numFmtId="0" fontId="0" fillId="0" borderId="0" xfId="0" applyFont="1" applyBorder="1" applyAlignment="1">
      <alignment/>
    </xf>
    <xf numFmtId="0" fontId="0" fillId="0" borderId="0" xfId="0" applyAlignment="1">
      <alignment horizontal="center"/>
    </xf>
    <xf numFmtId="1" fontId="0" fillId="26" borderId="34" xfId="0" applyNumberFormat="1" applyFill="1" applyBorder="1" applyAlignment="1">
      <alignment horizontal="center" vertical="center"/>
    </xf>
    <xf numFmtId="2" fontId="0" fillId="26" borderId="34" xfId="0" applyNumberFormat="1" applyFill="1" applyBorder="1" applyAlignment="1">
      <alignment horizontal="center" vertical="center"/>
    </xf>
    <xf numFmtId="1" fontId="0" fillId="26" borderId="35" xfId="0" applyNumberFormat="1" applyFill="1" applyBorder="1" applyAlignment="1">
      <alignment horizontal="center" vertical="center"/>
    </xf>
    <xf numFmtId="1" fontId="0" fillId="26" borderId="36" xfId="0" applyNumberFormat="1" applyFill="1" applyBorder="1" applyAlignment="1">
      <alignment horizontal="center" vertical="center"/>
    </xf>
    <xf numFmtId="0" fontId="0" fillId="31" borderId="0" xfId="0" applyFont="1" applyFill="1" applyAlignment="1">
      <alignment vertical="center"/>
    </xf>
    <xf numFmtId="2" fontId="0" fillId="31" borderId="10" xfId="0" applyNumberFormat="1" applyFill="1" applyBorder="1" applyAlignment="1">
      <alignment horizontal="center" vertical="center"/>
    </xf>
    <xf numFmtId="1" fontId="0" fillId="31" borderId="37" xfId="0" applyNumberFormat="1" applyFill="1" applyBorder="1" applyAlignment="1">
      <alignment horizontal="center" vertical="center"/>
    </xf>
    <xf numFmtId="2" fontId="0" fillId="31" borderId="38" xfId="0" applyNumberFormat="1" applyFill="1" applyBorder="1" applyAlignment="1">
      <alignment horizontal="center" vertical="center"/>
    </xf>
    <xf numFmtId="1" fontId="0" fillId="31" borderId="39" xfId="0" applyNumberFormat="1" applyFill="1" applyBorder="1" applyAlignment="1">
      <alignment horizontal="center" vertical="center"/>
    </xf>
    <xf numFmtId="0" fontId="0" fillId="31" borderId="37" xfId="0" applyFill="1" applyBorder="1" applyAlignment="1">
      <alignment horizontal="center" vertical="center"/>
    </xf>
    <xf numFmtId="0" fontId="24" fillId="0" borderId="10" xfId="0" applyFont="1" applyBorder="1" applyAlignment="1">
      <alignment vertical="center"/>
    </xf>
    <xf numFmtId="1" fontId="21" fillId="0" borderId="10" xfId="51" applyNumberFormat="1" applyFont="1" applyFill="1" applyBorder="1" applyAlignment="1">
      <alignment vertical="center"/>
      <protection/>
    </xf>
    <xf numFmtId="2" fontId="34" fillId="0" borderId="0" xfId="51" applyNumberFormat="1" applyFont="1" applyFill="1" applyBorder="1" applyAlignment="1">
      <alignment horizontal="center" vertical="center"/>
      <protection/>
    </xf>
    <xf numFmtId="0" fontId="75" fillId="0" borderId="10" xfId="0" applyFont="1" applyBorder="1" applyAlignment="1">
      <alignment vertical="center"/>
    </xf>
    <xf numFmtId="0" fontId="21" fillId="0" borderId="10" xfId="0" applyFont="1" applyFill="1" applyBorder="1" applyAlignment="1">
      <alignment vertical="center"/>
    </xf>
    <xf numFmtId="1" fontId="0" fillId="0" borderId="10" xfId="51" applyNumberFormat="1" applyFont="1" applyFill="1" applyBorder="1" applyAlignment="1">
      <alignment vertical="center"/>
      <protection/>
    </xf>
    <xf numFmtId="0" fontId="69" fillId="0" borderId="0" xfId="0" applyFont="1" applyAlignment="1">
      <alignment vertical="center"/>
    </xf>
    <xf numFmtId="0" fontId="69" fillId="0" borderId="0" xfId="0" applyFont="1" applyBorder="1" applyAlignment="1">
      <alignment vertical="center"/>
    </xf>
    <xf numFmtId="0" fontId="69" fillId="0" borderId="0" xfId="0" applyFont="1" applyFill="1" applyAlignment="1">
      <alignment vertical="center"/>
    </xf>
    <xf numFmtId="2" fontId="69" fillId="0" borderId="0" xfId="0" applyNumberFormat="1" applyFont="1" applyFill="1" applyBorder="1" applyAlignment="1">
      <alignment horizontal="center" vertical="center"/>
    </xf>
    <xf numFmtId="0" fontId="27" fillId="26" borderId="10" xfId="50" applyFont="1" applyFill="1" applyBorder="1" applyAlignment="1" applyProtection="1">
      <alignment horizontal="center" vertical="center" wrapText="1"/>
      <protection hidden="1"/>
    </xf>
    <xf numFmtId="2" fontId="27" fillId="26" borderId="10" xfId="50" applyNumberFormat="1" applyFont="1" applyFill="1" applyBorder="1" applyAlignment="1" applyProtection="1">
      <alignment horizontal="center" vertical="center" wrapText="1"/>
      <protection hidden="1"/>
    </xf>
    <xf numFmtId="0" fontId="69" fillId="0" borderId="11" xfId="0" applyFont="1" applyBorder="1" applyAlignment="1" applyProtection="1">
      <alignment horizontal="center" vertical="center" wrapText="1"/>
      <protection hidden="1"/>
    </xf>
    <xf numFmtId="14" fontId="69" fillId="0" borderId="0" xfId="0" applyNumberFormat="1" applyFont="1" applyFill="1" applyAlignment="1">
      <alignment horizontal="center" vertical="center"/>
    </xf>
    <xf numFmtId="0" fontId="27" fillId="0" borderId="10" xfId="50" applyFont="1" applyFill="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0" fontId="69" fillId="0" borderId="0" xfId="53" applyFont="1" applyFill="1" applyBorder="1" applyAlignment="1">
      <alignment horizontal="center" vertical="center"/>
      <protection/>
    </xf>
    <xf numFmtId="0" fontId="69" fillId="0" borderId="0" xfId="0" applyFont="1" applyBorder="1" applyAlignment="1" applyProtection="1">
      <alignment vertical="center"/>
      <protection hidden="1"/>
    </xf>
    <xf numFmtId="0" fontId="0"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0" fillId="27" borderId="0" xfId="0" applyFont="1" applyFill="1" applyBorder="1" applyAlignment="1">
      <alignment horizontal="center" vertical="center"/>
    </xf>
    <xf numFmtId="0" fontId="26" fillId="27" borderId="0" xfId="0" applyFont="1" applyFill="1" applyBorder="1" applyAlignment="1">
      <alignment horizontal="center" vertical="center"/>
    </xf>
    <xf numFmtId="0" fontId="0" fillId="27" borderId="0" xfId="0" applyFont="1" applyFill="1" applyAlignment="1">
      <alignment horizontal="center" vertical="center"/>
    </xf>
    <xf numFmtId="0" fontId="0" fillId="0" borderId="0" xfId="0" applyFont="1" applyAlignment="1" applyProtection="1">
      <alignment horizontal="center" vertical="center"/>
      <protection hidden="1"/>
    </xf>
    <xf numFmtId="0" fontId="21" fillId="0" borderId="0" xfId="0" applyFont="1" applyAlignment="1">
      <alignment horizontal="center" vertical="center"/>
    </xf>
    <xf numFmtId="0" fontId="27" fillId="0" borderId="0" xfId="0" applyFont="1" applyAlignment="1" applyProtection="1">
      <alignment horizontal="center" vertical="center"/>
      <protection hidden="1"/>
    </xf>
    <xf numFmtId="0" fontId="18" fillId="0" borderId="0" xfId="50" applyFont="1" applyFill="1" applyAlignment="1" applyProtection="1">
      <alignment horizontal="center" vertical="center"/>
      <protection hidden="1"/>
    </xf>
    <xf numFmtId="0" fontId="0" fillId="0" borderId="0" xfId="50" applyFont="1" applyFill="1" applyAlignment="1" applyProtection="1">
      <alignment horizontal="center" vertical="center"/>
      <protection hidden="1"/>
    </xf>
    <xf numFmtId="0" fontId="2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2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vertical="center"/>
      <protection hidden="1"/>
    </xf>
    <xf numFmtId="0" fontId="22" fillId="0" borderId="0" xfId="50" applyFont="1" applyFill="1" applyAlignment="1" applyProtection="1">
      <alignment horizontal="center" vertical="center"/>
      <protection hidden="1"/>
    </xf>
    <xf numFmtId="0" fontId="0" fillId="26" borderId="0" xfId="0" applyFont="1" applyFill="1" applyAlignment="1" applyProtection="1">
      <alignment horizontal="center" vertical="center"/>
      <protection hidden="1"/>
    </xf>
    <xf numFmtId="0" fontId="22" fillId="0" borderId="0" xfId="0" applyFont="1" applyAlignment="1" applyProtection="1">
      <alignment horizontal="center" vertical="center"/>
      <protection hidden="1"/>
    </xf>
    <xf numFmtId="0" fontId="27" fillId="0" borderId="0" xfId="0" applyFont="1" applyFill="1" applyAlignment="1">
      <alignment horizontal="center" vertical="center"/>
    </xf>
    <xf numFmtId="0" fontId="29" fillId="0" borderId="0" xfId="0" applyFont="1" applyAlignment="1" applyProtection="1">
      <alignment horizontal="center" vertical="center"/>
      <protection hidden="1"/>
    </xf>
    <xf numFmtId="0" fontId="19" fillId="0" borderId="0" xfId="0" applyFont="1" applyFill="1" applyAlignment="1">
      <alignment horizontal="center" vertical="center"/>
    </xf>
    <xf numFmtId="0" fontId="21" fillId="0" borderId="0" xfId="0" applyFont="1" applyFill="1" applyAlignment="1" applyProtection="1">
      <alignment horizontal="center" vertical="center"/>
      <protection hidden="1"/>
    </xf>
    <xf numFmtId="0" fontId="18" fillId="32" borderId="0" xfId="50" applyFont="1" applyFill="1" applyAlignment="1" applyProtection="1">
      <alignment horizontal="center" vertical="center"/>
      <protection hidden="1"/>
    </xf>
    <xf numFmtId="0" fontId="18" fillId="26" borderId="0" xfId="50" applyFont="1" applyFill="1" applyAlignment="1" applyProtection="1">
      <alignment horizontal="center" vertical="center"/>
      <protection hidden="1"/>
    </xf>
    <xf numFmtId="0" fontId="0" fillId="26" borderId="0" xfId="50" applyFont="1" applyFill="1" applyAlignment="1" applyProtection="1">
      <alignment horizontal="center" vertical="center"/>
      <protection hidden="1"/>
    </xf>
    <xf numFmtId="0" fontId="22" fillId="0" borderId="0" xfId="50" applyFont="1" applyFill="1" applyAlignment="1" applyProtection="1">
      <alignment horizontal="right" vertical="center"/>
      <protection hidden="1"/>
    </xf>
    <xf numFmtId="0" fontId="18" fillId="25" borderId="10" xfId="0" applyFont="1" applyFill="1" applyBorder="1" applyAlignment="1">
      <alignment horizontal="center" vertical="center"/>
    </xf>
    <xf numFmtId="2" fontId="18" fillId="0" borderId="10" xfId="0" applyNumberFormat="1" applyFont="1" applyBorder="1" applyAlignment="1">
      <alignment horizontal="center" vertical="center"/>
    </xf>
    <xf numFmtId="1" fontId="18" fillId="25" borderId="10" xfId="0" applyNumberFormat="1" applyFont="1" applyFill="1" applyBorder="1" applyAlignment="1">
      <alignment horizontal="center" vertical="center"/>
    </xf>
    <xf numFmtId="0" fontId="76" fillId="0" borderId="10" xfId="0" applyFont="1" applyFill="1" applyBorder="1" applyAlignment="1">
      <alignment horizontal="right" vertical="center"/>
    </xf>
    <xf numFmtId="0" fontId="0" fillId="0" borderId="10" xfId="0" applyFont="1" applyBorder="1" applyAlignment="1" applyProtection="1">
      <alignment horizontal="center" vertical="center" wrapText="1"/>
      <protection hidden="1"/>
    </xf>
    <xf numFmtId="0" fontId="0" fillId="0" borderId="0" xfId="0" applyFont="1" applyBorder="1" applyAlignment="1">
      <alignment horizontal="center" vertical="center"/>
    </xf>
    <xf numFmtId="0" fontId="77" fillId="0" borderId="10" xfId="0" applyFont="1" applyFill="1" applyBorder="1" applyAlignment="1">
      <alignment horizontal="right" vertical="center"/>
    </xf>
    <xf numFmtId="0" fontId="69" fillId="0" borderId="11" xfId="0" applyFont="1" applyBorder="1" applyAlignment="1" applyProtection="1">
      <alignment horizontal="center" vertical="center" wrapText="1"/>
      <protection hidden="1"/>
    </xf>
    <xf numFmtId="0" fontId="75" fillId="0" borderId="20" xfId="0" applyFont="1" applyBorder="1" applyAlignment="1">
      <alignment vertical="center"/>
    </xf>
    <xf numFmtId="0" fontId="69" fillId="0" borderId="10" xfId="0" applyFont="1" applyBorder="1" applyAlignment="1">
      <alignment vertical="center"/>
    </xf>
    <xf numFmtId="0" fontId="21" fillId="26" borderId="10" xfId="0" applyFont="1" applyFill="1" applyBorder="1" applyAlignment="1">
      <alignment horizontal="right" vertical="center"/>
    </xf>
    <xf numFmtId="0" fontId="31" fillId="0" borderId="10" xfId="0" applyFont="1" applyFill="1" applyBorder="1" applyAlignment="1">
      <alignment horizontal="right" vertical="center"/>
    </xf>
    <xf numFmtId="0" fontId="69" fillId="26" borderId="10" xfId="0" applyFont="1" applyFill="1" applyBorder="1" applyAlignment="1">
      <alignment horizontal="right" vertical="center"/>
    </xf>
    <xf numFmtId="0" fontId="21" fillId="0" borderId="10" xfId="0" applyFont="1" applyBorder="1" applyAlignment="1">
      <alignment vertical="center"/>
    </xf>
    <xf numFmtId="0" fontId="75" fillId="0" borderId="18" xfId="0" applyFont="1" applyBorder="1" applyAlignment="1">
      <alignment vertical="center"/>
    </xf>
    <xf numFmtId="0" fontId="75" fillId="0" borderId="0" xfId="0" applyFont="1" applyAlignment="1">
      <alignment vertical="center"/>
    </xf>
    <xf numFmtId="0" fontId="69" fillId="0" borderId="0" xfId="0" applyFont="1" applyAlignment="1" applyProtection="1">
      <alignment vertical="center"/>
      <protection hidden="1"/>
    </xf>
    <xf numFmtId="0" fontId="69" fillId="0" borderId="20" xfId="0" applyFont="1" applyBorder="1" applyAlignment="1" applyProtection="1">
      <alignment horizontal="center" vertical="center"/>
      <protection hidden="1"/>
    </xf>
    <xf numFmtId="0" fontId="69" fillId="0" borderId="20" xfId="51" applyFont="1" applyFill="1" applyBorder="1" applyAlignment="1">
      <alignment horizontal="right" vertical="center"/>
      <protection/>
    </xf>
    <xf numFmtId="0" fontId="69" fillId="0" borderId="14" xfId="0" applyFont="1" applyBorder="1" applyAlignment="1" applyProtection="1">
      <alignment horizontal="center" vertical="center"/>
      <protection hidden="1"/>
    </xf>
    <xf numFmtId="0" fontId="21" fillId="0" borderId="0" xfId="0" applyFont="1" applyBorder="1" applyAlignment="1" applyProtection="1">
      <alignment horizontal="right" vertical="center"/>
      <protection hidden="1"/>
    </xf>
    <xf numFmtId="0" fontId="69" fillId="27" borderId="0" xfId="52" applyFont="1" applyFill="1" applyBorder="1" applyAlignment="1">
      <alignment horizontal="center" vertical="center"/>
      <protection/>
    </xf>
    <xf numFmtId="0" fontId="31" fillId="0" borderId="20" xfId="51" applyFont="1" applyFill="1" applyBorder="1" applyAlignment="1">
      <alignment horizontal="center" vertical="center"/>
      <protection/>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24" borderId="22" xfId="0" applyFont="1" applyFill="1" applyBorder="1" applyAlignment="1">
      <alignment vertical="center"/>
    </xf>
    <xf numFmtId="0" fontId="21" fillId="24" borderId="18" xfId="0" applyFont="1" applyFill="1" applyBorder="1" applyAlignment="1">
      <alignment vertical="center"/>
    </xf>
    <xf numFmtId="0" fontId="21" fillId="26" borderId="0" xfId="50" applyFont="1" applyFill="1" applyAlignment="1" applyProtection="1">
      <alignment vertical="center"/>
      <protection hidden="1"/>
    </xf>
    <xf numFmtId="0" fontId="21" fillId="0" borderId="12"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10" xfId="0" applyFont="1" applyBorder="1" applyAlignment="1">
      <alignment horizontal="center" vertical="center"/>
    </xf>
    <xf numFmtId="0" fontId="31" fillId="0" borderId="10" xfId="51" applyFont="1" applyFill="1" applyBorder="1" applyAlignment="1">
      <alignment horizontal="center" vertical="center"/>
      <protection/>
    </xf>
    <xf numFmtId="0" fontId="31" fillId="25" borderId="10" xfId="51" applyFont="1" applyFill="1" applyBorder="1" applyAlignment="1">
      <alignment horizontal="center" vertical="center"/>
      <protection/>
    </xf>
    <xf numFmtId="1" fontId="22" fillId="0" borderId="10" xfId="51" applyNumberFormat="1" applyFont="1" applyFill="1" applyBorder="1" applyAlignment="1">
      <alignment vertical="center"/>
      <protection/>
    </xf>
    <xf numFmtId="2" fontId="31" fillId="0" borderId="20" xfId="51" applyNumberFormat="1" applyFont="1" applyFill="1" applyBorder="1" applyAlignment="1">
      <alignment horizontal="center" vertical="center"/>
      <protection/>
    </xf>
    <xf numFmtId="0" fontId="31" fillId="25" borderId="20" xfId="51" applyFont="1" applyFill="1" applyBorder="1" applyAlignment="1">
      <alignment horizontal="center" vertical="center"/>
      <protection/>
    </xf>
    <xf numFmtId="2" fontId="31" fillId="0" borderId="10" xfId="51" applyNumberFormat="1" applyFont="1" applyFill="1" applyBorder="1" applyAlignment="1">
      <alignment horizontal="center" vertical="center"/>
      <protection/>
    </xf>
    <xf numFmtId="0" fontId="21" fillId="25" borderId="20" xfId="0" applyFont="1" applyFill="1" applyBorder="1" applyAlignment="1">
      <alignment horizontal="center" vertical="center"/>
    </xf>
    <xf numFmtId="0" fontId="78" fillId="0" borderId="10" xfId="0" applyFont="1" applyFill="1" applyBorder="1" applyAlignment="1">
      <alignment horizontal="right" vertical="center"/>
    </xf>
    <xf numFmtId="0" fontId="31" fillId="0" borderId="15" xfId="51" applyFont="1" applyFill="1" applyBorder="1" applyAlignment="1">
      <alignment vertical="center"/>
      <protection/>
    </xf>
    <xf numFmtId="0" fontId="31" fillId="0" borderId="0" xfId="51" applyFont="1" applyFill="1" applyAlignment="1">
      <alignment vertical="center"/>
      <protection/>
    </xf>
    <xf numFmtId="0" fontId="31" fillId="0" borderId="21" xfId="51" applyFont="1" applyFill="1" applyBorder="1" applyAlignment="1">
      <alignment vertical="center"/>
      <protection/>
    </xf>
    <xf numFmtId="0" fontId="31" fillId="0" borderId="0" xfId="51" applyFont="1" applyFill="1" applyBorder="1" applyAlignment="1">
      <alignment vertical="center"/>
      <protection/>
    </xf>
    <xf numFmtId="0" fontId="21" fillId="24" borderId="18" xfId="0" applyFont="1" applyFill="1" applyBorder="1" applyAlignment="1">
      <alignment horizontal="right"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191" fontId="27" fillId="0" borderId="25" xfId="45" applyNumberFormat="1" applyFont="1" applyBorder="1" applyAlignment="1">
      <alignment horizontal="center" vertical="center"/>
    </xf>
    <xf numFmtId="0" fontId="19" fillId="0" borderId="40" xfId="0" applyFont="1" applyFill="1" applyBorder="1" applyAlignment="1">
      <alignment horizontal="center" vertical="center"/>
    </xf>
    <xf numFmtId="0" fontId="27" fillId="0" borderId="26" xfId="0" applyFont="1" applyBorder="1" applyAlignment="1">
      <alignment horizontal="center" vertical="center"/>
    </xf>
    <xf numFmtId="0" fontId="26" fillId="0" borderId="0" xfId="0" applyFont="1" applyAlignment="1">
      <alignment/>
    </xf>
    <xf numFmtId="0" fontId="19" fillId="30" borderId="0" xfId="0" applyFont="1" applyFill="1" applyAlignment="1">
      <alignment/>
    </xf>
    <xf numFmtId="0" fontId="22" fillId="0" borderId="0" xfId="0" applyFont="1" applyAlignment="1">
      <alignment horizontal="left"/>
    </xf>
    <xf numFmtId="0" fontId="27" fillId="0" borderId="0" xfId="0" applyFont="1" applyAlignment="1">
      <alignment/>
    </xf>
    <xf numFmtId="0" fontId="19" fillId="0" borderId="0" xfId="0" applyFont="1" applyAlignment="1">
      <alignment/>
    </xf>
    <xf numFmtId="14" fontId="19" fillId="0" borderId="0" xfId="0" applyNumberFormat="1" applyFont="1" applyAlignment="1">
      <alignment/>
    </xf>
    <xf numFmtId="0" fontId="42" fillId="0" borderId="0" xfId="0" applyFont="1" applyAlignment="1">
      <alignment/>
    </xf>
    <xf numFmtId="0" fontId="0" fillId="0" borderId="0" xfId="0" applyBorder="1" applyAlignment="1">
      <alignment vertical="center"/>
    </xf>
    <xf numFmtId="0" fontId="0" fillId="0" borderId="36" xfId="0" applyBorder="1" applyAlignment="1">
      <alignment vertical="center"/>
    </xf>
    <xf numFmtId="0" fontId="0" fillId="0" borderId="36" xfId="0" applyFont="1" applyBorder="1" applyAlignment="1">
      <alignment vertical="center"/>
    </xf>
    <xf numFmtId="0" fontId="22" fillId="0" borderId="0" xfId="0" applyFont="1" applyAlignment="1">
      <alignment horizontal="right" vertical="center" readingOrder="2"/>
    </xf>
    <xf numFmtId="0" fontId="43" fillId="0" borderId="0" xfId="0" applyFont="1" applyAlignment="1">
      <alignment vertical="center"/>
    </xf>
    <xf numFmtId="0" fontId="44" fillId="0" borderId="0" xfId="0" applyFont="1" applyAlignment="1">
      <alignment vertical="center" readingOrder="2"/>
    </xf>
    <xf numFmtId="0" fontId="44"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horizontal="right" vertical="center" readingOrder="2"/>
    </xf>
    <xf numFmtId="0" fontId="44" fillId="0" borderId="0" xfId="0" applyFont="1" applyAlignment="1">
      <alignment vertical="center"/>
    </xf>
    <xf numFmtId="0" fontId="21" fillId="0" borderId="0" xfId="0" applyFont="1" applyAlignment="1">
      <alignment horizontal="right" vertical="center" readingOrder="2"/>
    </xf>
    <xf numFmtId="0" fontId="22" fillId="0" borderId="41" xfId="0" applyFont="1" applyBorder="1" applyAlignment="1">
      <alignment vertical="center"/>
    </xf>
    <xf numFmtId="0" fontId="23" fillId="0" borderId="42" xfId="0" applyFont="1" applyBorder="1" applyAlignment="1">
      <alignment vertical="center"/>
    </xf>
    <xf numFmtId="0" fontId="22" fillId="0" borderId="43" xfId="0" applyFont="1" applyBorder="1" applyAlignment="1">
      <alignment vertical="center"/>
    </xf>
    <xf numFmtId="0" fontId="23" fillId="0" borderId="44" xfId="0" applyFont="1" applyBorder="1" applyAlignment="1">
      <alignment vertical="center"/>
    </xf>
    <xf numFmtId="0" fontId="46" fillId="0" borderId="0" xfId="0" applyFont="1" applyAlignment="1">
      <alignment horizontal="right" vertical="center" readingOrder="2"/>
    </xf>
    <xf numFmtId="0" fontId="42" fillId="0" borderId="29" xfId="0" applyFont="1" applyBorder="1" applyAlignment="1">
      <alignment horizontal="left" vertical="center"/>
    </xf>
    <xf numFmtId="0" fontId="23" fillId="0" borderId="0" xfId="0" applyFont="1" applyBorder="1" applyAlignment="1">
      <alignment vertical="center"/>
    </xf>
    <xf numFmtId="0" fontId="21" fillId="0" borderId="45" xfId="0" applyFont="1" applyBorder="1" applyAlignment="1">
      <alignment vertical="center"/>
    </xf>
    <xf numFmtId="0" fontId="28" fillId="0" borderId="46" xfId="0" applyFont="1" applyBorder="1" applyAlignment="1">
      <alignment horizontal="right" vertical="center"/>
    </xf>
    <xf numFmtId="0" fontId="27" fillId="0" borderId="29" xfId="0" applyFont="1" applyBorder="1" applyAlignment="1">
      <alignment vertical="center"/>
    </xf>
    <xf numFmtId="0" fontId="21" fillId="0" borderId="46" xfId="0" applyFont="1" applyBorder="1" applyAlignment="1">
      <alignment horizontal="center" vertical="center"/>
    </xf>
    <xf numFmtId="0" fontId="42" fillId="0" borderId="29" xfId="0" applyFont="1" applyBorder="1" applyAlignment="1">
      <alignment horizontal="center" vertical="center"/>
    </xf>
    <xf numFmtId="0" fontId="40" fillId="0" borderId="0" xfId="0" applyFont="1" applyAlignment="1">
      <alignment horizontal="right" vertical="center" readingOrder="2"/>
    </xf>
    <xf numFmtId="0" fontId="23" fillId="0" borderId="47" xfId="0" applyFont="1" applyBorder="1" applyAlignment="1">
      <alignment vertical="center"/>
    </xf>
    <xf numFmtId="0" fontId="19" fillId="0" borderId="48" xfId="0" applyFont="1" applyBorder="1" applyAlignment="1">
      <alignment vertical="center"/>
    </xf>
    <xf numFmtId="0" fontId="23" fillId="0" borderId="48" xfId="0" applyFont="1" applyBorder="1" applyAlignment="1">
      <alignment vertical="center"/>
    </xf>
    <xf numFmtId="0" fontId="21" fillId="0" borderId="49" xfId="0" applyFont="1" applyBorder="1" applyAlignment="1">
      <alignment vertical="center"/>
    </xf>
    <xf numFmtId="0" fontId="22" fillId="0" borderId="50" xfId="0" applyFont="1" applyBorder="1" applyAlignment="1">
      <alignment horizontal="right" vertical="center"/>
    </xf>
    <xf numFmtId="0" fontId="19" fillId="0" borderId="29" xfId="0" applyFont="1" applyBorder="1" applyAlignment="1">
      <alignment horizontal="right" vertical="center"/>
    </xf>
    <xf numFmtId="0" fontId="21" fillId="0" borderId="46" xfId="0" applyFont="1" applyBorder="1" applyAlignment="1">
      <alignment vertical="center"/>
    </xf>
    <xf numFmtId="0" fontId="29" fillId="0" borderId="0" xfId="0" applyFont="1" applyAlignment="1">
      <alignment horizontal="right" vertical="center" readingOrder="2"/>
    </xf>
    <xf numFmtId="0" fontId="23" fillId="0" borderId="51" xfId="0" applyFont="1" applyBorder="1" applyAlignment="1">
      <alignment vertical="center"/>
    </xf>
    <xf numFmtId="0" fontId="22" fillId="0" borderId="52" xfId="0" applyFont="1" applyBorder="1" applyAlignment="1">
      <alignment vertical="center"/>
    </xf>
    <xf numFmtId="0" fontId="23" fillId="0" borderId="52" xfId="0" applyFont="1" applyBorder="1" applyAlignment="1">
      <alignment vertical="center"/>
    </xf>
    <xf numFmtId="0" fontId="21" fillId="0" borderId="53" xfId="0" applyFont="1" applyBorder="1" applyAlignment="1">
      <alignment vertical="center"/>
    </xf>
    <xf numFmtId="0" fontId="22" fillId="0" borderId="54" xfId="0" applyFont="1" applyBorder="1" applyAlignment="1">
      <alignment horizontal="righ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0" fillId="0" borderId="55" xfId="0" applyFont="1" applyBorder="1" applyAlignment="1">
      <alignment vertical="center"/>
    </xf>
    <xf numFmtId="0" fontId="0" fillId="33" borderId="0" xfId="50" applyFont="1" applyFill="1" applyAlignment="1">
      <alignment horizontal="left" vertical="center"/>
      <protection/>
    </xf>
    <xf numFmtId="0" fontId="0" fillId="26" borderId="0" xfId="0" applyFill="1" applyAlignment="1">
      <alignment vertical="center"/>
    </xf>
    <xf numFmtId="0" fontId="19" fillId="33" borderId="0" xfId="50" applyFont="1" applyFill="1" applyAlignment="1">
      <alignment vertical="center"/>
      <protection/>
    </xf>
    <xf numFmtId="0" fontId="22" fillId="33" borderId="0" xfId="50" applyFont="1" applyFill="1" applyAlignment="1">
      <alignment horizontal="center" vertical="center" readingOrder="2"/>
      <protection/>
    </xf>
    <xf numFmtId="0" fontId="19" fillId="33" borderId="0" xfId="50" applyFont="1" applyFill="1" applyAlignment="1">
      <alignment horizontal="center" vertical="center" readingOrder="2"/>
      <protection/>
    </xf>
    <xf numFmtId="0" fontId="0" fillId="33" borderId="0" xfId="50" applyFont="1" applyFill="1" applyAlignment="1">
      <alignment vertical="center"/>
      <protection/>
    </xf>
    <xf numFmtId="0" fontId="30" fillId="33" borderId="0" xfId="50" applyFont="1" applyFill="1" applyAlignment="1">
      <alignment vertical="center"/>
      <protection/>
    </xf>
    <xf numFmtId="14" fontId="19" fillId="33" borderId="0" xfId="50" applyNumberFormat="1" applyFont="1" applyFill="1" applyAlignment="1">
      <alignment vertical="center"/>
      <protection/>
    </xf>
    <xf numFmtId="0" fontId="18" fillId="33" borderId="0" xfId="50" applyFont="1" applyFill="1" applyAlignment="1">
      <alignment horizontal="right" vertical="center"/>
      <protection/>
    </xf>
    <xf numFmtId="0" fontId="18" fillId="33" borderId="0" xfId="50" applyFont="1" applyFill="1" applyAlignment="1">
      <alignment horizontal="center" vertical="center"/>
      <protection/>
    </xf>
    <xf numFmtId="0" fontId="16" fillId="33" borderId="0" xfId="0" applyFont="1" applyFill="1" applyAlignment="1">
      <alignment vertical="center"/>
    </xf>
    <xf numFmtId="0" fontId="1" fillId="33" borderId="0" xfId="0" applyFont="1" applyFill="1" applyAlignment="1">
      <alignment vertical="center"/>
    </xf>
    <xf numFmtId="0" fontId="30" fillId="33" borderId="0" xfId="50" applyFont="1" applyFill="1" applyAlignment="1">
      <alignment horizontal="center" vertical="center"/>
      <protection/>
    </xf>
    <xf numFmtId="49" fontId="30" fillId="33" borderId="0" xfId="50" applyNumberFormat="1" applyFont="1" applyFill="1" applyAlignment="1">
      <alignment vertical="center"/>
      <protection/>
    </xf>
    <xf numFmtId="0" fontId="18" fillId="33" borderId="0" xfId="50" applyFont="1" applyFill="1" applyAlignment="1">
      <alignment vertical="center"/>
      <protection/>
    </xf>
    <xf numFmtId="0" fontId="48" fillId="33" borderId="0" xfId="0" applyFont="1" applyFill="1" applyAlignment="1">
      <alignment vertical="center"/>
    </xf>
    <xf numFmtId="0" fontId="0" fillId="0" borderId="0" xfId="50" applyFont="1" applyAlignment="1">
      <alignment horizontal="left" vertical="center"/>
      <protection/>
    </xf>
    <xf numFmtId="0" fontId="16" fillId="0" borderId="0" xfId="0" applyFont="1" applyAlignment="1">
      <alignment vertical="center"/>
    </xf>
    <xf numFmtId="0" fontId="19" fillId="0" borderId="0" xfId="50" applyFont="1" applyAlignment="1">
      <alignment vertical="center"/>
      <protection/>
    </xf>
    <xf numFmtId="0" fontId="22" fillId="0" borderId="0" xfId="50" applyFont="1" applyAlignment="1">
      <alignment horizontal="center" vertical="center" readingOrder="2"/>
      <protection/>
    </xf>
    <xf numFmtId="0" fontId="19" fillId="0" borderId="0" xfId="50" applyFont="1" applyAlignment="1">
      <alignment horizontal="center" vertical="center" readingOrder="2"/>
      <protection/>
    </xf>
    <xf numFmtId="0" fontId="0" fillId="0" borderId="0" xfId="50" applyFont="1" applyAlignment="1">
      <alignment vertical="center"/>
      <protection/>
    </xf>
    <xf numFmtId="0" fontId="30" fillId="0" borderId="0" xfId="50" applyFont="1" applyAlignment="1">
      <alignment vertical="center"/>
      <protection/>
    </xf>
    <xf numFmtId="0" fontId="30" fillId="0" borderId="0" xfId="50" applyFont="1" applyAlignment="1">
      <alignment horizontal="center" vertical="center"/>
      <protection/>
    </xf>
    <xf numFmtId="203" fontId="30" fillId="0" borderId="0" xfId="50" applyNumberFormat="1" applyFont="1" applyAlignment="1">
      <alignment vertical="center"/>
      <protection/>
    </xf>
    <xf numFmtId="0" fontId="16" fillId="0" borderId="0" xfId="0" applyFont="1" applyAlignment="1">
      <alignment horizontal="left" vertical="center"/>
    </xf>
    <xf numFmtId="0" fontId="1" fillId="0" borderId="0" xfId="0" applyFont="1" applyAlignment="1">
      <alignment vertical="center"/>
    </xf>
    <xf numFmtId="0" fontId="22" fillId="0" borderId="0" xfId="50" applyFont="1" applyAlignment="1">
      <alignment vertical="center"/>
      <protection/>
    </xf>
    <xf numFmtId="0" fontId="18" fillId="0" borderId="0" xfId="50" applyFont="1" applyAlignment="1">
      <alignment horizontal="left" vertical="center"/>
      <protection/>
    </xf>
    <xf numFmtId="0" fontId="18" fillId="0" borderId="0" xfId="50" applyFont="1" applyAlignment="1">
      <alignment vertical="center"/>
      <protection/>
    </xf>
    <xf numFmtId="0" fontId="48" fillId="0" borderId="0" xfId="0" applyFont="1" applyAlignment="1">
      <alignment vertical="center"/>
    </xf>
    <xf numFmtId="0" fontId="29" fillId="0" borderId="0" xfId="50" applyFont="1" applyAlignment="1">
      <alignment horizontal="right" vertical="center"/>
      <protection/>
    </xf>
    <xf numFmtId="0" fontId="22" fillId="0" borderId="0" xfId="50" applyFont="1" applyAlignment="1">
      <alignment horizontal="right" vertical="center"/>
      <protection/>
    </xf>
    <xf numFmtId="0" fontId="38" fillId="0" borderId="0" xfId="0" applyFont="1" applyAlignment="1">
      <alignment vertical="center"/>
    </xf>
    <xf numFmtId="2" fontId="38" fillId="0" borderId="0" xfId="0" applyNumberFormat="1" applyFont="1" applyAlignment="1">
      <alignment vertical="center"/>
    </xf>
    <xf numFmtId="0" fontId="30" fillId="0" borderId="56" xfId="50" applyFont="1" applyBorder="1" applyAlignment="1">
      <alignment vertical="center" wrapText="1"/>
      <protection/>
    </xf>
    <xf numFmtId="0" fontId="18" fillId="0" borderId="57" xfId="50" applyFont="1" applyBorder="1" applyAlignment="1">
      <alignment vertical="center"/>
      <protection/>
    </xf>
    <xf numFmtId="0" fontId="0" fillId="0" borderId="58" xfId="50" applyFont="1" applyBorder="1" applyAlignment="1">
      <alignment vertical="center"/>
      <protection/>
    </xf>
    <xf numFmtId="0" fontId="0" fillId="0" borderId="58" xfId="50" applyFont="1" applyBorder="1" applyAlignment="1">
      <alignment horizontal="center" vertical="center"/>
      <protection/>
    </xf>
    <xf numFmtId="0" fontId="0" fillId="0" borderId="59" xfId="50" applyFont="1" applyBorder="1" applyAlignment="1">
      <alignment vertical="center"/>
      <protection/>
    </xf>
    <xf numFmtId="203" fontId="0" fillId="0" borderId="58" xfId="50" applyNumberFormat="1" applyFont="1" applyBorder="1" applyAlignment="1">
      <alignment vertical="center"/>
      <protection/>
    </xf>
    <xf numFmtId="0" fontId="0" fillId="0" borderId="60" xfId="50" applyFont="1" applyBorder="1" applyAlignment="1">
      <alignment vertical="center"/>
      <protection/>
    </xf>
    <xf numFmtId="0" fontId="0" fillId="0" borderId="0" xfId="50" applyFont="1" applyBorder="1" applyAlignment="1">
      <alignment vertical="center"/>
      <protection/>
    </xf>
    <xf numFmtId="0" fontId="30" fillId="0" borderId="45" xfId="50" applyFont="1" applyBorder="1" applyAlignment="1">
      <alignment vertical="center"/>
      <protection/>
    </xf>
    <xf numFmtId="0" fontId="30" fillId="0" borderId="0" xfId="50" applyFont="1" applyBorder="1" applyAlignment="1">
      <alignment vertical="center"/>
      <protection/>
    </xf>
    <xf numFmtId="0" fontId="30" fillId="0" borderId="0" xfId="50" applyFont="1" applyBorder="1" applyAlignment="1">
      <alignment horizontal="center" vertical="center"/>
      <protection/>
    </xf>
    <xf numFmtId="0" fontId="30" fillId="0" borderId="19" xfId="50" applyFont="1" applyBorder="1" applyAlignment="1">
      <alignment vertical="center"/>
      <protection/>
    </xf>
    <xf numFmtId="203" fontId="30" fillId="0" borderId="0" xfId="50" applyNumberFormat="1" applyFont="1" applyBorder="1" applyAlignment="1">
      <alignment vertical="center"/>
      <protection/>
    </xf>
    <xf numFmtId="0" fontId="30" fillId="0" borderId="56" xfId="50" applyFont="1" applyBorder="1" applyAlignment="1">
      <alignment vertical="center"/>
      <protection/>
    </xf>
    <xf numFmtId="0" fontId="18" fillId="0" borderId="10" xfId="50" applyFont="1" applyBorder="1" applyAlignment="1">
      <alignment vertical="center"/>
      <protection/>
    </xf>
    <xf numFmtId="0" fontId="30" fillId="0" borderId="61" xfId="50" applyFont="1" applyBorder="1" applyAlignment="1">
      <alignment vertical="center"/>
      <protection/>
    </xf>
    <xf numFmtId="0" fontId="30" fillId="0" borderId="62" xfId="50" applyFont="1" applyBorder="1" applyAlignment="1">
      <alignment vertical="center"/>
      <protection/>
    </xf>
    <xf numFmtId="0" fontId="30" fillId="0" borderId="62" xfId="50" applyFont="1" applyBorder="1" applyAlignment="1">
      <alignment horizontal="center" vertical="center"/>
      <protection/>
    </xf>
    <xf numFmtId="0" fontId="30" fillId="0" borderId="59" xfId="50" applyFont="1" applyBorder="1" applyAlignment="1">
      <alignment vertical="center"/>
      <protection/>
    </xf>
    <xf numFmtId="203" fontId="30" fillId="0" borderId="62" xfId="50" applyNumberFormat="1" applyFont="1" applyBorder="1" applyAlignment="1">
      <alignment vertical="center"/>
      <protection/>
    </xf>
    <xf numFmtId="0" fontId="30" fillId="0" borderId="63" xfId="50" applyFont="1" applyBorder="1" applyAlignment="1">
      <alignment vertical="center"/>
      <protection/>
    </xf>
    <xf numFmtId="2" fontId="18" fillId="0" borderId="10" xfId="50" applyNumberFormat="1" applyFont="1" applyBorder="1" applyAlignment="1">
      <alignment horizontal="center" vertical="center"/>
      <protection/>
    </xf>
    <xf numFmtId="0" fontId="18" fillId="0" borderId="10" xfId="50" applyFont="1" applyBorder="1" applyAlignment="1">
      <alignment horizontal="center" vertical="center"/>
      <protection/>
    </xf>
    <xf numFmtId="9" fontId="18" fillId="0" borderId="24" xfId="55" applyFont="1" applyBorder="1" applyAlignment="1">
      <alignment horizontal="right" vertical="center"/>
    </xf>
    <xf numFmtId="0" fontId="18" fillId="0" borderId="18" xfId="50" applyFont="1" applyBorder="1" applyAlignment="1">
      <alignment vertical="center"/>
      <protection/>
    </xf>
    <xf numFmtId="0" fontId="30" fillId="0" borderId="0" xfId="50" applyFont="1" applyAlignment="1">
      <alignment horizontal="left" vertical="center"/>
      <protection/>
    </xf>
    <xf numFmtId="0" fontId="30" fillId="0" borderId="64" xfId="50" applyFont="1" applyBorder="1" applyAlignment="1">
      <alignment vertical="center"/>
      <protection/>
    </xf>
    <xf numFmtId="0" fontId="30" fillId="0" borderId="10" xfId="50" applyFont="1" applyBorder="1" applyAlignment="1">
      <alignment vertical="center"/>
      <protection/>
    </xf>
    <xf numFmtId="0" fontId="30" fillId="0" borderId="10" xfId="50" applyFont="1" applyBorder="1" applyAlignment="1">
      <alignment horizontal="center" vertical="center"/>
      <protection/>
    </xf>
    <xf numFmtId="0" fontId="30" fillId="0" borderId="18" xfId="50" applyFont="1" applyBorder="1" applyAlignment="1">
      <alignment vertical="center"/>
      <protection/>
    </xf>
    <xf numFmtId="9" fontId="18" fillId="0" borderId="24" xfId="50" applyNumberFormat="1" applyFont="1" applyBorder="1" applyAlignment="1">
      <alignment vertical="center"/>
      <protection/>
    </xf>
    <xf numFmtId="0" fontId="19" fillId="28" borderId="0" xfId="50" applyFont="1" applyFill="1" applyAlignment="1">
      <alignment horizontal="right" vertical="center"/>
      <protection/>
    </xf>
    <xf numFmtId="0" fontId="19" fillId="28" borderId="0" xfId="0" applyFont="1" applyFill="1" applyAlignment="1">
      <alignment horizontal="right" vertical="center"/>
    </xf>
    <xf numFmtId="14" fontId="19" fillId="28" borderId="0" xfId="0" applyNumberFormat="1" applyFont="1" applyFill="1" applyAlignment="1">
      <alignment horizontal="right" vertical="center"/>
    </xf>
    <xf numFmtId="0" fontId="19" fillId="28" borderId="0" xfId="0" applyFont="1" applyFill="1" applyAlignment="1">
      <alignment vertical="center"/>
    </xf>
    <xf numFmtId="0" fontId="30" fillId="0" borderId="13" xfId="50" applyFont="1" applyBorder="1" applyAlignment="1">
      <alignment vertical="center"/>
      <protection/>
    </xf>
    <xf numFmtId="0" fontId="30" fillId="0" borderId="13" xfId="50" applyFont="1" applyBorder="1" applyAlignment="1">
      <alignment horizontal="center" vertical="center"/>
      <protection/>
    </xf>
    <xf numFmtId="0" fontId="30" fillId="0" borderId="10" xfId="50" applyFont="1" applyFill="1" applyBorder="1" applyAlignment="1">
      <alignment vertical="center"/>
      <protection/>
    </xf>
    <xf numFmtId="203" fontId="30" fillId="0" borderId="13" xfId="50" applyNumberFormat="1" applyFont="1" applyBorder="1" applyAlignment="1">
      <alignment vertical="center"/>
      <protection/>
    </xf>
    <xf numFmtId="0" fontId="30" fillId="0" borderId="65" xfId="50" applyFont="1" applyBorder="1" applyAlignment="1">
      <alignment vertical="center"/>
      <protection/>
    </xf>
    <xf numFmtId="0" fontId="49" fillId="0" borderId="0" xfId="50" applyFont="1" applyAlignment="1">
      <alignment vertical="center"/>
      <protection/>
    </xf>
    <xf numFmtId="0" fontId="19" fillId="0" borderId="0" xfId="50" applyFont="1" applyAlignment="1">
      <alignment horizontal="right" vertical="center"/>
      <protection/>
    </xf>
    <xf numFmtId="16" fontId="30" fillId="0" borderId="0" xfId="50" applyNumberFormat="1" applyFont="1" applyAlignment="1">
      <alignment horizontal="left" vertical="center"/>
      <protection/>
    </xf>
    <xf numFmtId="16" fontId="30" fillId="0" borderId="0" xfId="50" applyNumberFormat="1" applyFont="1" applyAlignment="1">
      <alignment vertical="center"/>
      <protection/>
    </xf>
    <xf numFmtId="0" fontId="18" fillId="0" borderId="0" xfId="50" applyFont="1" applyBorder="1" applyAlignment="1">
      <alignment vertical="center"/>
      <protection/>
    </xf>
    <xf numFmtId="203" fontId="18" fillId="0" borderId="0" xfId="50" applyNumberFormat="1" applyFont="1" applyBorder="1" applyAlignment="1">
      <alignment vertical="center"/>
      <protection/>
    </xf>
    <xf numFmtId="0" fontId="30" fillId="0" borderId="66" xfId="50" applyFont="1" applyBorder="1" applyAlignment="1">
      <alignment vertical="center"/>
      <protection/>
    </xf>
    <xf numFmtId="0" fontId="30" fillId="0" borderId="36" xfId="50" applyFont="1" applyBorder="1" applyAlignment="1">
      <alignment vertical="center"/>
      <protection/>
    </xf>
    <xf numFmtId="0" fontId="30" fillId="0" borderId="36" xfId="50" applyFont="1" applyBorder="1" applyAlignment="1">
      <alignment horizontal="center" vertical="center"/>
      <protection/>
    </xf>
    <xf numFmtId="0" fontId="30" fillId="0" borderId="67" xfId="50" applyFont="1" applyBorder="1" applyAlignment="1">
      <alignment vertical="center"/>
      <protection/>
    </xf>
    <xf numFmtId="203" fontId="30" fillId="0" borderId="36" xfId="50" applyNumberFormat="1" applyFont="1" applyBorder="1" applyAlignment="1">
      <alignment vertical="center"/>
      <protection/>
    </xf>
    <xf numFmtId="0" fontId="30" fillId="0" borderId="68" xfId="50" applyFont="1" applyBorder="1" applyAlignment="1">
      <alignment vertical="center"/>
      <protection/>
    </xf>
    <xf numFmtId="0" fontId="30" fillId="0" borderId="69" xfId="50" applyFont="1" applyBorder="1" applyAlignment="1">
      <alignment vertical="center"/>
      <protection/>
    </xf>
    <xf numFmtId="0" fontId="30" fillId="0" borderId="32" xfId="50" applyFont="1" applyBorder="1" applyAlignment="1">
      <alignment vertical="center"/>
      <protection/>
    </xf>
    <xf numFmtId="0" fontId="30" fillId="0" borderId="32" xfId="50" applyFont="1" applyBorder="1" applyAlignment="1">
      <alignment horizontal="center" vertical="center"/>
      <protection/>
    </xf>
    <xf numFmtId="0" fontId="30" fillId="0" borderId="16" xfId="50" applyFont="1" applyBorder="1" applyAlignment="1">
      <alignment vertical="center"/>
      <protection/>
    </xf>
    <xf numFmtId="203" fontId="30" fillId="0" borderId="32" xfId="50" applyNumberFormat="1" applyFont="1" applyBorder="1" applyAlignment="1">
      <alignment vertical="center"/>
      <protection/>
    </xf>
    <xf numFmtId="0" fontId="30" fillId="0" borderId="70" xfId="50" applyFont="1" applyBorder="1" applyAlignment="1">
      <alignment vertical="center"/>
      <protection/>
    </xf>
    <xf numFmtId="0" fontId="30" fillId="0" borderId="0" xfId="50" applyFont="1" applyFill="1" applyBorder="1" applyAlignment="1">
      <alignment vertical="center"/>
      <protection/>
    </xf>
    <xf numFmtId="0" fontId="50" fillId="0" borderId="0" xfId="0" applyFont="1" applyAlignment="1">
      <alignment vertical="center"/>
    </xf>
    <xf numFmtId="0" fontId="22" fillId="0" borderId="0" xfId="50" applyFont="1" applyAlignment="1">
      <alignment horizontal="left" vertical="center"/>
      <protection/>
    </xf>
    <xf numFmtId="203" fontId="16" fillId="0" borderId="0" xfId="0" applyNumberFormat="1" applyFont="1" applyAlignment="1">
      <alignment vertical="center"/>
    </xf>
    <xf numFmtId="0" fontId="16" fillId="0" borderId="0" xfId="0" applyFont="1" applyAlignment="1">
      <alignment horizontal="center" vertical="center"/>
    </xf>
    <xf numFmtId="0" fontId="48" fillId="0" borderId="0" xfId="0" applyFont="1" applyAlignment="1">
      <alignment horizontal="left" vertical="center"/>
    </xf>
    <xf numFmtId="0" fontId="30" fillId="0" borderId="0" xfId="50" applyFont="1" applyFill="1" applyBorder="1" applyAlignment="1">
      <alignment horizontal="left" vertical="center"/>
      <protection/>
    </xf>
    <xf numFmtId="0" fontId="30" fillId="0" borderId="0" xfId="50" applyNumberFormat="1" applyFont="1" applyAlignment="1">
      <alignment vertical="center" wrapText="1"/>
      <protection/>
    </xf>
    <xf numFmtId="0" fontId="30" fillId="0" borderId="0" xfId="50" applyFont="1" applyAlignment="1">
      <alignment horizontal="right" vertical="center"/>
      <protection/>
    </xf>
    <xf numFmtId="0" fontId="18" fillId="0" borderId="0" xfId="50" applyNumberFormat="1" applyFont="1" applyAlignment="1">
      <alignment vertical="center" wrapText="1"/>
      <protection/>
    </xf>
    <xf numFmtId="0" fontId="52" fillId="0" borderId="0" xfId="0" applyFont="1" applyAlignment="1">
      <alignment horizontal="center" vertical="center"/>
    </xf>
    <xf numFmtId="0" fontId="52" fillId="0" borderId="0" xfId="0" applyFont="1" applyAlignment="1">
      <alignment horizontal="right" vertical="center"/>
    </xf>
    <xf numFmtId="0" fontId="53" fillId="0" borderId="0" xfId="0" applyFont="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center" vertical="center"/>
    </xf>
    <xf numFmtId="203" fontId="16" fillId="0" borderId="0" xfId="0" applyNumberFormat="1" applyFont="1" applyBorder="1" applyAlignment="1">
      <alignment vertical="center"/>
    </xf>
    <xf numFmtId="0" fontId="1" fillId="0" borderId="0" xfId="0" applyFont="1" applyBorder="1" applyAlignment="1">
      <alignment vertical="center"/>
    </xf>
    <xf numFmtId="0" fontId="18" fillId="34" borderId="10" xfId="0" applyFont="1" applyFill="1" applyBorder="1" applyAlignment="1">
      <alignment horizontal="center"/>
    </xf>
    <xf numFmtId="0" fontId="0" fillId="0" borderId="10" xfId="0" applyBorder="1" applyAlignment="1">
      <alignment horizontal="center"/>
    </xf>
    <xf numFmtId="0" fontId="30" fillId="0" borderId="0" xfId="0" applyFont="1" applyAlignment="1">
      <alignment/>
    </xf>
    <xf numFmtId="0" fontId="0" fillId="0" borderId="0" xfId="0" applyFont="1" applyAlignment="1">
      <alignment horizontal="center"/>
    </xf>
    <xf numFmtId="0" fontId="19" fillId="0" borderId="71" xfId="0" applyFont="1" applyBorder="1" applyAlignment="1">
      <alignment horizontal="center" vertical="center"/>
    </xf>
    <xf numFmtId="0" fontId="19" fillId="0" borderId="72" xfId="0" applyFont="1" applyBorder="1" applyAlignment="1" applyProtection="1">
      <alignment horizontal="center" vertical="center"/>
      <protection hidden="1"/>
    </xf>
    <xf numFmtId="0" fontId="19" fillId="0" borderId="72" xfId="0" applyFont="1" applyBorder="1" applyAlignment="1" applyProtection="1">
      <alignment horizontal="center"/>
      <protection hidden="1"/>
    </xf>
    <xf numFmtId="0" fontId="19" fillId="0" borderId="72" xfId="0" applyFont="1" applyBorder="1" applyAlignment="1">
      <alignment horizontal="center" vertical="center"/>
    </xf>
    <xf numFmtId="0" fontId="19" fillId="0" borderId="72" xfId="0" applyFont="1" applyBorder="1" applyAlignment="1">
      <alignment horizontal="center" vertical="center" wrapText="1"/>
    </xf>
    <xf numFmtId="0" fontId="19" fillId="0" borderId="72" xfId="0" applyFont="1" applyFill="1" applyBorder="1" applyAlignment="1">
      <alignment horizontal="center" vertical="center" wrapText="1"/>
    </xf>
    <xf numFmtId="0" fontId="19" fillId="0" borderId="73" xfId="0" applyFont="1" applyBorder="1" applyAlignment="1">
      <alignment horizontal="center" vertical="center" wrapText="1"/>
    </xf>
    <xf numFmtId="0" fontId="0" fillId="0" borderId="0" xfId="0" applyFont="1" applyAlignment="1">
      <alignment/>
    </xf>
    <xf numFmtId="0" fontId="30" fillId="0" borderId="24" xfId="0" applyFont="1" applyBorder="1" applyAlignment="1" applyProtection="1">
      <alignment horizontal="center" vertical="center" wrapText="1"/>
      <protection hidden="1"/>
    </xf>
    <xf numFmtId="14" fontId="21" fillId="0" borderId="57" xfId="0" applyNumberFormat="1" applyFont="1" applyBorder="1" applyAlignment="1">
      <alignment vertical="center"/>
    </xf>
    <xf numFmtId="0" fontId="21" fillId="0" borderId="58" xfId="0" applyFont="1" applyFill="1" applyBorder="1" applyAlignment="1">
      <alignment/>
    </xf>
    <xf numFmtId="2" fontId="21" fillId="0" borderId="58" xfId="0" applyNumberFormat="1" applyFont="1" applyFill="1" applyBorder="1" applyAlignment="1">
      <alignment horizontal="center"/>
    </xf>
    <xf numFmtId="2" fontId="22" fillId="0" borderId="58" xfId="0" applyNumberFormat="1" applyFont="1" applyBorder="1" applyAlignment="1">
      <alignment horizontal="center"/>
    </xf>
    <xf numFmtId="0" fontId="27" fillId="0" borderId="58" xfId="0" applyFont="1" applyBorder="1" applyAlignment="1">
      <alignment horizontal="center"/>
    </xf>
    <xf numFmtId="2" fontId="22" fillId="0" borderId="60" xfId="0" applyNumberFormat="1" applyFont="1" applyBorder="1" applyAlignment="1">
      <alignment horizontal="center"/>
    </xf>
    <xf numFmtId="0" fontId="67" fillId="35" borderId="0" xfId="0" applyFont="1" applyFill="1" applyAlignment="1">
      <alignment/>
    </xf>
    <xf numFmtId="0" fontId="18" fillId="35" borderId="0" xfId="0" applyFont="1" applyFill="1" applyAlignment="1">
      <alignment/>
    </xf>
    <xf numFmtId="0" fontId="30" fillId="0" borderId="24" xfId="0" applyFont="1" applyBorder="1" applyAlignment="1" applyProtection="1">
      <alignment horizontal="center" vertical="center" wrapText="1" readingOrder="2"/>
      <protection hidden="1"/>
    </xf>
    <xf numFmtId="0" fontId="21" fillId="0" borderId="64" xfId="0" applyFont="1" applyFill="1" applyBorder="1" applyAlignment="1">
      <alignment/>
    </xf>
    <xf numFmtId="0" fontId="21" fillId="0" borderId="10" xfId="0" applyFont="1" applyFill="1" applyBorder="1" applyAlignment="1">
      <alignment/>
    </xf>
    <xf numFmtId="2" fontId="21" fillId="0" borderId="10" xfId="0" applyNumberFormat="1" applyFont="1" applyFill="1" applyBorder="1" applyAlignment="1">
      <alignment horizontal="center"/>
    </xf>
    <xf numFmtId="2" fontId="22" fillId="0" borderId="10" xfId="0" applyNumberFormat="1" applyFont="1" applyBorder="1" applyAlignment="1">
      <alignment horizontal="center"/>
    </xf>
    <xf numFmtId="0" fontId="27" fillId="0" borderId="10" xfId="0" applyFont="1" applyBorder="1" applyAlignment="1">
      <alignment horizontal="center"/>
    </xf>
    <xf numFmtId="2" fontId="22" fillId="0" borderId="37" xfId="0" applyNumberFormat="1" applyFont="1" applyBorder="1" applyAlignment="1">
      <alignment horizontal="center"/>
    </xf>
    <xf numFmtId="0" fontId="31" fillId="0" borderId="64" xfId="0" applyFont="1" applyFill="1" applyBorder="1" applyAlignment="1">
      <alignment vertical="center"/>
    </xf>
    <xf numFmtId="0" fontId="31" fillId="0" borderId="10" xfId="0" applyFont="1" applyFill="1" applyBorder="1" applyAlignment="1">
      <alignment vertical="center"/>
    </xf>
    <xf numFmtId="0" fontId="54" fillId="0" borderId="10" xfId="0" applyFont="1" applyFill="1" applyBorder="1" applyAlignment="1">
      <alignment horizontal="center" vertical="center"/>
    </xf>
    <xf numFmtId="2" fontId="21" fillId="0" borderId="10" xfId="0" applyNumberFormat="1" applyFont="1" applyFill="1" applyBorder="1" applyAlignment="1">
      <alignment horizontal="center" vertical="center"/>
    </xf>
    <xf numFmtId="2" fontId="21" fillId="0" borderId="10" xfId="0" applyNumberFormat="1" applyFont="1" applyBorder="1" applyAlignment="1">
      <alignment horizontal="center" vertical="center"/>
    </xf>
    <xf numFmtId="0" fontId="21" fillId="0" borderId="10" xfId="0" applyFont="1" applyFill="1" applyBorder="1" applyAlignment="1" applyProtection="1">
      <alignment horizontal="center" vertical="center" wrapText="1"/>
      <protection hidden="1"/>
    </xf>
    <xf numFmtId="0" fontId="67" fillId="35" borderId="0" xfId="0" applyFont="1" applyFill="1" applyBorder="1" applyAlignment="1">
      <alignment/>
    </xf>
    <xf numFmtId="0" fontId="55" fillId="0" borderId="10" xfId="51" applyFont="1" applyFill="1" applyBorder="1" applyAlignment="1">
      <alignment horizontal="center" vertical="center"/>
      <protection/>
    </xf>
    <xf numFmtId="0" fontId="41"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18" fillId="26" borderId="0" xfId="0" applyFont="1" applyFill="1" applyAlignment="1">
      <alignment vertical="center"/>
    </xf>
    <xf numFmtId="0" fontId="19" fillId="0" borderId="0" xfId="0" applyFont="1" applyFill="1" applyAlignment="1">
      <alignment/>
    </xf>
    <xf numFmtId="0" fontId="0" fillId="0" borderId="0" xfId="0" applyFill="1" applyAlignment="1">
      <alignment/>
    </xf>
    <xf numFmtId="0" fontId="21" fillId="0" borderId="64" xfId="0" applyFont="1" applyBorder="1" applyAlignment="1">
      <alignment/>
    </xf>
    <xf numFmtId="0" fontId="21" fillId="0" borderId="10" xfId="0" applyFont="1" applyBorder="1" applyAlignment="1">
      <alignment/>
    </xf>
    <xf numFmtId="2" fontId="21" fillId="0" borderId="10" xfId="0" applyNumberFormat="1" applyFont="1" applyBorder="1" applyAlignment="1">
      <alignment horizontal="center"/>
    </xf>
    <xf numFmtId="0" fontId="30" fillId="0" borderId="74" xfId="0" applyFont="1" applyBorder="1" applyAlignment="1" applyProtection="1">
      <alignment horizontal="center" vertical="center" wrapText="1" readingOrder="2"/>
      <protection hidden="1"/>
    </xf>
    <xf numFmtId="0" fontId="21" fillId="0" borderId="75" xfId="0" applyFont="1" applyFill="1" applyBorder="1" applyAlignment="1">
      <alignment/>
    </xf>
    <xf numFmtId="0" fontId="21" fillId="0" borderId="38" xfId="0" applyFont="1" applyFill="1" applyBorder="1" applyAlignment="1">
      <alignment/>
    </xf>
    <xf numFmtId="2" fontId="21" fillId="0" borderId="38" xfId="0" applyNumberFormat="1" applyFont="1" applyFill="1" applyBorder="1" applyAlignment="1">
      <alignment horizontal="center"/>
    </xf>
    <xf numFmtId="2" fontId="22" fillId="0" borderId="38" xfId="0" applyNumberFormat="1" applyFont="1" applyBorder="1" applyAlignment="1">
      <alignment horizontal="center"/>
    </xf>
    <xf numFmtId="0" fontId="27" fillId="0" borderId="38" xfId="0" applyFont="1" applyBorder="1" applyAlignment="1">
      <alignment horizontal="center"/>
    </xf>
    <xf numFmtId="2" fontId="22" fillId="0" borderId="39" xfId="0" applyNumberFormat="1" applyFont="1" applyBorder="1" applyAlignment="1">
      <alignment horizontal="center"/>
    </xf>
    <xf numFmtId="0" fontId="30" fillId="0" borderId="0" xfId="0" applyFont="1" applyBorder="1" applyAlignment="1" applyProtection="1">
      <alignment horizontal="center" vertical="center" wrapText="1" readingOrder="2"/>
      <protection hidden="1"/>
    </xf>
    <xf numFmtId="0" fontId="22" fillId="0" borderId="0" xfId="0" applyFont="1" applyFill="1" applyAlignment="1">
      <alignment/>
    </xf>
    <xf numFmtId="0" fontId="0" fillId="0" borderId="0" xfId="0" applyBorder="1" applyAlignment="1">
      <alignment/>
    </xf>
    <xf numFmtId="0" fontId="30" fillId="0" borderId="0" xfId="0" applyFont="1" applyBorder="1" applyAlignment="1" applyProtection="1">
      <alignment horizontal="center" vertical="center" wrapText="1"/>
      <protection hidden="1"/>
    </xf>
    <xf numFmtId="0" fontId="56" fillId="0" borderId="0" xfId="0" applyFont="1" applyFill="1" applyBorder="1" applyAlignment="1">
      <alignment vertical="center"/>
    </xf>
    <xf numFmtId="0" fontId="0" fillId="0" borderId="10" xfId="0" applyBorder="1" applyAlignment="1">
      <alignment/>
    </xf>
    <xf numFmtId="0" fontId="31" fillId="0" borderId="75" xfId="0" applyFont="1" applyFill="1" applyBorder="1" applyAlignment="1">
      <alignment vertical="center"/>
    </xf>
    <xf numFmtId="0" fontId="31" fillId="0" borderId="38" xfId="0" applyFont="1" applyFill="1" applyBorder="1" applyAlignment="1">
      <alignment vertical="center"/>
    </xf>
    <xf numFmtId="0" fontId="55" fillId="0" borderId="38" xfId="51" applyFont="1" applyFill="1" applyBorder="1" applyAlignment="1">
      <alignment horizontal="center" vertical="center"/>
      <protection/>
    </xf>
    <xf numFmtId="2" fontId="21" fillId="0" borderId="38" xfId="0" applyNumberFormat="1" applyFont="1" applyFill="1" applyBorder="1" applyAlignment="1">
      <alignment horizontal="center" vertical="center"/>
    </xf>
    <xf numFmtId="2" fontId="21" fillId="0" borderId="38" xfId="0" applyNumberFormat="1" applyFont="1" applyBorder="1" applyAlignment="1">
      <alignment horizontal="center" vertical="center"/>
    </xf>
    <xf numFmtId="0" fontId="57" fillId="0" borderId="0" xfId="0" applyFont="1" applyFill="1" applyBorder="1" applyAlignment="1">
      <alignment horizontal="center" vertical="center"/>
    </xf>
    <xf numFmtId="2" fontId="21" fillId="0" borderId="0" xfId="0" applyNumberFormat="1" applyFont="1" applyFill="1" applyBorder="1" applyAlignment="1">
      <alignment horizontal="center" vertical="center"/>
    </xf>
    <xf numFmtId="2" fontId="21" fillId="0" borderId="0" xfId="0" applyNumberFormat="1" applyFont="1" applyBorder="1" applyAlignment="1">
      <alignment horizontal="center" vertical="center"/>
    </xf>
    <xf numFmtId="2" fontId="22" fillId="0" borderId="0" xfId="0" applyNumberFormat="1" applyFont="1" applyBorder="1" applyAlignment="1">
      <alignment horizontal="center"/>
    </xf>
    <xf numFmtId="0" fontId="27" fillId="0" borderId="0" xfId="0" applyFont="1" applyBorder="1" applyAlignment="1">
      <alignment horizontal="center"/>
    </xf>
    <xf numFmtId="0" fontId="58" fillId="0" borderId="0" xfId="0" applyFont="1" applyFill="1" applyBorder="1" applyAlignment="1">
      <alignment horizontal="center" vertical="center"/>
    </xf>
    <xf numFmtId="2" fontId="59" fillId="0" borderId="0" xfId="0" applyNumberFormat="1" applyFont="1" applyBorder="1" applyAlignment="1">
      <alignment horizontal="center" vertical="center"/>
    </xf>
    <xf numFmtId="0" fontId="56" fillId="0" borderId="0" xfId="0" applyFont="1" applyFill="1" applyBorder="1" applyAlignment="1">
      <alignment/>
    </xf>
    <xf numFmtId="0" fontId="56" fillId="0" borderId="0" xfId="51" applyFont="1" applyFill="1" applyBorder="1" applyAlignment="1">
      <alignment/>
      <protection/>
    </xf>
    <xf numFmtId="0" fontId="0" fillId="0" borderId="0" xfId="0" applyFill="1" applyBorder="1" applyAlignment="1">
      <alignment/>
    </xf>
    <xf numFmtId="0" fontId="27" fillId="0" borderId="0" xfId="0" applyFont="1" applyFill="1" applyBorder="1" applyAlignment="1">
      <alignment horizontal="center"/>
    </xf>
    <xf numFmtId="2" fontId="27" fillId="0" borderId="0" xfId="0" applyNumberFormat="1" applyFont="1" applyBorder="1" applyAlignment="1">
      <alignment horizontal="center"/>
    </xf>
    <xf numFmtId="2" fontId="19" fillId="0" borderId="0" xfId="0" applyNumberFormat="1" applyFont="1" applyBorder="1" applyAlignment="1">
      <alignment horizontal="center"/>
    </xf>
    <xf numFmtId="2" fontId="0" fillId="0" borderId="0" xfId="0" applyNumberFormat="1" applyBorder="1" applyAlignment="1">
      <alignment/>
    </xf>
    <xf numFmtId="2" fontId="0" fillId="0" borderId="0" xfId="0" applyNumberFormat="1" applyAlignment="1">
      <alignment/>
    </xf>
    <xf numFmtId="1" fontId="30" fillId="28" borderId="25" xfId="0" applyNumberFormat="1" applyFont="1" applyFill="1" applyBorder="1" applyAlignment="1">
      <alignment horizontal="center" vertical="center"/>
    </xf>
    <xf numFmtId="0" fontId="72" fillId="0" borderId="10" xfId="0" applyFont="1" applyFill="1" applyBorder="1" applyAlignment="1">
      <alignment horizontal="center" vertical="center"/>
    </xf>
    <xf numFmtId="2" fontId="19" fillId="0" borderId="28" xfId="0" applyNumberFormat="1" applyFont="1" applyBorder="1" applyAlignment="1">
      <alignment horizontal="center" vertical="center"/>
    </xf>
    <xf numFmtId="1" fontId="19" fillId="0" borderId="28" xfId="0" applyNumberFormat="1" applyFont="1" applyFill="1" applyBorder="1" applyAlignment="1">
      <alignment horizontal="center" vertical="center"/>
    </xf>
    <xf numFmtId="0" fontId="30" fillId="28" borderId="28" xfId="0" applyFont="1" applyFill="1" applyBorder="1" applyAlignment="1">
      <alignment horizontal="center" vertical="center"/>
    </xf>
    <xf numFmtId="0" fontId="27" fillId="0" borderId="76" xfId="0" applyFont="1" applyBorder="1" applyAlignment="1">
      <alignment horizontal="center" vertical="center"/>
    </xf>
    <xf numFmtId="2" fontId="0" fillId="32" borderId="10" xfId="0" applyNumberFormat="1" applyFont="1" applyFill="1" applyBorder="1" applyAlignment="1">
      <alignment horizontal="center" vertical="center"/>
    </xf>
    <xf numFmtId="0" fontId="78" fillId="30" borderId="0" xfId="0" applyFont="1" applyFill="1" applyAlignment="1">
      <alignment horizontal="left"/>
    </xf>
    <xf numFmtId="0" fontId="78" fillId="30" borderId="0" xfId="0" applyFont="1" applyFill="1" applyAlignment="1">
      <alignment/>
    </xf>
    <xf numFmtId="0" fontId="27" fillId="0" borderId="77" xfId="50" applyFont="1" applyFill="1" applyBorder="1" applyAlignment="1" applyProtection="1">
      <alignment horizontal="right" vertical="center"/>
      <protection hidden="1"/>
    </xf>
    <xf numFmtId="0" fontId="21" fillId="0" borderId="78" xfId="50" applyFont="1" applyFill="1" applyBorder="1" applyAlignment="1" applyProtection="1">
      <alignment horizontal="right" vertical="center"/>
      <protection hidden="1"/>
    </xf>
    <xf numFmtId="0" fontId="27" fillId="0" borderId="78" xfId="50" applyFont="1" applyFill="1" applyBorder="1" applyAlignment="1" applyProtection="1">
      <alignment horizontal="right" vertical="center"/>
      <protection hidden="1"/>
    </xf>
    <xf numFmtId="0" fontId="21" fillId="0" borderId="79" xfId="50" applyFont="1" applyFill="1" applyBorder="1" applyAlignment="1" applyProtection="1">
      <alignment horizontal="right" vertical="center"/>
      <protection hidden="1"/>
    </xf>
    <xf numFmtId="0" fontId="22" fillId="0" borderId="28" xfId="0" applyFont="1" applyBorder="1" applyAlignment="1">
      <alignment horizontal="center" vertical="center"/>
    </xf>
    <xf numFmtId="0" fontId="27" fillId="27" borderId="80" xfId="0" applyFont="1" applyFill="1" applyBorder="1" applyAlignment="1">
      <alignment horizontal="center" vertical="center"/>
    </xf>
    <xf numFmtId="0" fontId="0" fillId="27" borderId="61" xfId="0" applyFill="1" applyBorder="1" applyAlignment="1">
      <alignment horizontal="center" vertical="center"/>
    </xf>
    <xf numFmtId="0" fontId="0" fillId="27" borderId="62" xfId="0" applyFill="1" applyBorder="1" applyAlignment="1">
      <alignment horizontal="center" vertical="center"/>
    </xf>
    <xf numFmtId="0" fontId="0" fillId="27" borderId="59" xfId="0" applyFill="1" applyBorder="1" applyAlignment="1">
      <alignment horizontal="center" vertical="center"/>
    </xf>
    <xf numFmtId="0" fontId="0" fillId="27" borderId="81" xfId="0" applyFill="1" applyBorder="1" applyAlignment="1">
      <alignment horizontal="center" vertical="center"/>
    </xf>
    <xf numFmtId="0" fontId="0" fillId="27" borderId="63" xfId="0" applyFill="1" applyBorder="1" applyAlignment="1">
      <alignment horizontal="center" vertical="center"/>
    </xf>
    <xf numFmtId="0" fontId="0" fillId="27" borderId="82" xfId="0" applyFill="1" applyBorder="1" applyAlignment="1">
      <alignment horizontal="center" vertical="center" wrapText="1"/>
    </xf>
    <xf numFmtId="0" fontId="0" fillId="27" borderId="55" xfId="0" applyFill="1" applyBorder="1" applyAlignment="1">
      <alignment horizontal="center" vertical="center" wrapText="1"/>
    </xf>
    <xf numFmtId="0" fontId="0" fillId="27" borderId="64" xfId="0" applyFill="1" applyBorder="1" applyAlignment="1">
      <alignment horizontal="center" vertical="center"/>
    </xf>
    <xf numFmtId="0" fontId="0" fillId="27" borderId="11" xfId="0" applyFill="1" applyBorder="1" applyAlignment="1">
      <alignment horizontal="center" vertical="center"/>
    </xf>
    <xf numFmtId="0" fontId="0" fillId="27" borderId="56" xfId="0" applyFill="1" applyBorder="1" applyAlignment="1">
      <alignment horizontal="center" vertical="center" wrapText="1"/>
    </xf>
    <xf numFmtId="0" fontId="0" fillId="27" borderId="18" xfId="0" applyFill="1" applyBorder="1" applyAlignment="1">
      <alignment horizontal="center" vertical="center"/>
    </xf>
    <xf numFmtId="0" fontId="0" fillId="27" borderId="23" xfId="0" applyFill="1" applyBorder="1" applyAlignment="1">
      <alignment horizontal="center" vertical="center"/>
    </xf>
    <xf numFmtId="0" fontId="0" fillId="27" borderId="0" xfId="0" applyFill="1" applyBorder="1" applyAlignment="1">
      <alignment horizontal="center" vertical="center" wrapText="1"/>
    </xf>
    <xf numFmtId="0" fontId="0" fillId="27" borderId="75" xfId="0" applyFill="1" applyBorder="1" applyAlignment="1">
      <alignment horizontal="center" vertical="center"/>
    </xf>
    <xf numFmtId="0" fontId="0" fillId="27" borderId="34" xfId="0" applyFill="1" applyBorder="1" applyAlignment="1">
      <alignment horizontal="center" vertical="center"/>
    </xf>
    <xf numFmtId="0" fontId="0" fillId="27" borderId="70" xfId="0" applyFill="1" applyBorder="1" applyAlignment="1">
      <alignment horizontal="center" vertical="center" wrapText="1"/>
    </xf>
    <xf numFmtId="0" fontId="0" fillId="27" borderId="83" xfId="0" applyFill="1" applyBorder="1" applyAlignment="1">
      <alignment horizontal="center" vertical="center"/>
    </xf>
    <xf numFmtId="0" fontId="0" fillId="27" borderId="84" xfId="0" applyFill="1" applyBorder="1" applyAlignment="1">
      <alignment horizontal="center" vertical="center"/>
    </xf>
    <xf numFmtId="0" fontId="0" fillId="27" borderId="32" xfId="0" applyFill="1" applyBorder="1" applyAlignment="1">
      <alignment horizontal="center" vertical="center" wrapText="1"/>
    </xf>
    <xf numFmtId="0" fontId="27" fillId="27" borderId="49" xfId="0" applyFont="1" applyFill="1" applyBorder="1" applyAlignment="1">
      <alignment horizontal="center" vertical="center"/>
    </xf>
    <xf numFmtId="0" fontId="27" fillId="27" borderId="48" xfId="0" applyFont="1" applyFill="1" applyBorder="1" applyAlignment="1">
      <alignment horizontal="center" vertical="center"/>
    </xf>
    <xf numFmtId="0" fontId="27" fillId="27" borderId="55" xfId="0" applyFont="1" applyFill="1" applyBorder="1" applyAlignment="1">
      <alignment horizontal="center" vertical="center"/>
    </xf>
    <xf numFmtId="0" fontId="27" fillId="27" borderId="82" xfId="0" applyFont="1" applyFill="1" applyBorder="1" applyAlignment="1">
      <alignment horizontal="center" vertical="center"/>
    </xf>
    <xf numFmtId="0" fontId="0" fillId="27" borderId="85" xfId="0" applyFill="1" applyBorder="1" applyAlignment="1">
      <alignment horizontal="center" vertical="center"/>
    </xf>
    <xf numFmtId="0" fontId="0" fillId="27" borderId="86" xfId="0" applyFill="1" applyBorder="1" applyAlignment="1">
      <alignment horizontal="center" vertical="center"/>
    </xf>
    <xf numFmtId="0" fontId="0" fillId="27" borderId="31" xfId="0" applyFill="1" applyBorder="1" applyAlignment="1">
      <alignment horizontal="center" vertical="center"/>
    </xf>
    <xf numFmtId="14" fontId="0" fillId="0" borderId="10" xfId="0" applyNumberFormat="1" applyFont="1" applyBorder="1" applyAlignment="1">
      <alignment vertical="center"/>
    </xf>
    <xf numFmtId="1" fontId="0" fillId="26" borderId="14" xfId="0" applyNumberFormat="1" applyFill="1" applyBorder="1" applyAlignment="1">
      <alignment horizontal="center" vertical="center"/>
    </xf>
    <xf numFmtId="2" fontId="0" fillId="26" borderId="14" xfId="0" applyNumberFormat="1" applyFill="1" applyBorder="1" applyAlignment="1">
      <alignment horizontal="center" vertical="center"/>
    </xf>
    <xf numFmtId="2" fontId="0" fillId="31" borderId="11" xfId="0" applyNumberFormat="1" applyFill="1" applyBorder="1" applyAlignment="1">
      <alignment horizontal="center" vertical="center"/>
    </xf>
    <xf numFmtId="1" fontId="0" fillId="31" borderId="85" xfId="0" applyNumberFormat="1" applyFill="1" applyBorder="1" applyAlignment="1">
      <alignment horizontal="center" vertical="center"/>
    </xf>
    <xf numFmtId="2" fontId="0" fillId="26" borderId="19" xfId="0" applyNumberFormat="1" applyFill="1" applyBorder="1" applyAlignment="1">
      <alignment horizontal="center" vertical="center"/>
    </xf>
    <xf numFmtId="1" fontId="0" fillId="26" borderId="15" xfId="0" applyNumberFormat="1" applyFill="1" applyBorder="1" applyAlignment="1">
      <alignment horizontal="center" vertical="center"/>
    </xf>
    <xf numFmtId="2" fontId="0" fillId="26" borderId="10" xfId="0" applyNumberFormat="1" applyFill="1" applyBorder="1" applyAlignment="1">
      <alignment horizontal="center" vertical="center"/>
    </xf>
    <xf numFmtId="1" fontId="0" fillId="26" borderId="10" xfId="0" applyNumberFormat="1" applyFill="1" applyBorder="1" applyAlignment="1">
      <alignment horizontal="center" vertical="center"/>
    </xf>
    <xf numFmtId="1" fontId="0" fillId="31" borderId="10" xfId="0" applyNumberFormat="1" applyFill="1" applyBorder="1" applyAlignment="1">
      <alignment horizontal="center" vertical="center"/>
    </xf>
    <xf numFmtId="2" fontId="0" fillId="36" borderId="30" xfId="0" applyNumberFormat="1" applyFill="1" applyBorder="1" applyAlignment="1">
      <alignment horizontal="center" vertical="center"/>
    </xf>
    <xf numFmtId="1" fontId="0" fillId="36" borderId="20" xfId="0" applyNumberFormat="1" applyFill="1" applyBorder="1" applyAlignment="1">
      <alignment horizontal="center" vertical="center"/>
    </xf>
    <xf numFmtId="2" fontId="0" fillId="36" borderId="20" xfId="0" applyNumberFormat="1" applyFill="1" applyBorder="1" applyAlignment="1">
      <alignment horizontal="center" vertical="center"/>
    </xf>
    <xf numFmtId="1" fontId="0" fillId="36" borderId="31" xfId="0" applyNumberFormat="1" applyFill="1" applyBorder="1" applyAlignment="1">
      <alignment horizontal="center" vertical="center"/>
    </xf>
    <xf numFmtId="1" fontId="0" fillId="36" borderId="32" xfId="0" applyNumberFormat="1" applyFill="1" applyBorder="1" applyAlignment="1">
      <alignment horizontal="center" vertical="center"/>
    </xf>
    <xf numFmtId="2" fontId="0" fillId="36" borderId="87" xfId="0" applyNumberFormat="1" applyFill="1" applyBorder="1" applyAlignment="1">
      <alignment horizontal="center" vertical="center"/>
    </xf>
    <xf numFmtId="1" fontId="0" fillId="36" borderId="14" xfId="0" applyNumberFormat="1" applyFill="1" applyBorder="1" applyAlignment="1">
      <alignment horizontal="center" vertical="center"/>
    </xf>
    <xf numFmtId="2" fontId="0" fillId="36" borderId="14" xfId="0" applyNumberFormat="1" applyFill="1" applyBorder="1" applyAlignment="1">
      <alignment horizontal="center" vertical="center"/>
    </xf>
    <xf numFmtId="1" fontId="0" fillId="36" borderId="86" xfId="0" applyNumberFormat="1" applyFill="1" applyBorder="1" applyAlignment="1">
      <alignment horizontal="center" vertical="center"/>
    </xf>
    <xf numFmtId="1" fontId="0" fillId="36" borderId="0" xfId="0" applyNumberFormat="1" applyFill="1" applyBorder="1" applyAlignment="1">
      <alignment horizontal="center" vertical="center"/>
    </xf>
    <xf numFmtId="2" fontId="0" fillId="36" borderId="16" xfId="0" applyNumberFormat="1" applyFill="1" applyBorder="1" applyAlignment="1">
      <alignment horizontal="center" vertical="center"/>
    </xf>
    <xf numFmtId="1" fontId="0" fillId="36" borderId="17" xfId="0" applyNumberFormat="1" applyFill="1" applyBorder="1" applyAlignment="1">
      <alignment horizontal="center" vertical="center"/>
    </xf>
    <xf numFmtId="0" fontId="0" fillId="27" borderId="0" xfId="0" applyFont="1" applyFill="1" applyBorder="1" applyAlignment="1">
      <alignment horizontal="center" vertical="center" wrapText="1"/>
    </xf>
    <xf numFmtId="1" fontId="0" fillId="31" borderId="32" xfId="0" applyNumberFormat="1" applyFill="1" applyBorder="1" applyAlignment="1">
      <alignment horizontal="center" vertical="center"/>
    </xf>
    <xf numFmtId="1" fontId="0" fillId="31" borderId="0" xfId="0" applyNumberFormat="1" applyFill="1" applyBorder="1" applyAlignment="1">
      <alignment horizontal="center" vertical="center"/>
    </xf>
    <xf numFmtId="0" fontId="27" fillId="27" borderId="0" xfId="0" applyFont="1" applyFill="1" applyBorder="1" applyAlignment="1">
      <alignment horizontal="center" vertical="center"/>
    </xf>
    <xf numFmtId="0" fontId="0" fillId="27" borderId="0" xfId="0" applyFill="1" applyBorder="1" applyAlignment="1">
      <alignment horizontal="center" vertical="center"/>
    </xf>
    <xf numFmtId="0" fontId="0" fillId="31" borderId="0" xfId="0" applyFill="1" applyBorder="1" applyAlignment="1">
      <alignment horizontal="center" vertical="center"/>
    </xf>
    <xf numFmtId="1" fontId="0" fillId="31" borderId="32" xfId="0" applyNumberFormat="1" applyFont="1" applyFill="1" applyBorder="1" applyAlignment="1">
      <alignment horizontal="center" vertical="center"/>
    </xf>
    <xf numFmtId="1" fontId="0" fillId="31" borderId="10" xfId="0" applyNumberFormat="1" applyFont="1" applyFill="1" applyBorder="1" applyAlignment="1">
      <alignment horizontal="center" vertical="center"/>
    </xf>
    <xf numFmtId="1" fontId="0" fillId="31" borderId="0" xfId="0" applyNumberFormat="1" applyFont="1" applyFill="1" applyBorder="1" applyAlignment="1">
      <alignment horizontal="center" vertical="center"/>
    </xf>
    <xf numFmtId="0" fontId="0" fillId="31" borderId="10" xfId="0" applyFont="1" applyFill="1" applyBorder="1" applyAlignment="1">
      <alignment horizontal="center" vertical="center"/>
    </xf>
    <xf numFmtId="0" fontId="0" fillId="31" borderId="24" xfId="0" applyFill="1" applyBorder="1" applyAlignment="1">
      <alignment horizontal="center" vertical="center"/>
    </xf>
    <xf numFmtId="0" fontId="0" fillId="31" borderId="23" xfId="0" applyFill="1" applyBorder="1" applyAlignment="1">
      <alignment horizontal="center" vertical="center"/>
    </xf>
    <xf numFmtId="0" fontId="0" fillId="0" borderId="18" xfId="0" applyFont="1" applyBorder="1" applyAlignment="1">
      <alignment vertical="center"/>
    </xf>
    <xf numFmtId="205" fontId="19" fillId="30" borderId="0" xfId="0" applyNumberFormat="1" applyFont="1" applyFill="1" applyAlignment="1">
      <alignment/>
    </xf>
    <xf numFmtId="194" fontId="0" fillId="0" borderId="10" xfId="0" applyNumberFormat="1" applyFont="1" applyBorder="1" applyAlignment="1">
      <alignment vertical="center"/>
    </xf>
    <xf numFmtId="0" fontId="30" fillId="0" borderId="0" xfId="50" applyFont="1" applyBorder="1" applyAlignment="1">
      <alignment vertical="center" wrapText="1"/>
      <protection/>
    </xf>
    <xf numFmtId="0" fontId="30" fillId="0" borderId="37" xfId="50" applyFont="1" applyBorder="1" applyAlignment="1">
      <alignment horizontal="center" vertical="center"/>
      <protection/>
    </xf>
    <xf numFmtId="0" fontId="54" fillId="0" borderId="10" xfId="0" applyFont="1" applyFill="1" applyBorder="1" applyAlignment="1">
      <alignment horizontal="right" vertical="center"/>
    </xf>
    <xf numFmtId="0" fontId="27" fillId="0" borderId="24" xfId="50" applyFont="1" applyBorder="1" applyAlignment="1" applyProtection="1">
      <alignment horizontal="center" vertical="center" wrapText="1"/>
      <protection hidden="1"/>
    </xf>
    <xf numFmtId="2" fontId="0" fillId="0" borderId="24" xfId="0" applyNumberFormat="1" applyFont="1" applyBorder="1" applyAlignment="1">
      <alignment horizontal="center" vertical="center"/>
    </xf>
    <xf numFmtId="0" fontId="27" fillId="26" borderId="0" xfId="50" applyFont="1" applyFill="1" applyBorder="1" applyAlignment="1" applyProtection="1">
      <alignment horizontal="center" vertical="center" wrapText="1"/>
      <protection hidden="1"/>
    </xf>
    <xf numFmtId="2" fontId="27" fillId="26" borderId="0" xfId="50" applyNumberFormat="1" applyFont="1" applyFill="1" applyBorder="1" applyAlignment="1" applyProtection="1">
      <alignment horizontal="center" vertical="center" wrapText="1"/>
      <protection hidden="1"/>
    </xf>
    <xf numFmtId="0" fontId="27" fillId="26" borderId="15" xfId="50" applyFont="1" applyFill="1" applyBorder="1" applyAlignment="1" applyProtection="1">
      <alignment horizontal="center" vertical="center" wrapText="1"/>
      <protection hidden="1"/>
    </xf>
    <xf numFmtId="2" fontId="0" fillId="0" borderId="15" xfId="0" applyNumberFormat="1" applyFont="1" applyBorder="1" applyAlignment="1">
      <alignment horizontal="center" vertical="center"/>
    </xf>
    <xf numFmtId="0" fontId="0" fillId="25" borderId="10" xfId="0" applyFont="1" applyFill="1" applyBorder="1" applyAlignment="1">
      <alignment horizontal="center" vertical="center"/>
    </xf>
    <xf numFmtId="0" fontId="27" fillId="0" borderId="0" xfId="50" applyFont="1" applyFill="1" applyAlignment="1" applyProtection="1">
      <alignment vertical="center"/>
      <protection hidden="1"/>
    </xf>
    <xf numFmtId="0" fontId="18"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21" fillId="0" borderId="0" xfId="0" applyFont="1" applyAlignment="1" applyProtection="1">
      <alignment vertical="center"/>
      <protection hidden="1"/>
    </xf>
    <xf numFmtId="0" fontId="31" fillId="26" borderId="10" xfId="0" applyFont="1" applyFill="1" applyBorder="1" applyAlignment="1">
      <alignment horizontal="right" vertical="center"/>
    </xf>
    <xf numFmtId="0" fontId="21" fillId="26" borderId="10" xfId="0" applyFont="1" applyFill="1" applyBorder="1" applyAlignment="1">
      <alignment vertical="center"/>
    </xf>
    <xf numFmtId="0" fontId="31" fillId="26" borderId="10" xfId="0" applyFont="1" applyFill="1" applyBorder="1" applyAlignment="1">
      <alignment vertical="center"/>
    </xf>
    <xf numFmtId="0" fontId="19" fillId="0" borderId="0" xfId="50" applyFont="1" applyFill="1" applyAlignment="1" applyProtection="1">
      <alignment vertical="center"/>
      <protection hidden="1"/>
    </xf>
    <xf numFmtId="0" fontId="0" fillId="0" borderId="17" xfId="0" applyFont="1" applyBorder="1" applyAlignment="1" applyProtection="1">
      <alignment horizontal="right" wrapText="1"/>
      <protection locked="0"/>
    </xf>
    <xf numFmtId="0" fontId="0" fillId="0" borderId="17" xfId="0" applyFont="1" applyBorder="1" applyAlignment="1">
      <alignment horizontal="right"/>
    </xf>
    <xf numFmtId="0" fontId="72" fillId="0" borderId="17" xfId="0" applyFont="1" applyBorder="1" applyAlignment="1">
      <alignment horizontal="right" vertical="center" wrapText="1"/>
    </xf>
    <xf numFmtId="0" fontId="24" fillId="0" borderId="15" xfId="0" applyFont="1" applyBorder="1" applyAlignment="1">
      <alignment horizontal="right" vertical="center" wrapText="1"/>
    </xf>
    <xf numFmtId="0" fontId="0" fillId="0" borderId="20" xfId="0" applyFill="1" applyBorder="1" applyAlignment="1">
      <alignment vertical="center"/>
    </xf>
    <xf numFmtId="0" fontId="0" fillId="0" borderId="10" xfId="0" applyBorder="1" applyAlignment="1">
      <alignment vertical="center"/>
    </xf>
    <xf numFmtId="0" fontId="60" fillId="0" borderId="10" xfId="51" applyFont="1" applyFill="1" applyBorder="1" applyAlignment="1">
      <alignment horizontal="center" vertical="center"/>
      <protection/>
    </xf>
    <xf numFmtId="0" fontId="0" fillId="0" borderId="10" xfId="0" applyFill="1" applyBorder="1" applyAlignment="1">
      <alignment vertical="center"/>
    </xf>
    <xf numFmtId="0" fontId="79" fillId="0" borderId="10" xfId="0" applyFont="1" applyFill="1" applyBorder="1" applyAlignment="1">
      <alignment horizontal="center" vertical="center"/>
    </xf>
    <xf numFmtId="0" fontId="0" fillId="26" borderId="10" xfId="0" applyFill="1" applyBorder="1" applyAlignment="1">
      <alignment vertical="center"/>
    </xf>
    <xf numFmtId="0" fontId="75" fillId="26" borderId="10" xfId="0" applyFont="1" applyFill="1" applyBorder="1" applyAlignment="1">
      <alignment vertical="center"/>
    </xf>
    <xf numFmtId="0" fontId="18" fillId="0" borderId="10" xfId="0" applyFont="1" applyFill="1" applyBorder="1" applyAlignment="1" applyProtection="1">
      <alignment horizontal="center" vertical="center" wrapText="1"/>
      <protection hidden="1"/>
    </xf>
    <xf numFmtId="0" fontId="18" fillId="26" borderId="11" xfId="50" applyFont="1" applyFill="1" applyBorder="1" applyAlignment="1" applyProtection="1">
      <alignment horizontal="center" vertical="center" wrapText="1"/>
      <protection hidden="1"/>
    </xf>
    <xf numFmtId="0" fontId="18" fillId="26" borderId="20" xfId="50" applyFont="1" applyFill="1" applyBorder="1" applyAlignment="1" applyProtection="1">
      <alignment horizontal="center" vertical="center" wrapText="1"/>
      <protection hidden="1"/>
    </xf>
    <xf numFmtId="0" fontId="18" fillId="26" borderId="11" xfId="50" applyFont="1" applyFill="1" applyBorder="1" applyAlignment="1" applyProtection="1">
      <alignment horizontal="center" vertical="center"/>
      <protection hidden="1"/>
    </xf>
    <xf numFmtId="0" fontId="18" fillId="26" borderId="20" xfId="50" applyFont="1" applyFill="1" applyBorder="1" applyAlignment="1" applyProtection="1">
      <alignment horizontal="center" vertical="center"/>
      <protection hidden="1"/>
    </xf>
    <xf numFmtId="0" fontId="18" fillId="0" borderId="11" xfId="50" applyFont="1" applyBorder="1" applyAlignment="1" applyProtection="1">
      <alignment horizontal="center" vertical="center" wrapText="1"/>
      <protection hidden="1"/>
    </xf>
    <xf numFmtId="0" fontId="18" fillId="0" borderId="20" xfId="50" applyFont="1" applyBorder="1" applyAlignment="1" applyProtection="1">
      <alignment horizontal="center" vertical="center" wrapText="1"/>
      <protection hidden="1"/>
    </xf>
    <xf numFmtId="14" fontId="69" fillId="0" borderId="0" xfId="0" applyNumberFormat="1" applyFont="1" applyAlignment="1">
      <alignment horizontal="center" vertical="center"/>
    </xf>
    <xf numFmtId="0" fontId="18" fillId="0" borderId="12" xfId="0" applyFont="1" applyBorder="1" applyAlignment="1" applyProtection="1">
      <alignment horizontal="center" vertical="center" wrapText="1"/>
      <protection hidden="1"/>
    </xf>
    <xf numFmtId="0" fontId="18" fillId="0" borderId="16" xfId="0" applyFont="1" applyBorder="1" applyAlignment="1" applyProtection="1">
      <alignment horizontal="center" vertical="center" wrapText="1"/>
      <protection hidden="1"/>
    </xf>
    <xf numFmtId="0" fontId="69" fillId="0" borderId="11" xfId="0" applyFont="1" applyBorder="1" applyAlignment="1" applyProtection="1">
      <alignment horizontal="center" vertical="center" wrapText="1"/>
      <protection hidden="1"/>
    </xf>
    <xf numFmtId="0" fontId="69" fillId="0" borderId="20"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2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wrapText="1"/>
      <protection hidden="1"/>
    </xf>
    <xf numFmtId="0" fontId="18" fillId="0" borderId="20" xfId="0" applyFont="1" applyBorder="1" applyAlignment="1" applyProtection="1">
      <alignment horizontal="center" vertical="center" wrapText="1"/>
      <protection hidden="1"/>
    </xf>
    <xf numFmtId="0" fontId="31" fillId="0" borderId="11" xfId="51" applyFont="1" applyFill="1" applyBorder="1" applyAlignment="1">
      <alignment horizontal="center" vertical="center"/>
      <protection/>
    </xf>
    <xf numFmtId="0" fontId="31" fillId="0" borderId="14" xfId="51" applyFont="1" applyFill="1" applyBorder="1" applyAlignment="1">
      <alignment horizontal="center" vertical="center"/>
      <protection/>
    </xf>
    <xf numFmtId="0" fontId="31" fillId="0" borderId="20" xfId="51" applyFont="1" applyFill="1" applyBorder="1" applyAlignment="1">
      <alignment horizontal="center" vertical="center"/>
      <protection/>
    </xf>
    <xf numFmtId="0" fontId="24"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Border="1" applyAlignment="1">
      <alignment horizontal="center" vertical="center"/>
    </xf>
    <xf numFmtId="0" fontId="24" fillId="25" borderId="11" xfId="0" applyFont="1" applyFill="1" applyBorder="1" applyAlignment="1">
      <alignment horizontal="center" vertical="center" textRotation="90"/>
    </xf>
    <xf numFmtId="0" fontId="24" fillId="25" borderId="14" xfId="0" applyFont="1" applyFill="1" applyBorder="1" applyAlignment="1">
      <alignment horizontal="center" vertical="center" textRotation="90"/>
    </xf>
    <xf numFmtId="0" fontId="24" fillId="25" borderId="20" xfId="0" applyFont="1" applyFill="1" applyBorder="1" applyAlignment="1">
      <alignment horizontal="center" vertical="center" textRotation="90"/>
    </xf>
    <xf numFmtId="0" fontId="24" fillId="24" borderId="15" xfId="0" applyFont="1" applyFill="1" applyBorder="1" applyAlignment="1">
      <alignment horizontal="center" vertical="center" textRotation="90"/>
    </xf>
    <xf numFmtId="0" fontId="24" fillId="25" borderId="17" xfId="0" applyFont="1" applyFill="1" applyBorder="1" applyAlignment="1">
      <alignment horizontal="center" vertical="center" textRotation="90"/>
    </xf>
    <xf numFmtId="0" fontId="24" fillId="24" borderId="12" xfId="0" applyFont="1" applyFill="1" applyBorder="1" applyAlignment="1">
      <alignment horizontal="center" vertical="center" textRotation="90"/>
    </xf>
    <xf numFmtId="0" fontId="24" fillId="24" borderId="19" xfId="0" applyFont="1" applyFill="1" applyBorder="1" applyAlignment="1">
      <alignment horizontal="center" vertical="center" textRotation="90"/>
    </xf>
    <xf numFmtId="0" fontId="24" fillId="24" borderId="16" xfId="0" applyFont="1" applyFill="1" applyBorder="1" applyAlignment="1">
      <alignment horizontal="center" vertical="center" textRotation="90"/>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32" fillId="0" borderId="11" xfId="51" applyFont="1" applyFill="1" applyBorder="1" applyAlignment="1">
      <alignment horizontal="center" vertical="center"/>
      <protection/>
    </xf>
    <xf numFmtId="0" fontId="32" fillId="0" borderId="14" xfId="51" applyFont="1" applyFill="1" applyBorder="1" applyAlignment="1">
      <alignment horizontal="center" vertical="center"/>
      <protection/>
    </xf>
    <xf numFmtId="0" fontId="32" fillId="0" borderId="20" xfId="51" applyFont="1" applyFill="1" applyBorder="1" applyAlignment="1">
      <alignment horizontal="center" vertical="center"/>
      <protection/>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20"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25" borderId="10" xfId="0" applyFont="1" applyFill="1" applyBorder="1" applyAlignment="1">
      <alignment horizontal="center" vertical="center" textRotation="90"/>
    </xf>
    <xf numFmtId="0" fontId="18" fillId="0" borderId="10"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36" fillId="0" borderId="11" xfId="51" applyFont="1" applyFill="1" applyBorder="1" applyAlignment="1">
      <alignment horizontal="center" vertical="center"/>
      <protection/>
    </xf>
    <xf numFmtId="0" fontId="36" fillId="0" borderId="14" xfId="51" applyFont="1" applyFill="1" applyBorder="1" applyAlignment="1">
      <alignment horizontal="center" vertical="center"/>
      <protection/>
    </xf>
    <xf numFmtId="0" fontId="36" fillId="0" borderId="20" xfId="51" applyFont="1" applyFill="1" applyBorder="1" applyAlignment="1">
      <alignment horizontal="center" vertical="center"/>
      <protection/>
    </xf>
    <xf numFmtId="0" fontId="0" fillId="25" borderId="10" xfId="0" applyFont="1" applyFill="1" applyBorder="1" applyAlignment="1">
      <alignment horizontal="center" vertical="center"/>
    </xf>
    <xf numFmtId="0" fontId="0" fillId="0" borderId="10" xfId="0" applyFont="1" applyBorder="1" applyAlignment="1">
      <alignment horizontal="center" vertical="center"/>
    </xf>
    <xf numFmtId="0" fontId="18" fillId="25" borderId="10" xfId="0" applyFont="1" applyFill="1" applyBorder="1" applyAlignment="1">
      <alignment horizontal="center" vertical="center"/>
    </xf>
    <xf numFmtId="0" fontId="35" fillId="0" borderId="11" xfId="51" applyFont="1" applyFill="1" applyBorder="1" applyAlignment="1">
      <alignment horizontal="center" vertical="center"/>
      <protection/>
    </xf>
    <xf numFmtId="0" fontId="35" fillId="0" borderId="14" xfId="51" applyFont="1" applyFill="1" applyBorder="1" applyAlignment="1">
      <alignment horizontal="center" vertical="center"/>
      <protection/>
    </xf>
    <xf numFmtId="0" fontId="35" fillId="0" borderId="20" xfId="51" applyFont="1" applyFill="1" applyBorder="1" applyAlignment="1">
      <alignment horizontal="center" vertical="center"/>
      <protection/>
    </xf>
    <xf numFmtId="0" fontId="22" fillId="0" borderId="10" xfId="0" applyFont="1" applyBorder="1" applyAlignment="1">
      <alignment horizontal="center" vertical="center"/>
    </xf>
    <xf numFmtId="0" fontId="18" fillId="0" borderId="24" xfId="0" applyFont="1" applyBorder="1" applyAlignment="1">
      <alignment horizontal="center" vertical="center"/>
    </xf>
    <xf numFmtId="0" fontId="18" fillId="0" borderId="18" xfId="0" applyFont="1" applyBorder="1" applyAlignment="1">
      <alignment horizontal="center" vertical="center"/>
    </xf>
    <xf numFmtId="0" fontId="19" fillId="25" borderId="23" xfId="0" applyFont="1" applyFill="1" applyBorder="1" applyAlignment="1">
      <alignment horizontal="center" vertical="center"/>
    </xf>
    <xf numFmtId="0" fontId="19" fillId="25" borderId="12" xfId="0" applyFont="1" applyFill="1" applyBorder="1" applyAlignment="1">
      <alignment horizontal="center" vertical="center"/>
    </xf>
    <xf numFmtId="0" fontId="19" fillId="25" borderId="17" xfId="0" applyFont="1" applyFill="1" applyBorder="1" applyAlignment="1">
      <alignment horizontal="center" vertical="center"/>
    </xf>
    <xf numFmtId="0" fontId="19" fillId="25" borderId="16" xfId="0" applyFont="1" applyFill="1" applyBorder="1" applyAlignment="1">
      <alignment horizontal="center" vertical="center"/>
    </xf>
    <xf numFmtId="0" fontId="30" fillId="25" borderId="10" xfId="0" applyFont="1" applyFill="1" applyBorder="1" applyAlignment="1">
      <alignment horizontal="center" vertical="center"/>
    </xf>
    <xf numFmtId="0" fontId="18" fillId="25" borderId="23" xfId="0" applyFont="1" applyFill="1" applyBorder="1" applyAlignment="1">
      <alignment horizontal="center" vertical="center"/>
    </xf>
    <xf numFmtId="0" fontId="18" fillId="25" borderId="12" xfId="0" applyFont="1" applyFill="1" applyBorder="1" applyAlignment="1">
      <alignment horizontal="center" vertical="center"/>
    </xf>
    <xf numFmtId="0" fontId="18" fillId="25" borderId="17" xfId="0" applyFont="1" applyFill="1" applyBorder="1" applyAlignment="1">
      <alignment horizontal="center" vertical="center"/>
    </xf>
    <xf numFmtId="0" fontId="18" fillId="25" borderId="16" xfId="0" applyFont="1" applyFill="1" applyBorder="1" applyAlignment="1">
      <alignment horizontal="center" vertical="center"/>
    </xf>
    <xf numFmtId="0" fontId="19" fillId="0" borderId="45" xfId="0" applyFont="1" applyBorder="1" applyAlignment="1">
      <alignment horizontal="left" vertical="center"/>
    </xf>
    <xf numFmtId="0" fontId="19" fillId="0" borderId="0" xfId="0" applyFont="1" applyBorder="1" applyAlignment="1">
      <alignment horizontal="left" vertical="center"/>
    </xf>
    <xf numFmtId="0" fontId="19" fillId="0" borderId="56" xfId="0" applyFont="1" applyBorder="1" applyAlignment="1">
      <alignment horizontal="left" vertical="center"/>
    </xf>
    <xf numFmtId="0" fontId="22" fillId="0" borderId="0" xfId="0" applyFont="1" applyAlignment="1">
      <alignment horizontal="center" vertical="center"/>
    </xf>
    <xf numFmtId="1" fontId="27" fillId="0" borderId="25" xfId="0" applyNumberFormat="1" applyFont="1" applyBorder="1" applyAlignment="1">
      <alignment horizontal="center" vertical="center"/>
    </xf>
    <xf numFmtId="0" fontId="19" fillId="0" borderId="0" xfId="0" applyFont="1" applyBorder="1" applyAlignment="1">
      <alignment horizontal="center" vertical="center"/>
    </xf>
    <xf numFmtId="191" fontId="27" fillId="0" borderId="25" xfId="45" applyNumberFormat="1"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88" xfId="0" applyFont="1" applyBorder="1" applyAlignment="1">
      <alignment horizontal="center" vertical="center"/>
    </xf>
    <xf numFmtId="0" fontId="19" fillId="0" borderId="25" xfId="0" applyFont="1" applyBorder="1" applyAlignment="1">
      <alignment horizontal="center" vertical="center"/>
    </xf>
    <xf numFmtId="2" fontId="27" fillId="0" borderId="25" xfId="45" applyNumberFormat="1"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19" fillId="0" borderId="40" xfId="0" applyFont="1" applyFill="1" applyBorder="1" applyAlignment="1">
      <alignment horizontal="center" vertical="center"/>
    </xf>
    <xf numFmtId="0" fontId="19" fillId="0" borderId="28" xfId="0" applyFont="1" applyBorder="1" applyAlignment="1">
      <alignment horizontal="center" vertical="center"/>
    </xf>
    <xf numFmtId="0" fontId="19" fillId="0" borderId="89" xfId="0" applyFont="1" applyBorder="1" applyAlignment="1">
      <alignment horizontal="center" vertical="center"/>
    </xf>
    <xf numFmtId="0" fontId="27" fillId="0" borderId="40" xfId="0" applyFont="1" applyBorder="1" applyAlignment="1">
      <alignment horizontal="center" vertical="center"/>
    </xf>
    <xf numFmtId="0" fontId="19" fillId="0" borderId="76" xfId="0" applyFont="1" applyBorder="1" applyAlignment="1">
      <alignment horizontal="center" vertical="center"/>
    </xf>
    <xf numFmtId="0" fontId="19" fillId="0" borderId="90" xfId="0" applyFont="1" applyBorder="1" applyAlignment="1">
      <alignment horizontal="center" vertical="center"/>
    </xf>
    <xf numFmtId="0" fontId="19" fillId="0" borderId="91" xfId="0" applyFont="1" applyBorder="1" applyAlignment="1">
      <alignment horizontal="center" vertical="center"/>
    </xf>
    <xf numFmtId="0" fontId="30" fillId="0" borderId="49" xfId="0" applyFont="1" applyBorder="1" applyAlignment="1">
      <alignment horizontal="center" vertical="center"/>
    </xf>
    <xf numFmtId="0" fontId="30" fillId="0" borderId="80" xfId="0" applyFont="1" applyBorder="1" applyAlignment="1">
      <alignment horizontal="center" vertical="center"/>
    </xf>
    <xf numFmtId="0" fontId="39" fillId="0" borderId="0" xfId="0" applyFont="1" applyAlignment="1">
      <alignment horizontal="center" vertical="center"/>
    </xf>
    <xf numFmtId="14" fontId="19" fillId="28" borderId="0" xfId="0" applyNumberFormat="1" applyFont="1" applyFill="1" applyAlignment="1">
      <alignment horizontal="center" vertical="center"/>
    </xf>
    <xf numFmtId="2" fontId="19" fillId="28" borderId="0" xfId="0" applyNumberFormat="1" applyFont="1" applyFill="1" applyAlignment="1">
      <alignment horizontal="center" vertical="center"/>
    </xf>
    <xf numFmtId="0" fontId="19" fillId="0" borderId="27" xfId="0" applyFont="1" applyBorder="1" applyAlignment="1">
      <alignment horizontal="center" vertical="center"/>
    </xf>
    <xf numFmtId="0" fontId="19" fillId="0" borderId="92" xfId="0" applyFont="1" applyBorder="1" applyAlignment="1">
      <alignment horizontal="center" vertical="center"/>
    </xf>
    <xf numFmtId="0" fontId="19" fillId="0" borderId="43" xfId="0" applyFont="1" applyBorder="1" applyAlignment="1">
      <alignment horizontal="center" vertical="center"/>
    </xf>
    <xf numFmtId="0" fontId="19" fillId="0" borderId="42" xfId="0" applyFont="1" applyBorder="1" applyAlignment="1">
      <alignment horizontal="center" vertical="center"/>
    </xf>
    <xf numFmtId="0" fontId="19" fillId="0" borderId="93" xfId="0"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19" fillId="0" borderId="44" xfId="0" applyFont="1" applyBorder="1" applyAlignment="1">
      <alignment horizontal="center" vertical="center"/>
    </xf>
    <xf numFmtId="0" fontId="30" fillId="0" borderId="48" xfId="0" applyFont="1" applyBorder="1" applyAlignment="1">
      <alignment horizontal="center" vertical="center"/>
    </xf>
    <xf numFmtId="0" fontId="30" fillId="0" borderId="50" xfId="0" applyFont="1" applyBorder="1" applyAlignment="1">
      <alignment horizontal="center" vertical="center"/>
    </xf>
    <xf numFmtId="1" fontId="27" fillId="0" borderId="27" xfId="0" applyNumberFormat="1" applyFont="1" applyBorder="1" applyAlignment="1">
      <alignment horizontal="center" vertical="center"/>
    </xf>
    <xf numFmtId="1" fontId="27" fillId="0" borderId="28" xfId="0" applyNumberFormat="1" applyFont="1" applyBorder="1" applyAlignment="1">
      <alignment horizontal="center" vertical="center"/>
    </xf>
    <xf numFmtId="1" fontId="27" fillId="0" borderId="92" xfId="0" applyNumberFormat="1" applyFont="1" applyBorder="1" applyAlignment="1">
      <alignment horizontal="center" vertical="center"/>
    </xf>
    <xf numFmtId="191" fontId="27" fillId="0" borderId="27" xfId="45" applyNumberFormat="1" applyFont="1" applyBorder="1" applyAlignment="1">
      <alignment horizontal="center" vertical="center"/>
    </xf>
    <xf numFmtId="191" fontId="27" fillId="0" borderId="92" xfId="45" applyNumberFormat="1" applyFont="1" applyBorder="1" applyAlignment="1">
      <alignment horizontal="center" vertical="center"/>
    </xf>
    <xf numFmtId="191" fontId="27" fillId="0" borderId="28" xfId="45" applyNumberFormat="1" applyFont="1" applyBorder="1" applyAlignment="1">
      <alignment horizontal="center" vertical="center"/>
    </xf>
    <xf numFmtId="0" fontId="22" fillId="0" borderId="76" xfId="0" applyFont="1" applyBorder="1" applyAlignment="1">
      <alignment horizontal="center" vertical="center"/>
    </xf>
    <xf numFmtId="0" fontId="22" fillId="0" borderId="91" xfId="0" applyFont="1" applyBorder="1" applyAlignment="1">
      <alignment horizontal="center" vertical="center"/>
    </xf>
    <xf numFmtId="0" fontId="19" fillId="0" borderId="49" xfId="0" applyFont="1" applyBorder="1" applyAlignment="1">
      <alignment horizontal="center" vertical="center"/>
    </xf>
    <xf numFmtId="0" fontId="22" fillId="0" borderId="90" xfId="0" applyFont="1" applyBorder="1" applyAlignment="1">
      <alignment horizontal="center" vertical="center"/>
    </xf>
    <xf numFmtId="0" fontId="19"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27" fillId="0" borderId="27" xfId="0" applyFont="1" applyBorder="1" applyAlignment="1">
      <alignment horizontal="center" vertical="center"/>
    </xf>
    <xf numFmtId="0" fontId="27" fillId="0" borderId="92" xfId="0" applyFont="1" applyBorder="1" applyAlignment="1">
      <alignment horizontal="center" vertical="center"/>
    </xf>
    <xf numFmtId="0" fontId="27" fillId="0" borderId="28" xfId="0" applyFont="1" applyBorder="1" applyAlignment="1">
      <alignment horizontal="center" vertical="center"/>
    </xf>
    <xf numFmtId="0" fontId="27" fillId="0" borderId="97" xfId="0" applyFont="1" applyBorder="1" applyAlignment="1">
      <alignment horizontal="center" vertical="center"/>
    </xf>
    <xf numFmtId="2" fontId="27" fillId="0" borderId="27" xfId="45" applyNumberFormat="1" applyFont="1" applyBorder="1" applyAlignment="1">
      <alignment horizontal="center" vertical="center"/>
    </xf>
    <xf numFmtId="2" fontId="27" fillId="0" borderId="28" xfId="45" applyNumberFormat="1" applyFont="1" applyBorder="1" applyAlignment="1">
      <alignment horizontal="center" vertical="center"/>
    </xf>
    <xf numFmtId="2" fontId="27" fillId="0" borderId="92" xfId="45" applyNumberFormat="1" applyFont="1" applyBorder="1" applyAlignment="1">
      <alignment horizontal="center" vertical="center"/>
    </xf>
    <xf numFmtId="14" fontId="29" fillId="0" borderId="0" xfId="0" applyNumberFormat="1" applyFont="1" applyAlignment="1">
      <alignment horizontal="right"/>
    </xf>
    <xf numFmtId="0" fontId="29" fillId="0" borderId="0" xfId="0" applyFont="1" applyAlignment="1">
      <alignment horizontal="right"/>
    </xf>
    <xf numFmtId="0" fontId="30" fillId="7" borderId="0" xfId="50" applyFont="1" applyFill="1" applyBorder="1" applyAlignment="1">
      <alignment horizontal="center" vertical="center"/>
      <protection/>
    </xf>
    <xf numFmtId="204" fontId="30" fillId="7" borderId="0" xfId="50" applyNumberFormat="1" applyFont="1" applyFill="1" applyBorder="1" applyAlignment="1">
      <alignment horizontal="center" vertical="center"/>
      <protection/>
    </xf>
    <xf numFmtId="2" fontId="16" fillId="28" borderId="0" xfId="0" applyNumberFormat="1" applyFont="1" applyFill="1" applyAlignment="1">
      <alignment horizontal="center" vertical="center"/>
    </xf>
    <xf numFmtId="14" fontId="19" fillId="0" borderId="0" xfId="50" applyNumberFormat="1" applyFont="1" applyAlignment="1">
      <alignment horizontal="right" vertical="center"/>
      <protection/>
    </xf>
    <xf numFmtId="0" fontId="30" fillId="0" borderId="0" xfId="50" applyNumberFormat="1" applyFont="1" applyAlignment="1">
      <alignment horizontal="right" vertical="center" wrapText="1"/>
      <protection/>
    </xf>
    <xf numFmtId="0" fontId="19" fillId="0" borderId="0" xfId="50" applyFont="1" applyAlignment="1">
      <alignment horizontal="right" vertical="center" wrapText="1"/>
      <protection/>
    </xf>
    <xf numFmtId="0" fontId="30" fillId="0" borderId="0" xfId="50" applyFont="1" applyAlignment="1">
      <alignment horizontal="right" vertical="center" wrapText="1"/>
      <protection/>
    </xf>
    <xf numFmtId="0" fontId="30" fillId="0" borderId="0" xfId="50" applyFont="1" applyBorder="1" applyAlignment="1">
      <alignment horizontal="right" vertical="center" wrapText="1"/>
      <protection/>
    </xf>
    <xf numFmtId="195" fontId="18" fillId="3" borderId="0" xfId="50" applyNumberFormat="1" applyFont="1" applyFill="1" applyBorder="1" applyAlignment="1">
      <alignment horizontal="center" vertical="center"/>
      <protection/>
    </xf>
    <xf numFmtId="0" fontId="19" fillId="33" borderId="0" xfId="50" applyFont="1" applyFill="1" applyAlignment="1">
      <alignment horizontal="center" vertical="center"/>
      <protection/>
    </xf>
    <xf numFmtId="0" fontId="19" fillId="33" borderId="0" xfId="50" applyFont="1" applyFill="1" applyAlignment="1">
      <alignment horizontal="right" vertical="center"/>
      <protection/>
    </xf>
    <xf numFmtId="14" fontId="19" fillId="33" borderId="0" xfId="50" applyNumberFormat="1" applyFont="1" applyFill="1" applyAlignment="1">
      <alignment horizontal="center" vertical="center"/>
      <protection/>
    </xf>
    <xf numFmtId="0" fontId="30" fillId="33" borderId="0" xfId="50" applyFont="1" applyFill="1" applyAlignment="1">
      <alignment horizontal="center" vertical="center"/>
      <protection/>
    </xf>
    <xf numFmtId="0" fontId="18" fillId="33" borderId="0" xfId="50" applyFont="1" applyFill="1" applyAlignment="1">
      <alignment horizontal="center" vertical="center"/>
      <protection/>
    </xf>
    <xf numFmtId="9" fontId="0" fillId="37" borderId="71" xfId="0" applyNumberFormat="1" applyFont="1" applyFill="1" applyBorder="1" applyAlignment="1">
      <alignment horizontal="center" vertical="center"/>
    </xf>
    <xf numFmtId="9" fontId="0" fillId="37" borderId="30" xfId="0" applyNumberFormat="1" applyFont="1" applyFill="1" applyBorder="1" applyAlignment="1">
      <alignment horizontal="center" vertical="center"/>
    </xf>
    <xf numFmtId="9" fontId="27" fillId="34" borderId="98" xfId="0" applyNumberFormat="1" applyFont="1" applyFill="1" applyBorder="1" applyAlignment="1">
      <alignment horizontal="center" vertical="center"/>
    </xf>
    <xf numFmtId="9" fontId="27" fillId="34" borderId="87" xfId="0" applyNumberFormat="1" applyFont="1" applyFill="1" applyBorder="1" applyAlignment="1">
      <alignment horizontal="center" vertical="center"/>
    </xf>
    <xf numFmtId="9" fontId="0" fillId="38" borderId="87" xfId="0" applyNumberFormat="1" applyFont="1" applyFill="1" applyBorder="1" applyAlignment="1">
      <alignment horizontal="center" vertical="center"/>
    </xf>
    <xf numFmtId="9" fontId="0" fillId="38" borderId="30" xfId="0" applyNumberFormat="1" applyFont="1" applyFill="1" applyBorder="1" applyAlignment="1">
      <alignment horizontal="center" vertical="center"/>
    </xf>
    <xf numFmtId="9" fontId="27" fillId="34" borderId="30" xfId="0" applyNumberFormat="1" applyFont="1" applyFill="1" applyBorder="1" applyAlignment="1">
      <alignment horizontal="center" vertical="center"/>
    </xf>
    <xf numFmtId="9" fontId="0" fillId="37" borderId="98" xfId="0" applyNumberFormat="1" applyFont="1" applyFill="1" applyBorder="1" applyAlignment="1">
      <alignment horizontal="center" vertical="center"/>
    </xf>
    <xf numFmtId="9" fontId="0" fillId="37" borderId="33" xfId="0" applyNumberFormat="1" applyFont="1" applyFill="1" applyBorder="1" applyAlignment="1">
      <alignment horizontal="center" vertical="center"/>
    </xf>
    <xf numFmtId="14" fontId="21" fillId="0" borderId="0" xfId="0" applyNumberFormat="1" applyFont="1" applyBorder="1" applyAlignment="1">
      <alignment horizontal="center" vertical="center"/>
    </xf>
    <xf numFmtId="0" fontId="22" fillId="0" borderId="0" xfId="0" applyFont="1" applyAlignment="1">
      <alignment horizontal="right" vertical="center"/>
    </xf>
    <xf numFmtId="194" fontId="22" fillId="0" borderId="0" xfId="0" applyNumberFormat="1" applyFont="1" applyAlignment="1">
      <alignment horizontal="right"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Feuil1" xfId="51"/>
    <cellStyle name="Normal_Feuil1_Feuil1" xfId="52"/>
    <cellStyle name="Normal_Feuil1_Feuil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1</xdr:row>
      <xdr:rowOff>104775</xdr:rowOff>
    </xdr:from>
    <xdr:to>
      <xdr:col>17</xdr:col>
      <xdr:colOff>285750</xdr:colOff>
      <xdr:row>4</xdr:row>
      <xdr:rowOff>200025</xdr:rowOff>
    </xdr:to>
    <xdr:grpSp>
      <xdr:nvGrpSpPr>
        <xdr:cNvPr id="1" name="Group 1"/>
        <xdr:cNvGrpSpPr>
          <a:grpSpLocks/>
        </xdr:cNvGrpSpPr>
      </xdr:nvGrpSpPr>
      <xdr:grpSpPr>
        <a:xfrm>
          <a:off x="8258175" y="361950"/>
          <a:ext cx="1409700" cy="666750"/>
          <a:chOff x="5101" y="2473"/>
          <a:chExt cx="1911" cy="800"/>
        </a:xfrm>
        <a:solidFill>
          <a:srgbClr val="FFFFFF"/>
        </a:solidFill>
      </xdr:grpSpPr>
      <xdr:sp>
        <xdr:nvSpPr>
          <xdr:cNvPr id="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0</xdr:row>
      <xdr:rowOff>247650</xdr:rowOff>
    </xdr:from>
    <xdr:to>
      <xdr:col>1</xdr:col>
      <xdr:colOff>809625</xdr:colOff>
      <xdr:row>5</xdr:row>
      <xdr:rowOff>28575</xdr:rowOff>
    </xdr:to>
    <xdr:pic>
      <xdr:nvPicPr>
        <xdr:cNvPr id="9" name="Image 2" descr="http://www.univ-annaba.org/images/stories/logos/univ_mini_logo.png"/>
        <xdr:cNvPicPr preferRelativeResize="1">
          <a:picLocks noChangeAspect="1"/>
        </xdr:cNvPicPr>
      </xdr:nvPicPr>
      <xdr:blipFill>
        <a:blip r:embed="rId2"/>
        <a:stretch>
          <a:fillRect/>
        </a:stretch>
      </xdr:blipFill>
      <xdr:spPr>
        <a:xfrm>
          <a:off x="333375" y="247650"/>
          <a:ext cx="1257300" cy="876300"/>
        </a:xfrm>
        <a:prstGeom prst="rect">
          <a:avLst/>
        </a:prstGeom>
        <a:noFill/>
        <a:ln w="9525" cmpd="sng">
          <a:noFill/>
        </a:ln>
      </xdr:spPr>
    </xdr:pic>
    <xdr:clientData/>
  </xdr:twoCellAnchor>
  <xdr:twoCellAnchor>
    <xdr:from>
      <xdr:col>13</xdr:col>
      <xdr:colOff>381000</xdr:colOff>
      <xdr:row>25</xdr:row>
      <xdr:rowOff>114300</xdr:rowOff>
    </xdr:from>
    <xdr:to>
      <xdr:col>18</xdr:col>
      <xdr:colOff>0</xdr:colOff>
      <xdr:row>28</xdr:row>
      <xdr:rowOff>209550</xdr:rowOff>
    </xdr:to>
    <xdr:grpSp>
      <xdr:nvGrpSpPr>
        <xdr:cNvPr id="10" name="Group 1"/>
        <xdr:cNvGrpSpPr>
          <a:grpSpLocks/>
        </xdr:cNvGrpSpPr>
      </xdr:nvGrpSpPr>
      <xdr:grpSpPr>
        <a:xfrm>
          <a:off x="8362950" y="6553200"/>
          <a:ext cx="1333500" cy="666750"/>
          <a:chOff x="5101" y="2473"/>
          <a:chExt cx="1911" cy="800"/>
        </a:xfrm>
        <a:solidFill>
          <a:srgbClr val="FFFFFF"/>
        </a:solidFill>
      </xdr:grpSpPr>
      <xdr:sp>
        <xdr:nvSpPr>
          <xdr:cNvPr id="1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24</xdr:row>
      <xdr:rowOff>247650</xdr:rowOff>
    </xdr:from>
    <xdr:to>
      <xdr:col>1</xdr:col>
      <xdr:colOff>809625</xdr:colOff>
      <xdr:row>29</xdr:row>
      <xdr:rowOff>28575</xdr:rowOff>
    </xdr:to>
    <xdr:pic>
      <xdr:nvPicPr>
        <xdr:cNvPr id="18" name="Image 2" descr="http://www.univ-annaba.org/images/stories/logos/univ_mini_logo.png"/>
        <xdr:cNvPicPr preferRelativeResize="1">
          <a:picLocks noChangeAspect="1"/>
        </xdr:cNvPicPr>
      </xdr:nvPicPr>
      <xdr:blipFill>
        <a:blip r:embed="rId2"/>
        <a:stretch>
          <a:fillRect/>
        </a:stretch>
      </xdr:blipFill>
      <xdr:spPr>
        <a:xfrm>
          <a:off x="333375" y="6429375"/>
          <a:ext cx="1257300" cy="876300"/>
        </a:xfrm>
        <a:prstGeom prst="rect">
          <a:avLst/>
        </a:prstGeom>
        <a:noFill/>
        <a:ln w="9525" cmpd="sng">
          <a:noFill/>
        </a:ln>
      </xdr:spPr>
    </xdr:pic>
    <xdr:clientData/>
  </xdr:twoCellAnchor>
  <xdr:twoCellAnchor>
    <xdr:from>
      <xdr:col>13</xdr:col>
      <xdr:colOff>381000</xdr:colOff>
      <xdr:row>49</xdr:row>
      <xdr:rowOff>114300</xdr:rowOff>
    </xdr:from>
    <xdr:to>
      <xdr:col>18</xdr:col>
      <xdr:colOff>0</xdr:colOff>
      <xdr:row>52</xdr:row>
      <xdr:rowOff>209550</xdr:rowOff>
    </xdr:to>
    <xdr:grpSp>
      <xdr:nvGrpSpPr>
        <xdr:cNvPr id="19" name="Group 1"/>
        <xdr:cNvGrpSpPr>
          <a:grpSpLocks/>
        </xdr:cNvGrpSpPr>
      </xdr:nvGrpSpPr>
      <xdr:grpSpPr>
        <a:xfrm>
          <a:off x="8362950" y="12763500"/>
          <a:ext cx="1333500" cy="666750"/>
          <a:chOff x="5101" y="2473"/>
          <a:chExt cx="1911" cy="800"/>
        </a:xfrm>
        <a:solidFill>
          <a:srgbClr val="FFFFFF"/>
        </a:solidFill>
      </xdr:grpSpPr>
      <xdr:sp>
        <xdr:nvSpPr>
          <xdr:cNvPr id="2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48</xdr:row>
      <xdr:rowOff>247650</xdr:rowOff>
    </xdr:from>
    <xdr:to>
      <xdr:col>1</xdr:col>
      <xdr:colOff>809625</xdr:colOff>
      <xdr:row>53</xdr:row>
      <xdr:rowOff>28575</xdr:rowOff>
    </xdr:to>
    <xdr:pic>
      <xdr:nvPicPr>
        <xdr:cNvPr id="27" name="Image 2" descr="http://www.univ-annaba.org/images/stories/logos/univ_mini_logo.png"/>
        <xdr:cNvPicPr preferRelativeResize="1">
          <a:picLocks noChangeAspect="1"/>
        </xdr:cNvPicPr>
      </xdr:nvPicPr>
      <xdr:blipFill>
        <a:blip r:embed="rId2"/>
        <a:stretch>
          <a:fillRect/>
        </a:stretch>
      </xdr:blipFill>
      <xdr:spPr>
        <a:xfrm>
          <a:off x="333375" y="12639675"/>
          <a:ext cx="1257300" cy="876300"/>
        </a:xfrm>
        <a:prstGeom prst="rect">
          <a:avLst/>
        </a:prstGeom>
        <a:noFill/>
        <a:ln w="9525" cmpd="sng">
          <a:noFill/>
        </a:ln>
      </xdr:spPr>
    </xdr:pic>
    <xdr:clientData/>
  </xdr:twoCellAnchor>
  <xdr:twoCellAnchor>
    <xdr:from>
      <xdr:col>13</xdr:col>
      <xdr:colOff>381000</xdr:colOff>
      <xdr:row>73</xdr:row>
      <xdr:rowOff>114300</xdr:rowOff>
    </xdr:from>
    <xdr:to>
      <xdr:col>18</xdr:col>
      <xdr:colOff>0</xdr:colOff>
      <xdr:row>76</xdr:row>
      <xdr:rowOff>161925</xdr:rowOff>
    </xdr:to>
    <xdr:grpSp>
      <xdr:nvGrpSpPr>
        <xdr:cNvPr id="28" name="Group 1"/>
        <xdr:cNvGrpSpPr>
          <a:grpSpLocks/>
        </xdr:cNvGrpSpPr>
      </xdr:nvGrpSpPr>
      <xdr:grpSpPr>
        <a:xfrm>
          <a:off x="8362950" y="19088100"/>
          <a:ext cx="1333500" cy="619125"/>
          <a:chOff x="5101" y="2473"/>
          <a:chExt cx="1911" cy="800"/>
        </a:xfrm>
        <a:solidFill>
          <a:srgbClr val="FFFFFF"/>
        </a:solidFill>
      </xdr:grpSpPr>
      <xdr:sp>
        <xdr:nvSpPr>
          <xdr:cNvPr id="2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0"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3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72</xdr:row>
      <xdr:rowOff>247650</xdr:rowOff>
    </xdr:from>
    <xdr:to>
      <xdr:col>1</xdr:col>
      <xdr:colOff>809625</xdr:colOff>
      <xdr:row>77</xdr:row>
      <xdr:rowOff>28575</xdr:rowOff>
    </xdr:to>
    <xdr:pic>
      <xdr:nvPicPr>
        <xdr:cNvPr id="36" name="Image 2" descr="http://www.univ-annaba.org/images/stories/logos/univ_mini_logo.png"/>
        <xdr:cNvPicPr preferRelativeResize="1">
          <a:picLocks noChangeAspect="1"/>
        </xdr:cNvPicPr>
      </xdr:nvPicPr>
      <xdr:blipFill>
        <a:blip r:embed="rId2"/>
        <a:stretch>
          <a:fillRect/>
        </a:stretch>
      </xdr:blipFill>
      <xdr:spPr>
        <a:xfrm>
          <a:off x="333375" y="18964275"/>
          <a:ext cx="1257300" cy="876300"/>
        </a:xfrm>
        <a:prstGeom prst="rect">
          <a:avLst/>
        </a:prstGeom>
        <a:noFill/>
        <a:ln w="9525" cmpd="sng">
          <a:noFill/>
        </a:ln>
      </xdr:spPr>
    </xdr:pic>
    <xdr:clientData/>
  </xdr:twoCellAnchor>
  <xdr:twoCellAnchor>
    <xdr:from>
      <xdr:col>13</xdr:col>
      <xdr:colOff>381000</xdr:colOff>
      <xdr:row>97</xdr:row>
      <xdr:rowOff>114300</xdr:rowOff>
    </xdr:from>
    <xdr:to>
      <xdr:col>18</xdr:col>
      <xdr:colOff>0</xdr:colOff>
      <xdr:row>100</xdr:row>
      <xdr:rowOff>161925</xdr:rowOff>
    </xdr:to>
    <xdr:grpSp>
      <xdr:nvGrpSpPr>
        <xdr:cNvPr id="37" name="Group 1"/>
        <xdr:cNvGrpSpPr>
          <a:grpSpLocks/>
        </xdr:cNvGrpSpPr>
      </xdr:nvGrpSpPr>
      <xdr:grpSpPr>
        <a:xfrm>
          <a:off x="8362950" y="25288875"/>
          <a:ext cx="1333500" cy="619125"/>
          <a:chOff x="5101" y="2473"/>
          <a:chExt cx="1911" cy="800"/>
        </a:xfrm>
        <a:solidFill>
          <a:srgbClr val="FFFFFF"/>
        </a:solidFill>
      </xdr:grpSpPr>
      <xdr:sp>
        <xdr:nvSpPr>
          <xdr:cNvPr id="3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9"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4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96</xdr:row>
      <xdr:rowOff>247650</xdr:rowOff>
    </xdr:from>
    <xdr:to>
      <xdr:col>1</xdr:col>
      <xdr:colOff>809625</xdr:colOff>
      <xdr:row>101</xdr:row>
      <xdr:rowOff>28575</xdr:rowOff>
    </xdr:to>
    <xdr:pic>
      <xdr:nvPicPr>
        <xdr:cNvPr id="45" name="Image 2" descr="http://www.univ-annaba.org/images/stories/logos/univ_mini_logo.png"/>
        <xdr:cNvPicPr preferRelativeResize="1">
          <a:picLocks noChangeAspect="1"/>
        </xdr:cNvPicPr>
      </xdr:nvPicPr>
      <xdr:blipFill>
        <a:blip r:embed="rId2"/>
        <a:stretch>
          <a:fillRect/>
        </a:stretch>
      </xdr:blipFill>
      <xdr:spPr>
        <a:xfrm>
          <a:off x="333375" y="25165050"/>
          <a:ext cx="1257300" cy="876300"/>
        </a:xfrm>
        <a:prstGeom prst="rect">
          <a:avLst/>
        </a:prstGeom>
        <a:noFill/>
        <a:ln w="9525" cmpd="sng">
          <a:noFill/>
        </a:ln>
      </xdr:spPr>
    </xdr:pic>
    <xdr:clientData/>
  </xdr:twoCellAnchor>
  <xdr:twoCellAnchor>
    <xdr:from>
      <xdr:col>13</xdr:col>
      <xdr:colOff>381000</xdr:colOff>
      <xdr:row>121</xdr:row>
      <xdr:rowOff>114300</xdr:rowOff>
    </xdr:from>
    <xdr:to>
      <xdr:col>18</xdr:col>
      <xdr:colOff>0</xdr:colOff>
      <xdr:row>124</xdr:row>
      <xdr:rowOff>161925</xdr:rowOff>
    </xdr:to>
    <xdr:grpSp>
      <xdr:nvGrpSpPr>
        <xdr:cNvPr id="46" name="Group 1"/>
        <xdr:cNvGrpSpPr>
          <a:grpSpLocks/>
        </xdr:cNvGrpSpPr>
      </xdr:nvGrpSpPr>
      <xdr:grpSpPr>
        <a:xfrm>
          <a:off x="8362950" y="31613475"/>
          <a:ext cx="1333500" cy="619125"/>
          <a:chOff x="5101" y="2473"/>
          <a:chExt cx="1911" cy="800"/>
        </a:xfrm>
        <a:solidFill>
          <a:srgbClr val="FFFFFF"/>
        </a:solidFill>
      </xdr:grpSpPr>
      <xdr:sp>
        <xdr:nvSpPr>
          <xdr:cNvPr id="47"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8"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49"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120</xdr:row>
      <xdr:rowOff>247650</xdr:rowOff>
    </xdr:from>
    <xdr:to>
      <xdr:col>1</xdr:col>
      <xdr:colOff>809625</xdr:colOff>
      <xdr:row>125</xdr:row>
      <xdr:rowOff>28575</xdr:rowOff>
    </xdr:to>
    <xdr:pic>
      <xdr:nvPicPr>
        <xdr:cNvPr id="54" name="Image 2" descr="http://www.univ-annaba.org/images/stories/logos/univ_mini_logo.png"/>
        <xdr:cNvPicPr preferRelativeResize="1">
          <a:picLocks noChangeAspect="1"/>
        </xdr:cNvPicPr>
      </xdr:nvPicPr>
      <xdr:blipFill>
        <a:blip r:embed="rId2"/>
        <a:stretch>
          <a:fillRect/>
        </a:stretch>
      </xdr:blipFill>
      <xdr:spPr>
        <a:xfrm>
          <a:off x="333375" y="31489650"/>
          <a:ext cx="1257300" cy="876300"/>
        </a:xfrm>
        <a:prstGeom prst="rect">
          <a:avLst/>
        </a:prstGeom>
        <a:noFill/>
        <a:ln w="9525" cmpd="sng">
          <a:noFill/>
        </a:ln>
      </xdr:spPr>
    </xdr:pic>
    <xdr:clientData/>
  </xdr:twoCellAnchor>
  <xdr:twoCellAnchor>
    <xdr:from>
      <xdr:col>13</xdr:col>
      <xdr:colOff>381000</xdr:colOff>
      <xdr:row>145</xdr:row>
      <xdr:rowOff>114300</xdr:rowOff>
    </xdr:from>
    <xdr:to>
      <xdr:col>18</xdr:col>
      <xdr:colOff>0</xdr:colOff>
      <xdr:row>148</xdr:row>
      <xdr:rowOff>161925</xdr:rowOff>
    </xdr:to>
    <xdr:grpSp>
      <xdr:nvGrpSpPr>
        <xdr:cNvPr id="55" name="Group 1"/>
        <xdr:cNvGrpSpPr>
          <a:grpSpLocks/>
        </xdr:cNvGrpSpPr>
      </xdr:nvGrpSpPr>
      <xdr:grpSpPr>
        <a:xfrm>
          <a:off x="8362950" y="37909500"/>
          <a:ext cx="1333500" cy="619125"/>
          <a:chOff x="5101" y="2473"/>
          <a:chExt cx="1911" cy="800"/>
        </a:xfrm>
        <a:solidFill>
          <a:srgbClr val="FFFFFF"/>
        </a:solidFill>
      </xdr:grpSpPr>
      <xdr:sp>
        <xdr:nvSpPr>
          <xdr:cNvPr id="56"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7"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58"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144</xdr:row>
      <xdr:rowOff>247650</xdr:rowOff>
    </xdr:from>
    <xdr:to>
      <xdr:col>1</xdr:col>
      <xdr:colOff>809625</xdr:colOff>
      <xdr:row>149</xdr:row>
      <xdr:rowOff>28575</xdr:rowOff>
    </xdr:to>
    <xdr:pic>
      <xdr:nvPicPr>
        <xdr:cNvPr id="63" name="Image 2" descr="http://www.univ-annaba.org/images/stories/logos/univ_mini_logo.png"/>
        <xdr:cNvPicPr preferRelativeResize="1">
          <a:picLocks noChangeAspect="1"/>
        </xdr:cNvPicPr>
      </xdr:nvPicPr>
      <xdr:blipFill>
        <a:blip r:embed="rId2"/>
        <a:stretch>
          <a:fillRect/>
        </a:stretch>
      </xdr:blipFill>
      <xdr:spPr>
        <a:xfrm>
          <a:off x="333375" y="37785675"/>
          <a:ext cx="1257300" cy="876300"/>
        </a:xfrm>
        <a:prstGeom prst="rect">
          <a:avLst/>
        </a:prstGeom>
        <a:noFill/>
        <a:ln w="9525" cmpd="sng">
          <a:noFill/>
        </a:ln>
      </xdr:spPr>
    </xdr:pic>
    <xdr:clientData/>
  </xdr:twoCellAnchor>
  <xdr:twoCellAnchor>
    <xdr:from>
      <xdr:col>13</xdr:col>
      <xdr:colOff>381000</xdr:colOff>
      <xdr:row>169</xdr:row>
      <xdr:rowOff>114300</xdr:rowOff>
    </xdr:from>
    <xdr:to>
      <xdr:col>18</xdr:col>
      <xdr:colOff>0</xdr:colOff>
      <xdr:row>172</xdr:row>
      <xdr:rowOff>161925</xdr:rowOff>
    </xdr:to>
    <xdr:grpSp>
      <xdr:nvGrpSpPr>
        <xdr:cNvPr id="64" name="Group 1"/>
        <xdr:cNvGrpSpPr>
          <a:grpSpLocks/>
        </xdr:cNvGrpSpPr>
      </xdr:nvGrpSpPr>
      <xdr:grpSpPr>
        <a:xfrm>
          <a:off x="8362950" y="44262675"/>
          <a:ext cx="1333500" cy="619125"/>
          <a:chOff x="5101" y="2473"/>
          <a:chExt cx="1911" cy="800"/>
        </a:xfrm>
        <a:solidFill>
          <a:srgbClr val="FFFFFF"/>
        </a:solidFill>
      </xdr:grpSpPr>
      <xdr:sp>
        <xdr:nvSpPr>
          <xdr:cNvPr id="65"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6"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67"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168</xdr:row>
      <xdr:rowOff>247650</xdr:rowOff>
    </xdr:from>
    <xdr:to>
      <xdr:col>1</xdr:col>
      <xdr:colOff>809625</xdr:colOff>
      <xdr:row>173</xdr:row>
      <xdr:rowOff>28575</xdr:rowOff>
    </xdr:to>
    <xdr:pic>
      <xdr:nvPicPr>
        <xdr:cNvPr id="72" name="Image 2" descr="http://www.univ-annaba.org/images/stories/logos/univ_mini_logo.png"/>
        <xdr:cNvPicPr preferRelativeResize="1">
          <a:picLocks noChangeAspect="1"/>
        </xdr:cNvPicPr>
      </xdr:nvPicPr>
      <xdr:blipFill>
        <a:blip r:embed="rId2"/>
        <a:stretch>
          <a:fillRect/>
        </a:stretch>
      </xdr:blipFill>
      <xdr:spPr>
        <a:xfrm>
          <a:off x="333375" y="44138850"/>
          <a:ext cx="1257300" cy="876300"/>
        </a:xfrm>
        <a:prstGeom prst="rect">
          <a:avLst/>
        </a:prstGeom>
        <a:noFill/>
        <a:ln w="9525" cmpd="sng">
          <a:noFill/>
        </a:ln>
      </xdr:spPr>
    </xdr:pic>
    <xdr:clientData/>
  </xdr:twoCellAnchor>
  <xdr:twoCellAnchor>
    <xdr:from>
      <xdr:col>13</xdr:col>
      <xdr:colOff>381000</xdr:colOff>
      <xdr:row>193</xdr:row>
      <xdr:rowOff>114300</xdr:rowOff>
    </xdr:from>
    <xdr:to>
      <xdr:col>18</xdr:col>
      <xdr:colOff>0</xdr:colOff>
      <xdr:row>196</xdr:row>
      <xdr:rowOff>161925</xdr:rowOff>
    </xdr:to>
    <xdr:grpSp>
      <xdr:nvGrpSpPr>
        <xdr:cNvPr id="73" name="Group 1"/>
        <xdr:cNvGrpSpPr>
          <a:grpSpLocks/>
        </xdr:cNvGrpSpPr>
      </xdr:nvGrpSpPr>
      <xdr:grpSpPr>
        <a:xfrm>
          <a:off x="8362950" y="50644425"/>
          <a:ext cx="1333500" cy="619125"/>
          <a:chOff x="5101" y="2473"/>
          <a:chExt cx="1911" cy="800"/>
        </a:xfrm>
        <a:solidFill>
          <a:srgbClr val="FFFFFF"/>
        </a:solidFill>
      </xdr:grpSpPr>
      <xdr:sp>
        <xdr:nvSpPr>
          <xdr:cNvPr id="7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5"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7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192</xdr:row>
      <xdr:rowOff>247650</xdr:rowOff>
    </xdr:from>
    <xdr:to>
      <xdr:col>1</xdr:col>
      <xdr:colOff>809625</xdr:colOff>
      <xdr:row>197</xdr:row>
      <xdr:rowOff>28575</xdr:rowOff>
    </xdr:to>
    <xdr:pic>
      <xdr:nvPicPr>
        <xdr:cNvPr id="81" name="Image 2" descr="http://www.univ-annaba.org/images/stories/logos/univ_mini_logo.png"/>
        <xdr:cNvPicPr preferRelativeResize="1">
          <a:picLocks noChangeAspect="1"/>
        </xdr:cNvPicPr>
      </xdr:nvPicPr>
      <xdr:blipFill>
        <a:blip r:embed="rId2"/>
        <a:stretch>
          <a:fillRect/>
        </a:stretch>
      </xdr:blipFill>
      <xdr:spPr>
        <a:xfrm>
          <a:off x="333375" y="50520600"/>
          <a:ext cx="1257300" cy="876300"/>
        </a:xfrm>
        <a:prstGeom prst="rect">
          <a:avLst/>
        </a:prstGeom>
        <a:noFill/>
        <a:ln w="9525" cmpd="sng">
          <a:noFill/>
        </a:ln>
      </xdr:spPr>
    </xdr:pic>
    <xdr:clientData/>
  </xdr:twoCellAnchor>
  <xdr:twoCellAnchor>
    <xdr:from>
      <xdr:col>13</xdr:col>
      <xdr:colOff>381000</xdr:colOff>
      <xdr:row>217</xdr:row>
      <xdr:rowOff>114300</xdr:rowOff>
    </xdr:from>
    <xdr:to>
      <xdr:col>18</xdr:col>
      <xdr:colOff>0</xdr:colOff>
      <xdr:row>220</xdr:row>
      <xdr:rowOff>161925</xdr:rowOff>
    </xdr:to>
    <xdr:grpSp>
      <xdr:nvGrpSpPr>
        <xdr:cNvPr id="82" name="Group 1"/>
        <xdr:cNvGrpSpPr>
          <a:grpSpLocks/>
        </xdr:cNvGrpSpPr>
      </xdr:nvGrpSpPr>
      <xdr:grpSpPr>
        <a:xfrm>
          <a:off x="8362950" y="56892825"/>
          <a:ext cx="1333500" cy="619125"/>
          <a:chOff x="5101" y="2473"/>
          <a:chExt cx="1911" cy="800"/>
        </a:xfrm>
        <a:solidFill>
          <a:srgbClr val="FFFFFF"/>
        </a:solidFill>
      </xdr:grpSpPr>
      <xdr:sp>
        <xdr:nvSpPr>
          <xdr:cNvPr id="8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84"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8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216</xdr:row>
      <xdr:rowOff>247650</xdr:rowOff>
    </xdr:from>
    <xdr:to>
      <xdr:col>1</xdr:col>
      <xdr:colOff>809625</xdr:colOff>
      <xdr:row>221</xdr:row>
      <xdr:rowOff>28575</xdr:rowOff>
    </xdr:to>
    <xdr:pic>
      <xdr:nvPicPr>
        <xdr:cNvPr id="90" name="Image 2" descr="http://www.univ-annaba.org/images/stories/logos/univ_mini_logo.png"/>
        <xdr:cNvPicPr preferRelativeResize="1">
          <a:picLocks noChangeAspect="1"/>
        </xdr:cNvPicPr>
      </xdr:nvPicPr>
      <xdr:blipFill>
        <a:blip r:embed="rId2"/>
        <a:stretch>
          <a:fillRect/>
        </a:stretch>
      </xdr:blipFill>
      <xdr:spPr>
        <a:xfrm>
          <a:off x="333375" y="56769000"/>
          <a:ext cx="1257300" cy="876300"/>
        </a:xfrm>
        <a:prstGeom prst="rect">
          <a:avLst/>
        </a:prstGeom>
        <a:noFill/>
        <a:ln w="9525" cmpd="sng">
          <a:noFill/>
        </a:ln>
      </xdr:spPr>
    </xdr:pic>
    <xdr:clientData/>
  </xdr:twoCellAnchor>
  <xdr:twoCellAnchor>
    <xdr:from>
      <xdr:col>13</xdr:col>
      <xdr:colOff>381000</xdr:colOff>
      <xdr:row>241</xdr:row>
      <xdr:rowOff>114300</xdr:rowOff>
    </xdr:from>
    <xdr:to>
      <xdr:col>18</xdr:col>
      <xdr:colOff>0</xdr:colOff>
      <xdr:row>244</xdr:row>
      <xdr:rowOff>161925</xdr:rowOff>
    </xdr:to>
    <xdr:grpSp>
      <xdr:nvGrpSpPr>
        <xdr:cNvPr id="91" name="Group 1"/>
        <xdr:cNvGrpSpPr>
          <a:grpSpLocks/>
        </xdr:cNvGrpSpPr>
      </xdr:nvGrpSpPr>
      <xdr:grpSpPr>
        <a:xfrm>
          <a:off x="8362950" y="63226950"/>
          <a:ext cx="1333500" cy="619125"/>
          <a:chOff x="5101" y="2473"/>
          <a:chExt cx="1911" cy="800"/>
        </a:xfrm>
        <a:solidFill>
          <a:srgbClr val="FFFFFF"/>
        </a:solidFill>
      </xdr:grpSpPr>
      <xdr:sp>
        <xdr:nvSpPr>
          <xdr:cNvPr id="9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9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9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240</xdr:row>
      <xdr:rowOff>247650</xdr:rowOff>
    </xdr:from>
    <xdr:to>
      <xdr:col>1</xdr:col>
      <xdr:colOff>809625</xdr:colOff>
      <xdr:row>245</xdr:row>
      <xdr:rowOff>28575</xdr:rowOff>
    </xdr:to>
    <xdr:pic>
      <xdr:nvPicPr>
        <xdr:cNvPr id="99" name="Image 2" descr="http://www.univ-annaba.org/images/stories/logos/univ_mini_logo.png"/>
        <xdr:cNvPicPr preferRelativeResize="1">
          <a:picLocks noChangeAspect="1"/>
        </xdr:cNvPicPr>
      </xdr:nvPicPr>
      <xdr:blipFill>
        <a:blip r:embed="rId2"/>
        <a:stretch>
          <a:fillRect/>
        </a:stretch>
      </xdr:blipFill>
      <xdr:spPr>
        <a:xfrm>
          <a:off x="333375" y="63103125"/>
          <a:ext cx="1257300" cy="876300"/>
        </a:xfrm>
        <a:prstGeom prst="rect">
          <a:avLst/>
        </a:prstGeom>
        <a:noFill/>
        <a:ln w="9525" cmpd="sng">
          <a:noFill/>
        </a:ln>
      </xdr:spPr>
    </xdr:pic>
    <xdr:clientData/>
  </xdr:twoCellAnchor>
  <xdr:twoCellAnchor>
    <xdr:from>
      <xdr:col>13</xdr:col>
      <xdr:colOff>381000</xdr:colOff>
      <xdr:row>265</xdr:row>
      <xdr:rowOff>114300</xdr:rowOff>
    </xdr:from>
    <xdr:to>
      <xdr:col>18</xdr:col>
      <xdr:colOff>0</xdr:colOff>
      <xdr:row>268</xdr:row>
      <xdr:rowOff>161925</xdr:rowOff>
    </xdr:to>
    <xdr:grpSp>
      <xdr:nvGrpSpPr>
        <xdr:cNvPr id="100" name="Group 1"/>
        <xdr:cNvGrpSpPr>
          <a:grpSpLocks/>
        </xdr:cNvGrpSpPr>
      </xdr:nvGrpSpPr>
      <xdr:grpSpPr>
        <a:xfrm>
          <a:off x="8362950" y="69503925"/>
          <a:ext cx="1333500" cy="619125"/>
          <a:chOff x="5101" y="2473"/>
          <a:chExt cx="1911" cy="800"/>
        </a:xfrm>
        <a:solidFill>
          <a:srgbClr val="FFFFFF"/>
        </a:solidFill>
      </xdr:grpSpPr>
      <xdr:sp>
        <xdr:nvSpPr>
          <xdr:cNvPr id="10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0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0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264</xdr:row>
      <xdr:rowOff>247650</xdr:rowOff>
    </xdr:from>
    <xdr:to>
      <xdr:col>1</xdr:col>
      <xdr:colOff>809625</xdr:colOff>
      <xdr:row>269</xdr:row>
      <xdr:rowOff>28575</xdr:rowOff>
    </xdr:to>
    <xdr:pic>
      <xdr:nvPicPr>
        <xdr:cNvPr id="108" name="Image 2" descr="http://www.univ-annaba.org/images/stories/logos/univ_mini_logo.png"/>
        <xdr:cNvPicPr preferRelativeResize="1">
          <a:picLocks noChangeAspect="1"/>
        </xdr:cNvPicPr>
      </xdr:nvPicPr>
      <xdr:blipFill>
        <a:blip r:embed="rId2"/>
        <a:stretch>
          <a:fillRect/>
        </a:stretch>
      </xdr:blipFill>
      <xdr:spPr>
        <a:xfrm>
          <a:off x="333375" y="69380100"/>
          <a:ext cx="1257300" cy="876300"/>
        </a:xfrm>
        <a:prstGeom prst="rect">
          <a:avLst/>
        </a:prstGeom>
        <a:noFill/>
        <a:ln w="9525" cmpd="sng">
          <a:noFill/>
        </a:ln>
      </xdr:spPr>
    </xdr:pic>
    <xdr:clientData/>
  </xdr:twoCellAnchor>
  <xdr:twoCellAnchor>
    <xdr:from>
      <xdr:col>13</xdr:col>
      <xdr:colOff>381000</xdr:colOff>
      <xdr:row>289</xdr:row>
      <xdr:rowOff>114300</xdr:rowOff>
    </xdr:from>
    <xdr:to>
      <xdr:col>18</xdr:col>
      <xdr:colOff>0</xdr:colOff>
      <xdr:row>292</xdr:row>
      <xdr:rowOff>161925</xdr:rowOff>
    </xdr:to>
    <xdr:grpSp>
      <xdr:nvGrpSpPr>
        <xdr:cNvPr id="109" name="Group 1"/>
        <xdr:cNvGrpSpPr>
          <a:grpSpLocks/>
        </xdr:cNvGrpSpPr>
      </xdr:nvGrpSpPr>
      <xdr:grpSpPr>
        <a:xfrm>
          <a:off x="8362950" y="75685650"/>
          <a:ext cx="1333500" cy="619125"/>
          <a:chOff x="5101" y="2473"/>
          <a:chExt cx="1911" cy="800"/>
        </a:xfrm>
        <a:solidFill>
          <a:srgbClr val="FFFFFF"/>
        </a:solidFill>
      </xdr:grpSpPr>
      <xdr:sp>
        <xdr:nvSpPr>
          <xdr:cNvPr id="11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1"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1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288</xdr:row>
      <xdr:rowOff>247650</xdr:rowOff>
    </xdr:from>
    <xdr:to>
      <xdr:col>1</xdr:col>
      <xdr:colOff>809625</xdr:colOff>
      <xdr:row>293</xdr:row>
      <xdr:rowOff>28575</xdr:rowOff>
    </xdr:to>
    <xdr:pic>
      <xdr:nvPicPr>
        <xdr:cNvPr id="117" name="Image 2" descr="http://www.univ-annaba.org/images/stories/logos/univ_mini_logo.png"/>
        <xdr:cNvPicPr preferRelativeResize="1">
          <a:picLocks noChangeAspect="1"/>
        </xdr:cNvPicPr>
      </xdr:nvPicPr>
      <xdr:blipFill>
        <a:blip r:embed="rId2"/>
        <a:stretch>
          <a:fillRect/>
        </a:stretch>
      </xdr:blipFill>
      <xdr:spPr>
        <a:xfrm>
          <a:off x="333375" y="75561825"/>
          <a:ext cx="1257300" cy="876300"/>
        </a:xfrm>
        <a:prstGeom prst="rect">
          <a:avLst/>
        </a:prstGeom>
        <a:noFill/>
        <a:ln w="9525" cmpd="sng">
          <a:noFill/>
        </a:ln>
      </xdr:spPr>
    </xdr:pic>
    <xdr:clientData/>
  </xdr:twoCellAnchor>
  <xdr:twoCellAnchor>
    <xdr:from>
      <xdr:col>13</xdr:col>
      <xdr:colOff>381000</xdr:colOff>
      <xdr:row>313</xdr:row>
      <xdr:rowOff>114300</xdr:rowOff>
    </xdr:from>
    <xdr:to>
      <xdr:col>18</xdr:col>
      <xdr:colOff>0</xdr:colOff>
      <xdr:row>316</xdr:row>
      <xdr:rowOff>161925</xdr:rowOff>
    </xdr:to>
    <xdr:grpSp>
      <xdr:nvGrpSpPr>
        <xdr:cNvPr id="118" name="Group 1"/>
        <xdr:cNvGrpSpPr>
          <a:grpSpLocks/>
        </xdr:cNvGrpSpPr>
      </xdr:nvGrpSpPr>
      <xdr:grpSpPr>
        <a:xfrm>
          <a:off x="8362950" y="81895950"/>
          <a:ext cx="1333500" cy="619125"/>
          <a:chOff x="5101" y="2473"/>
          <a:chExt cx="1911" cy="800"/>
        </a:xfrm>
        <a:solidFill>
          <a:srgbClr val="FFFFFF"/>
        </a:solidFill>
      </xdr:grpSpPr>
      <xdr:sp>
        <xdr:nvSpPr>
          <xdr:cNvPr id="11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0"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2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312</xdr:row>
      <xdr:rowOff>247650</xdr:rowOff>
    </xdr:from>
    <xdr:to>
      <xdr:col>1</xdr:col>
      <xdr:colOff>809625</xdr:colOff>
      <xdr:row>317</xdr:row>
      <xdr:rowOff>28575</xdr:rowOff>
    </xdr:to>
    <xdr:pic>
      <xdr:nvPicPr>
        <xdr:cNvPr id="126" name="Image 2" descr="http://www.univ-annaba.org/images/stories/logos/univ_mini_logo.png"/>
        <xdr:cNvPicPr preferRelativeResize="1">
          <a:picLocks noChangeAspect="1"/>
        </xdr:cNvPicPr>
      </xdr:nvPicPr>
      <xdr:blipFill>
        <a:blip r:embed="rId2"/>
        <a:stretch>
          <a:fillRect/>
        </a:stretch>
      </xdr:blipFill>
      <xdr:spPr>
        <a:xfrm>
          <a:off x="333375" y="81772125"/>
          <a:ext cx="1257300" cy="876300"/>
        </a:xfrm>
        <a:prstGeom prst="rect">
          <a:avLst/>
        </a:prstGeom>
        <a:noFill/>
        <a:ln w="9525" cmpd="sng">
          <a:noFill/>
        </a:ln>
      </xdr:spPr>
    </xdr:pic>
    <xdr:clientData/>
  </xdr:twoCellAnchor>
  <xdr:twoCellAnchor>
    <xdr:from>
      <xdr:col>13</xdr:col>
      <xdr:colOff>381000</xdr:colOff>
      <xdr:row>337</xdr:row>
      <xdr:rowOff>114300</xdr:rowOff>
    </xdr:from>
    <xdr:to>
      <xdr:col>18</xdr:col>
      <xdr:colOff>0</xdr:colOff>
      <xdr:row>340</xdr:row>
      <xdr:rowOff>161925</xdr:rowOff>
    </xdr:to>
    <xdr:grpSp>
      <xdr:nvGrpSpPr>
        <xdr:cNvPr id="127" name="Group 1"/>
        <xdr:cNvGrpSpPr>
          <a:grpSpLocks/>
        </xdr:cNvGrpSpPr>
      </xdr:nvGrpSpPr>
      <xdr:grpSpPr>
        <a:xfrm>
          <a:off x="8362950" y="88230075"/>
          <a:ext cx="1333500" cy="619125"/>
          <a:chOff x="5101" y="2473"/>
          <a:chExt cx="1911" cy="800"/>
        </a:xfrm>
        <a:solidFill>
          <a:srgbClr val="FFFFFF"/>
        </a:solidFill>
      </xdr:grpSpPr>
      <xdr:sp>
        <xdr:nvSpPr>
          <xdr:cNvPr id="12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9"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3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336</xdr:row>
      <xdr:rowOff>247650</xdr:rowOff>
    </xdr:from>
    <xdr:to>
      <xdr:col>1</xdr:col>
      <xdr:colOff>809625</xdr:colOff>
      <xdr:row>341</xdr:row>
      <xdr:rowOff>28575</xdr:rowOff>
    </xdr:to>
    <xdr:pic>
      <xdr:nvPicPr>
        <xdr:cNvPr id="135" name="Image 2" descr="http://www.univ-annaba.org/images/stories/logos/univ_mini_logo.png"/>
        <xdr:cNvPicPr preferRelativeResize="1">
          <a:picLocks noChangeAspect="1"/>
        </xdr:cNvPicPr>
      </xdr:nvPicPr>
      <xdr:blipFill>
        <a:blip r:embed="rId2"/>
        <a:stretch>
          <a:fillRect/>
        </a:stretch>
      </xdr:blipFill>
      <xdr:spPr>
        <a:xfrm>
          <a:off x="333375" y="88106250"/>
          <a:ext cx="1257300" cy="876300"/>
        </a:xfrm>
        <a:prstGeom prst="rect">
          <a:avLst/>
        </a:prstGeom>
        <a:noFill/>
        <a:ln w="9525" cmpd="sng">
          <a:noFill/>
        </a:ln>
      </xdr:spPr>
    </xdr:pic>
    <xdr:clientData/>
  </xdr:twoCellAnchor>
  <xdr:twoCellAnchor>
    <xdr:from>
      <xdr:col>13</xdr:col>
      <xdr:colOff>381000</xdr:colOff>
      <xdr:row>361</xdr:row>
      <xdr:rowOff>114300</xdr:rowOff>
    </xdr:from>
    <xdr:to>
      <xdr:col>18</xdr:col>
      <xdr:colOff>0</xdr:colOff>
      <xdr:row>364</xdr:row>
      <xdr:rowOff>161925</xdr:rowOff>
    </xdr:to>
    <xdr:grpSp>
      <xdr:nvGrpSpPr>
        <xdr:cNvPr id="136" name="Group 1"/>
        <xdr:cNvGrpSpPr>
          <a:grpSpLocks/>
        </xdr:cNvGrpSpPr>
      </xdr:nvGrpSpPr>
      <xdr:grpSpPr>
        <a:xfrm>
          <a:off x="8362950" y="94411800"/>
          <a:ext cx="1333500" cy="619125"/>
          <a:chOff x="5101" y="2473"/>
          <a:chExt cx="1911" cy="800"/>
        </a:xfrm>
        <a:solidFill>
          <a:srgbClr val="FFFFFF"/>
        </a:solidFill>
      </xdr:grpSpPr>
      <xdr:sp>
        <xdr:nvSpPr>
          <xdr:cNvPr id="137"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38"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39"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360</xdr:row>
      <xdr:rowOff>247650</xdr:rowOff>
    </xdr:from>
    <xdr:to>
      <xdr:col>1</xdr:col>
      <xdr:colOff>809625</xdr:colOff>
      <xdr:row>365</xdr:row>
      <xdr:rowOff>28575</xdr:rowOff>
    </xdr:to>
    <xdr:pic>
      <xdr:nvPicPr>
        <xdr:cNvPr id="144" name="Image 2" descr="http://www.univ-annaba.org/images/stories/logos/univ_mini_logo.png"/>
        <xdr:cNvPicPr preferRelativeResize="1">
          <a:picLocks noChangeAspect="1"/>
        </xdr:cNvPicPr>
      </xdr:nvPicPr>
      <xdr:blipFill>
        <a:blip r:embed="rId2"/>
        <a:stretch>
          <a:fillRect/>
        </a:stretch>
      </xdr:blipFill>
      <xdr:spPr>
        <a:xfrm>
          <a:off x="333375" y="94287975"/>
          <a:ext cx="1257300" cy="876300"/>
        </a:xfrm>
        <a:prstGeom prst="rect">
          <a:avLst/>
        </a:prstGeom>
        <a:noFill/>
        <a:ln w="9525" cmpd="sng">
          <a:noFill/>
        </a:ln>
      </xdr:spPr>
    </xdr:pic>
    <xdr:clientData/>
  </xdr:twoCellAnchor>
  <xdr:twoCellAnchor>
    <xdr:from>
      <xdr:col>13</xdr:col>
      <xdr:colOff>381000</xdr:colOff>
      <xdr:row>385</xdr:row>
      <xdr:rowOff>114300</xdr:rowOff>
    </xdr:from>
    <xdr:to>
      <xdr:col>18</xdr:col>
      <xdr:colOff>0</xdr:colOff>
      <xdr:row>388</xdr:row>
      <xdr:rowOff>161925</xdr:rowOff>
    </xdr:to>
    <xdr:grpSp>
      <xdr:nvGrpSpPr>
        <xdr:cNvPr id="145" name="Group 1"/>
        <xdr:cNvGrpSpPr>
          <a:grpSpLocks/>
        </xdr:cNvGrpSpPr>
      </xdr:nvGrpSpPr>
      <xdr:grpSpPr>
        <a:xfrm>
          <a:off x="8362950" y="100793550"/>
          <a:ext cx="1333500" cy="619125"/>
          <a:chOff x="5101" y="2473"/>
          <a:chExt cx="1911" cy="800"/>
        </a:xfrm>
        <a:solidFill>
          <a:srgbClr val="FFFFFF"/>
        </a:solidFill>
      </xdr:grpSpPr>
      <xdr:sp>
        <xdr:nvSpPr>
          <xdr:cNvPr id="146"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47"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48"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384</xdr:row>
      <xdr:rowOff>247650</xdr:rowOff>
    </xdr:from>
    <xdr:to>
      <xdr:col>1</xdr:col>
      <xdr:colOff>809625</xdr:colOff>
      <xdr:row>389</xdr:row>
      <xdr:rowOff>28575</xdr:rowOff>
    </xdr:to>
    <xdr:pic>
      <xdr:nvPicPr>
        <xdr:cNvPr id="153" name="Image 2" descr="http://www.univ-annaba.org/images/stories/logos/univ_mini_logo.png"/>
        <xdr:cNvPicPr preferRelativeResize="1">
          <a:picLocks noChangeAspect="1"/>
        </xdr:cNvPicPr>
      </xdr:nvPicPr>
      <xdr:blipFill>
        <a:blip r:embed="rId2"/>
        <a:stretch>
          <a:fillRect/>
        </a:stretch>
      </xdr:blipFill>
      <xdr:spPr>
        <a:xfrm>
          <a:off x="333375" y="100669725"/>
          <a:ext cx="1257300" cy="876300"/>
        </a:xfrm>
        <a:prstGeom prst="rect">
          <a:avLst/>
        </a:prstGeom>
        <a:noFill/>
        <a:ln w="9525" cmpd="sng">
          <a:noFill/>
        </a:ln>
      </xdr:spPr>
    </xdr:pic>
    <xdr:clientData/>
  </xdr:twoCellAnchor>
  <xdr:twoCellAnchor>
    <xdr:from>
      <xdr:col>13</xdr:col>
      <xdr:colOff>381000</xdr:colOff>
      <xdr:row>409</xdr:row>
      <xdr:rowOff>114300</xdr:rowOff>
    </xdr:from>
    <xdr:to>
      <xdr:col>18</xdr:col>
      <xdr:colOff>0</xdr:colOff>
      <xdr:row>412</xdr:row>
      <xdr:rowOff>161925</xdr:rowOff>
    </xdr:to>
    <xdr:grpSp>
      <xdr:nvGrpSpPr>
        <xdr:cNvPr id="154" name="Group 1"/>
        <xdr:cNvGrpSpPr>
          <a:grpSpLocks/>
        </xdr:cNvGrpSpPr>
      </xdr:nvGrpSpPr>
      <xdr:grpSpPr>
        <a:xfrm>
          <a:off x="8362950" y="107032425"/>
          <a:ext cx="1333500" cy="619125"/>
          <a:chOff x="5101" y="2473"/>
          <a:chExt cx="1911" cy="800"/>
        </a:xfrm>
        <a:solidFill>
          <a:srgbClr val="FFFFFF"/>
        </a:solidFill>
      </xdr:grpSpPr>
      <xdr:sp>
        <xdr:nvSpPr>
          <xdr:cNvPr id="155"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6"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57"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408</xdr:row>
      <xdr:rowOff>247650</xdr:rowOff>
    </xdr:from>
    <xdr:to>
      <xdr:col>1</xdr:col>
      <xdr:colOff>809625</xdr:colOff>
      <xdr:row>413</xdr:row>
      <xdr:rowOff>28575</xdr:rowOff>
    </xdr:to>
    <xdr:pic>
      <xdr:nvPicPr>
        <xdr:cNvPr id="162" name="Image 2" descr="http://www.univ-annaba.org/images/stories/logos/univ_mini_logo.png"/>
        <xdr:cNvPicPr preferRelativeResize="1">
          <a:picLocks noChangeAspect="1"/>
        </xdr:cNvPicPr>
      </xdr:nvPicPr>
      <xdr:blipFill>
        <a:blip r:embed="rId2"/>
        <a:stretch>
          <a:fillRect/>
        </a:stretch>
      </xdr:blipFill>
      <xdr:spPr>
        <a:xfrm>
          <a:off x="333375" y="106908600"/>
          <a:ext cx="1257300" cy="876300"/>
        </a:xfrm>
        <a:prstGeom prst="rect">
          <a:avLst/>
        </a:prstGeom>
        <a:noFill/>
        <a:ln w="9525" cmpd="sng">
          <a:noFill/>
        </a:ln>
      </xdr:spPr>
    </xdr:pic>
    <xdr:clientData/>
  </xdr:twoCellAnchor>
  <xdr:twoCellAnchor>
    <xdr:from>
      <xdr:col>13</xdr:col>
      <xdr:colOff>381000</xdr:colOff>
      <xdr:row>433</xdr:row>
      <xdr:rowOff>114300</xdr:rowOff>
    </xdr:from>
    <xdr:to>
      <xdr:col>18</xdr:col>
      <xdr:colOff>0</xdr:colOff>
      <xdr:row>436</xdr:row>
      <xdr:rowOff>161925</xdr:rowOff>
    </xdr:to>
    <xdr:grpSp>
      <xdr:nvGrpSpPr>
        <xdr:cNvPr id="163" name="Group 1"/>
        <xdr:cNvGrpSpPr>
          <a:grpSpLocks/>
        </xdr:cNvGrpSpPr>
      </xdr:nvGrpSpPr>
      <xdr:grpSpPr>
        <a:xfrm>
          <a:off x="8362950" y="113195100"/>
          <a:ext cx="1333500" cy="619125"/>
          <a:chOff x="5101" y="2473"/>
          <a:chExt cx="1911" cy="800"/>
        </a:xfrm>
        <a:solidFill>
          <a:srgbClr val="FFFFFF"/>
        </a:solidFill>
      </xdr:grpSpPr>
      <xdr:sp>
        <xdr:nvSpPr>
          <xdr:cNvPr id="16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5"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6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432</xdr:row>
      <xdr:rowOff>247650</xdr:rowOff>
    </xdr:from>
    <xdr:to>
      <xdr:col>1</xdr:col>
      <xdr:colOff>809625</xdr:colOff>
      <xdr:row>437</xdr:row>
      <xdr:rowOff>28575</xdr:rowOff>
    </xdr:to>
    <xdr:pic>
      <xdr:nvPicPr>
        <xdr:cNvPr id="171" name="Image 2" descr="http://www.univ-annaba.org/images/stories/logos/univ_mini_logo.png"/>
        <xdr:cNvPicPr preferRelativeResize="1">
          <a:picLocks noChangeAspect="1"/>
        </xdr:cNvPicPr>
      </xdr:nvPicPr>
      <xdr:blipFill>
        <a:blip r:embed="rId2"/>
        <a:stretch>
          <a:fillRect/>
        </a:stretch>
      </xdr:blipFill>
      <xdr:spPr>
        <a:xfrm>
          <a:off x="333375" y="113071275"/>
          <a:ext cx="1257300" cy="876300"/>
        </a:xfrm>
        <a:prstGeom prst="rect">
          <a:avLst/>
        </a:prstGeom>
        <a:noFill/>
        <a:ln w="9525" cmpd="sng">
          <a:noFill/>
        </a:ln>
      </xdr:spPr>
    </xdr:pic>
    <xdr:clientData/>
  </xdr:twoCellAnchor>
  <xdr:twoCellAnchor>
    <xdr:from>
      <xdr:col>13</xdr:col>
      <xdr:colOff>381000</xdr:colOff>
      <xdr:row>457</xdr:row>
      <xdr:rowOff>114300</xdr:rowOff>
    </xdr:from>
    <xdr:to>
      <xdr:col>18</xdr:col>
      <xdr:colOff>0</xdr:colOff>
      <xdr:row>460</xdr:row>
      <xdr:rowOff>161925</xdr:rowOff>
    </xdr:to>
    <xdr:grpSp>
      <xdr:nvGrpSpPr>
        <xdr:cNvPr id="172" name="Group 1"/>
        <xdr:cNvGrpSpPr>
          <a:grpSpLocks/>
        </xdr:cNvGrpSpPr>
      </xdr:nvGrpSpPr>
      <xdr:grpSpPr>
        <a:xfrm>
          <a:off x="8362950" y="119462550"/>
          <a:ext cx="1333500" cy="619125"/>
          <a:chOff x="5101" y="2473"/>
          <a:chExt cx="1911" cy="800"/>
        </a:xfrm>
        <a:solidFill>
          <a:srgbClr val="FFFFFF"/>
        </a:solidFill>
      </xdr:grpSpPr>
      <xdr:sp>
        <xdr:nvSpPr>
          <xdr:cNvPr id="17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74"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7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456</xdr:row>
      <xdr:rowOff>247650</xdr:rowOff>
    </xdr:from>
    <xdr:to>
      <xdr:col>1</xdr:col>
      <xdr:colOff>809625</xdr:colOff>
      <xdr:row>461</xdr:row>
      <xdr:rowOff>28575</xdr:rowOff>
    </xdr:to>
    <xdr:pic>
      <xdr:nvPicPr>
        <xdr:cNvPr id="180" name="Image 2" descr="http://www.univ-annaba.org/images/stories/logos/univ_mini_logo.png"/>
        <xdr:cNvPicPr preferRelativeResize="1">
          <a:picLocks noChangeAspect="1"/>
        </xdr:cNvPicPr>
      </xdr:nvPicPr>
      <xdr:blipFill>
        <a:blip r:embed="rId2"/>
        <a:stretch>
          <a:fillRect/>
        </a:stretch>
      </xdr:blipFill>
      <xdr:spPr>
        <a:xfrm>
          <a:off x="333375" y="119338725"/>
          <a:ext cx="1257300" cy="876300"/>
        </a:xfrm>
        <a:prstGeom prst="rect">
          <a:avLst/>
        </a:prstGeom>
        <a:noFill/>
        <a:ln w="9525" cmpd="sng">
          <a:noFill/>
        </a:ln>
      </xdr:spPr>
    </xdr:pic>
    <xdr:clientData/>
  </xdr:twoCellAnchor>
  <xdr:twoCellAnchor>
    <xdr:from>
      <xdr:col>13</xdr:col>
      <xdr:colOff>381000</xdr:colOff>
      <xdr:row>481</xdr:row>
      <xdr:rowOff>114300</xdr:rowOff>
    </xdr:from>
    <xdr:to>
      <xdr:col>18</xdr:col>
      <xdr:colOff>0</xdr:colOff>
      <xdr:row>484</xdr:row>
      <xdr:rowOff>161925</xdr:rowOff>
    </xdr:to>
    <xdr:grpSp>
      <xdr:nvGrpSpPr>
        <xdr:cNvPr id="181" name="Group 1"/>
        <xdr:cNvGrpSpPr>
          <a:grpSpLocks/>
        </xdr:cNvGrpSpPr>
      </xdr:nvGrpSpPr>
      <xdr:grpSpPr>
        <a:xfrm>
          <a:off x="8362950" y="125663325"/>
          <a:ext cx="1333500" cy="619125"/>
          <a:chOff x="5101" y="2473"/>
          <a:chExt cx="1911" cy="800"/>
        </a:xfrm>
        <a:solidFill>
          <a:srgbClr val="FFFFFF"/>
        </a:solidFill>
      </xdr:grpSpPr>
      <xdr:sp>
        <xdr:nvSpPr>
          <xdr:cNvPr id="18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8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8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480</xdr:row>
      <xdr:rowOff>247650</xdr:rowOff>
    </xdr:from>
    <xdr:to>
      <xdr:col>1</xdr:col>
      <xdr:colOff>809625</xdr:colOff>
      <xdr:row>485</xdr:row>
      <xdr:rowOff>28575</xdr:rowOff>
    </xdr:to>
    <xdr:pic>
      <xdr:nvPicPr>
        <xdr:cNvPr id="189" name="Image 2" descr="http://www.univ-annaba.org/images/stories/logos/univ_mini_logo.png"/>
        <xdr:cNvPicPr preferRelativeResize="1">
          <a:picLocks noChangeAspect="1"/>
        </xdr:cNvPicPr>
      </xdr:nvPicPr>
      <xdr:blipFill>
        <a:blip r:embed="rId2"/>
        <a:stretch>
          <a:fillRect/>
        </a:stretch>
      </xdr:blipFill>
      <xdr:spPr>
        <a:xfrm>
          <a:off x="333375" y="125539500"/>
          <a:ext cx="1257300" cy="876300"/>
        </a:xfrm>
        <a:prstGeom prst="rect">
          <a:avLst/>
        </a:prstGeom>
        <a:noFill/>
        <a:ln w="9525" cmpd="sng">
          <a:noFill/>
        </a:ln>
      </xdr:spPr>
    </xdr:pic>
    <xdr:clientData/>
  </xdr:twoCellAnchor>
  <xdr:twoCellAnchor>
    <xdr:from>
      <xdr:col>13</xdr:col>
      <xdr:colOff>381000</xdr:colOff>
      <xdr:row>505</xdr:row>
      <xdr:rowOff>114300</xdr:rowOff>
    </xdr:from>
    <xdr:to>
      <xdr:col>18</xdr:col>
      <xdr:colOff>0</xdr:colOff>
      <xdr:row>508</xdr:row>
      <xdr:rowOff>161925</xdr:rowOff>
    </xdr:to>
    <xdr:grpSp>
      <xdr:nvGrpSpPr>
        <xdr:cNvPr id="190" name="Group 1"/>
        <xdr:cNvGrpSpPr>
          <a:grpSpLocks/>
        </xdr:cNvGrpSpPr>
      </xdr:nvGrpSpPr>
      <xdr:grpSpPr>
        <a:xfrm>
          <a:off x="8362950" y="131816475"/>
          <a:ext cx="1333500" cy="619125"/>
          <a:chOff x="5101" y="2473"/>
          <a:chExt cx="1911" cy="800"/>
        </a:xfrm>
        <a:solidFill>
          <a:srgbClr val="FFFFFF"/>
        </a:solidFill>
      </xdr:grpSpPr>
      <xdr:sp>
        <xdr:nvSpPr>
          <xdr:cNvPr id="19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9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9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504</xdr:row>
      <xdr:rowOff>247650</xdr:rowOff>
    </xdr:from>
    <xdr:to>
      <xdr:col>1</xdr:col>
      <xdr:colOff>809625</xdr:colOff>
      <xdr:row>509</xdr:row>
      <xdr:rowOff>28575</xdr:rowOff>
    </xdr:to>
    <xdr:pic>
      <xdr:nvPicPr>
        <xdr:cNvPr id="198" name="Image 2" descr="http://www.univ-annaba.org/images/stories/logos/univ_mini_logo.png"/>
        <xdr:cNvPicPr preferRelativeResize="1">
          <a:picLocks noChangeAspect="1"/>
        </xdr:cNvPicPr>
      </xdr:nvPicPr>
      <xdr:blipFill>
        <a:blip r:embed="rId2"/>
        <a:stretch>
          <a:fillRect/>
        </a:stretch>
      </xdr:blipFill>
      <xdr:spPr>
        <a:xfrm>
          <a:off x="333375" y="131692650"/>
          <a:ext cx="1257300" cy="876300"/>
        </a:xfrm>
        <a:prstGeom prst="rect">
          <a:avLst/>
        </a:prstGeom>
        <a:noFill/>
        <a:ln w="9525" cmpd="sng">
          <a:noFill/>
        </a:ln>
      </xdr:spPr>
    </xdr:pic>
    <xdr:clientData/>
  </xdr:twoCellAnchor>
  <xdr:twoCellAnchor>
    <xdr:from>
      <xdr:col>13</xdr:col>
      <xdr:colOff>381000</xdr:colOff>
      <xdr:row>529</xdr:row>
      <xdr:rowOff>114300</xdr:rowOff>
    </xdr:from>
    <xdr:to>
      <xdr:col>18</xdr:col>
      <xdr:colOff>0</xdr:colOff>
      <xdr:row>532</xdr:row>
      <xdr:rowOff>161925</xdr:rowOff>
    </xdr:to>
    <xdr:grpSp>
      <xdr:nvGrpSpPr>
        <xdr:cNvPr id="199" name="Group 1"/>
        <xdr:cNvGrpSpPr>
          <a:grpSpLocks/>
        </xdr:cNvGrpSpPr>
      </xdr:nvGrpSpPr>
      <xdr:grpSpPr>
        <a:xfrm>
          <a:off x="8362950" y="138026775"/>
          <a:ext cx="1333500" cy="619125"/>
          <a:chOff x="5101" y="2473"/>
          <a:chExt cx="1911" cy="800"/>
        </a:xfrm>
        <a:solidFill>
          <a:srgbClr val="FFFFFF"/>
        </a:solidFill>
      </xdr:grpSpPr>
      <xdr:sp>
        <xdr:nvSpPr>
          <xdr:cNvPr id="20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1"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0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528</xdr:row>
      <xdr:rowOff>247650</xdr:rowOff>
    </xdr:from>
    <xdr:to>
      <xdr:col>1</xdr:col>
      <xdr:colOff>809625</xdr:colOff>
      <xdr:row>533</xdr:row>
      <xdr:rowOff>28575</xdr:rowOff>
    </xdr:to>
    <xdr:pic>
      <xdr:nvPicPr>
        <xdr:cNvPr id="207" name="Image 2" descr="http://www.univ-annaba.org/images/stories/logos/univ_mini_logo.png"/>
        <xdr:cNvPicPr preferRelativeResize="1">
          <a:picLocks noChangeAspect="1"/>
        </xdr:cNvPicPr>
      </xdr:nvPicPr>
      <xdr:blipFill>
        <a:blip r:embed="rId2"/>
        <a:stretch>
          <a:fillRect/>
        </a:stretch>
      </xdr:blipFill>
      <xdr:spPr>
        <a:xfrm>
          <a:off x="333375" y="137902950"/>
          <a:ext cx="1257300" cy="876300"/>
        </a:xfrm>
        <a:prstGeom prst="rect">
          <a:avLst/>
        </a:prstGeom>
        <a:noFill/>
        <a:ln w="9525" cmpd="sng">
          <a:noFill/>
        </a:ln>
      </xdr:spPr>
    </xdr:pic>
    <xdr:clientData/>
  </xdr:twoCellAnchor>
  <xdr:twoCellAnchor>
    <xdr:from>
      <xdr:col>13</xdr:col>
      <xdr:colOff>381000</xdr:colOff>
      <xdr:row>553</xdr:row>
      <xdr:rowOff>114300</xdr:rowOff>
    </xdr:from>
    <xdr:to>
      <xdr:col>18</xdr:col>
      <xdr:colOff>0</xdr:colOff>
      <xdr:row>556</xdr:row>
      <xdr:rowOff>161925</xdr:rowOff>
    </xdr:to>
    <xdr:grpSp>
      <xdr:nvGrpSpPr>
        <xdr:cNvPr id="208" name="Group 1"/>
        <xdr:cNvGrpSpPr>
          <a:grpSpLocks/>
        </xdr:cNvGrpSpPr>
      </xdr:nvGrpSpPr>
      <xdr:grpSpPr>
        <a:xfrm>
          <a:off x="8362950" y="144189450"/>
          <a:ext cx="1333500" cy="619125"/>
          <a:chOff x="5101" y="2473"/>
          <a:chExt cx="1911" cy="800"/>
        </a:xfrm>
        <a:solidFill>
          <a:srgbClr val="FFFFFF"/>
        </a:solidFill>
      </xdr:grpSpPr>
      <xdr:sp>
        <xdr:nvSpPr>
          <xdr:cNvPr id="20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0"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1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552</xdr:row>
      <xdr:rowOff>247650</xdr:rowOff>
    </xdr:from>
    <xdr:to>
      <xdr:col>1</xdr:col>
      <xdr:colOff>809625</xdr:colOff>
      <xdr:row>557</xdr:row>
      <xdr:rowOff>28575</xdr:rowOff>
    </xdr:to>
    <xdr:pic>
      <xdr:nvPicPr>
        <xdr:cNvPr id="216" name="Image 2" descr="http://www.univ-annaba.org/images/stories/logos/univ_mini_logo.png"/>
        <xdr:cNvPicPr preferRelativeResize="1">
          <a:picLocks noChangeAspect="1"/>
        </xdr:cNvPicPr>
      </xdr:nvPicPr>
      <xdr:blipFill>
        <a:blip r:embed="rId2"/>
        <a:stretch>
          <a:fillRect/>
        </a:stretch>
      </xdr:blipFill>
      <xdr:spPr>
        <a:xfrm>
          <a:off x="333375" y="144065625"/>
          <a:ext cx="1257300" cy="876300"/>
        </a:xfrm>
        <a:prstGeom prst="rect">
          <a:avLst/>
        </a:prstGeom>
        <a:noFill/>
        <a:ln w="9525" cmpd="sng">
          <a:noFill/>
        </a:ln>
      </xdr:spPr>
    </xdr:pic>
    <xdr:clientData/>
  </xdr:twoCellAnchor>
  <xdr:twoCellAnchor>
    <xdr:from>
      <xdr:col>13</xdr:col>
      <xdr:colOff>381000</xdr:colOff>
      <xdr:row>577</xdr:row>
      <xdr:rowOff>114300</xdr:rowOff>
    </xdr:from>
    <xdr:to>
      <xdr:col>18</xdr:col>
      <xdr:colOff>0</xdr:colOff>
      <xdr:row>580</xdr:row>
      <xdr:rowOff>161925</xdr:rowOff>
    </xdr:to>
    <xdr:grpSp>
      <xdr:nvGrpSpPr>
        <xdr:cNvPr id="217" name="Group 1"/>
        <xdr:cNvGrpSpPr>
          <a:grpSpLocks/>
        </xdr:cNvGrpSpPr>
      </xdr:nvGrpSpPr>
      <xdr:grpSpPr>
        <a:xfrm>
          <a:off x="8362950" y="150495000"/>
          <a:ext cx="1333500" cy="619125"/>
          <a:chOff x="5101" y="2473"/>
          <a:chExt cx="1911" cy="800"/>
        </a:xfrm>
        <a:solidFill>
          <a:srgbClr val="FFFFFF"/>
        </a:solidFill>
      </xdr:grpSpPr>
      <xdr:sp>
        <xdr:nvSpPr>
          <xdr:cNvPr id="21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9"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2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576</xdr:row>
      <xdr:rowOff>247650</xdr:rowOff>
    </xdr:from>
    <xdr:to>
      <xdr:col>1</xdr:col>
      <xdr:colOff>809625</xdr:colOff>
      <xdr:row>581</xdr:row>
      <xdr:rowOff>28575</xdr:rowOff>
    </xdr:to>
    <xdr:pic>
      <xdr:nvPicPr>
        <xdr:cNvPr id="225" name="Image 2" descr="http://www.univ-annaba.org/images/stories/logos/univ_mini_logo.png"/>
        <xdr:cNvPicPr preferRelativeResize="1">
          <a:picLocks noChangeAspect="1"/>
        </xdr:cNvPicPr>
      </xdr:nvPicPr>
      <xdr:blipFill>
        <a:blip r:embed="rId2"/>
        <a:stretch>
          <a:fillRect/>
        </a:stretch>
      </xdr:blipFill>
      <xdr:spPr>
        <a:xfrm>
          <a:off x="333375" y="150371175"/>
          <a:ext cx="1257300" cy="876300"/>
        </a:xfrm>
        <a:prstGeom prst="rect">
          <a:avLst/>
        </a:prstGeom>
        <a:noFill/>
        <a:ln w="9525" cmpd="sng">
          <a:noFill/>
        </a:ln>
      </xdr:spPr>
    </xdr:pic>
    <xdr:clientData/>
  </xdr:twoCellAnchor>
  <xdr:twoCellAnchor>
    <xdr:from>
      <xdr:col>13</xdr:col>
      <xdr:colOff>381000</xdr:colOff>
      <xdr:row>601</xdr:row>
      <xdr:rowOff>114300</xdr:rowOff>
    </xdr:from>
    <xdr:to>
      <xdr:col>18</xdr:col>
      <xdr:colOff>0</xdr:colOff>
      <xdr:row>604</xdr:row>
      <xdr:rowOff>161925</xdr:rowOff>
    </xdr:to>
    <xdr:grpSp>
      <xdr:nvGrpSpPr>
        <xdr:cNvPr id="226" name="Group 1"/>
        <xdr:cNvGrpSpPr>
          <a:grpSpLocks/>
        </xdr:cNvGrpSpPr>
      </xdr:nvGrpSpPr>
      <xdr:grpSpPr>
        <a:xfrm>
          <a:off x="8362950" y="156743400"/>
          <a:ext cx="1333500" cy="619125"/>
          <a:chOff x="5101" y="2473"/>
          <a:chExt cx="1911" cy="800"/>
        </a:xfrm>
        <a:solidFill>
          <a:srgbClr val="FFFFFF"/>
        </a:solidFill>
      </xdr:grpSpPr>
      <xdr:sp>
        <xdr:nvSpPr>
          <xdr:cNvPr id="227"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28"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29"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0"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1"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2"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3"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600</xdr:row>
      <xdr:rowOff>247650</xdr:rowOff>
    </xdr:from>
    <xdr:to>
      <xdr:col>1</xdr:col>
      <xdr:colOff>809625</xdr:colOff>
      <xdr:row>605</xdr:row>
      <xdr:rowOff>28575</xdr:rowOff>
    </xdr:to>
    <xdr:pic>
      <xdr:nvPicPr>
        <xdr:cNvPr id="234" name="Image 2" descr="http://www.univ-annaba.org/images/stories/logos/univ_mini_logo.png"/>
        <xdr:cNvPicPr preferRelativeResize="1">
          <a:picLocks noChangeAspect="1"/>
        </xdr:cNvPicPr>
      </xdr:nvPicPr>
      <xdr:blipFill>
        <a:blip r:embed="rId2"/>
        <a:stretch>
          <a:fillRect/>
        </a:stretch>
      </xdr:blipFill>
      <xdr:spPr>
        <a:xfrm>
          <a:off x="333375" y="156619575"/>
          <a:ext cx="1257300" cy="876300"/>
        </a:xfrm>
        <a:prstGeom prst="rect">
          <a:avLst/>
        </a:prstGeom>
        <a:noFill/>
        <a:ln w="9525" cmpd="sng">
          <a:noFill/>
        </a:ln>
      </xdr:spPr>
    </xdr:pic>
    <xdr:clientData/>
  </xdr:twoCellAnchor>
  <xdr:twoCellAnchor>
    <xdr:from>
      <xdr:col>13</xdr:col>
      <xdr:colOff>381000</xdr:colOff>
      <xdr:row>625</xdr:row>
      <xdr:rowOff>114300</xdr:rowOff>
    </xdr:from>
    <xdr:to>
      <xdr:col>18</xdr:col>
      <xdr:colOff>0</xdr:colOff>
      <xdr:row>628</xdr:row>
      <xdr:rowOff>161925</xdr:rowOff>
    </xdr:to>
    <xdr:grpSp>
      <xdr:nvGrpSpPr>
        <xdr:cNvPr id="235" name="Group 1"/>
        <xdr:cNvGrpSpPr>
          <a:grpSpLocks/>
        </xdr:cNvGrpSpPr>
      </xdr:nvGrpSpPr>
      <xdr:grpSpPr>
        <a:xfrm>
          <a:off x="8362950" y="162925125"/>
          <a:ext cx="1333500" cy="619125"/>
          <a:chOff x="5101" y="2473"/>
          <a:chExt cx="1911" cy="800"/>
        </a:xfrm>
        <a:solidFill>
          <a:srgbClr val="FFFFFF"/>
        </a:solidFill>
      </xdr:grpSpPr>
      <xdr:sp>
        <xdr:nvSpPr>
          <xdr:cNvPr id="236"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37"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38"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9"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0"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1"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2"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624</xdr:row>
      <xdr:rowOff>247650</xdr:rowOff>
    </xdr:from>
    <xdr:to>
      <xdr:col>1</xdr:col>
      <xdr:colOff>809625</xdr:colOff>
      <xdr:row>629</xdr:row>
      <xdr:rowOff>28575</xdr:rowOff>
    </xdr:to>
    <xdr:pic>
      <xdr:nvPicPr>
        <xdr:cNvPr id="243" name="Image 2" descr="http://www.univ-annaba.org/images/stories/logos/univ_mini_logo.png"/>
        <xdr:cNvPicPr preferRelativeResize="1">
          <a:picLocks noChangeAspect="1"/>
        </xdr:cNvPicPr>
      </xdr:nvPicPr>
      <xdr:blipFill>
        <a:blip r:embed="rId2"/>
        <a:stretch>
          <a:fillRect/>
        </a:stretch>
      </xdr:blipFill>
      <xdr:spPr>
        <a:xfrm>
          <a:off x="333375" y="162801300"/>
          <a:ext cx="1257300" cy="876300"/>
        </a:xfrm>
        <a:prstGeom prst="rect">
          <a:avLst/>
        </a:prstGeom>
        <a:noFill/>
        <a:ln w="9525" cmpd="sng">
          <a:noFill/>
        </a:ln>
      </xdr:spPr>
    </xdr:pic>
    <xdr:clientData/>
  </xdr:twoCellAnchor>
  <xdr:twoCellAnchor>
    <xdr:from>
      <xdr:col>13</xdr:col>
      <xdr:colOff>381000</xdr:colOff>
      <xdr:row>649</xdr:row>
      <xdr:rowOff>114300</xdr:rowOff>
    </xdr:from>
    <xdr:to>
      <xdr:col>18</xdr:col>
      <xdr:colOff>0</xdr:colOff>
      <xdr:row>652</xdr:row>
      <xdr:rowOff>161925</xdr:rowOff>
    </xdr:to>
    <xdr:grpSp>
      <xdr:nvGrpSpPr>
        <xdr:cNvPr id="244" name="Group 1"/>
        <xdr:cNvGrpSpPr>
          <a:grpSpLocks/>
        </xdr:cNvGrpSpPr>
      </xdr:nvGrpSpPr>
      <xdr:grpSpPr>
        <a:xfrm>
          <a:off x="8362950" y="169183050"/>
          <a:ext cx="1333500" cy="619125"/>
          <a:chOff x="5101" y="2473"/>
          <a:chExt cx="1911" cy="800"/>
        </a:xfrm>
        <a:solidFill>
          <a:srgbClr val="FFFFFF"/>
        </a:solidFill>
      </xdr:grpSpPr>
      <xdr:sp>
        <xdr:nvSpPr>
          <xdr:cNvPr id="245"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46"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47"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8"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9"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0"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1"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648</xdr:row>
      <xdr:rowOff>247650</xdr:rowOff>
    </xdr:from>
    <xdr:to>
      <xdr:col>1</xdr:col>
      <xdr:colOff>809625</xdr:colOff>
      <xdr:row>653</xdr:row>
      <xdr:rowOff>28575</xdr:rowOff>
    </xdr:to>
    <xdr:pic>
      <xdr:nvPicPr>
        <xdr:cNvPr id="252" name="Image 2" descr="http://www.univ-annaba.org/images/stories/logos/univ_mini_logo.png"/>
        <xdr:cNvPicPr preferRelativeResize="1">
          <a:picLocks noChangeAspect="1"/>
        </xdr:cNvPicPr>
      </xdr:nvPicPr>
      <xdr:blipFill>
        <a:blip r:embed="rId2"/>
        <a:stretch>
          <a:fillRect/>
        </a:stretch>
      </xdr:blipFill>
      <xdr:spPr>
        <a:xfrm>
          <a:off x="333375" y="169059225"/>
          <a:ext cx="1257300" cy="876300"/>
        </a:xfrm>
        <a:prstGeom prst="rect">
          <a:avLst/>
        </a:prstGeom>
        <a:noFill/>
        <a:ln w="9525" cmpd="sng">
          <a:noFill/>
        </a:ln>
      </xdr:spPr>
    </xdr:pic>
    <xdr:clientData/>
  </xdr:twoCellAnchor>
  <xdr:twoCellAnchor>
    <xdr:from>
      <xdr:col>13</xdr:col>
      <xdr:colOff>381000</xdr:colOff>
      <xdr:row>673</xdr:row>
      <xdr:rowOff>114300</xdr:rowOff>
    </xdr:from>
    <xdr:to>
      <xdr:col>18</xdr:col>
      <xdr:colOff>0</xdr:colOff>
      <xdr:row>677</xdr:row>
      <xdr:rowOff>0</xdr:rowOff>
    </xdr:to>
    <xdr:grpSp>
      <xdr:nvGrpSpPr>
        <xdr:cNvPr id="253" name="Group 1"/>
        <xdr:cNvGrpSpPr>
          <a:grpSpLocks/>
        </xdr:cNvGrpSpPr>
      </xdr:nvGrpSpPr>
      <xdr:grpSpPr>
        <a:xfrm>
          <a:off x="8362950" y="175412400"/>
          <a:ext cx="1333500" cy="723900"/>
          <a:chOff x="5101" y="2473"/>
          <a:chExt cx="1911" cy="800"/>
        </a:xfrm>
        <a:solidFill>
          <a:srgbClr val="FFFFFF"/>
        </a:solidFill>
      </xdr:grpSpPr>
      <xdr:sp>
        <xdr:nvSpPr>
          <xdr:cNvPr id="25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55"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5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672</xdr:row>
      <xdr:rowOff>247650</xdr:rowOff>
    </xdr:from>
    <xdr:to>
      <xdr:col>1</xdr:col>
      <xdr:colOff>809625</xdr:colOff>
      <xdr:row>677</xdr:row>
      <xdr:rowOff>28575</xdr:rowOff>
    </xdr:to>
    <xdr:pic>
      <xdr:nvPicPr>
        <xdr:cNvPr id="261" name="Image 2" descr="http://www.univ-annaba.org/images/stories/logos/univ_mini_logo.png"/>
        <xdr:cNvPicPr preferRelativeResize="1">
          <a:picLocks noChangeAspect="1"/>
        </xdr:cNvPicPr>
      </xdr:nvPicPr>
      <xdr:blipFill>
        <a:blip r:embed="rId2"/>
        <a:stretch>
          <a:fillRect/>
        </a:stretch>
      </xdr:blipFill>
      <xdr:spPr>
        <a:xfrm>
          <a:off x="333375" y="175288575"/>
          <a:ext cx="1257300" cy="876300"/>
        </a:xfrm>
        <a:prstGeom prst="rect">
          <a:avLst/>
        </a:prstGeom>
        <a:noFill/>
        <a:ln w="9525" cmpd="sng">
          <a:noFill/>
        </a:ln>
      </xdr:spPr>
    </xdr:pic>
    <xdr:clientData/>
  </xdr:twoCellAnchor>
  <xdr:twoCellAnchor>
    <xdr:from>
      <xdr:col>13</xdr:col>
      <xdr:colOff>381000</xdr:colOff>
      <xdr:row>697</xdr:row>
      <xdr:rowOff>114300</xdr:rowOff>
    </xdr:from>
    <xdr:to>
      <xdr:col>18</xdr:col>
      <xdr:colOff>0</xdr:colOff>
      <xdr:row>701</xdr:row>
      <xdr:rowOff>0</xdr:rowOff>
    </xdr:to>
    <xdr:grpSp>
      <xdr:nvGrpSpPr>
        <xdr:cNvPr id="262" name="Group 1"/>
        <xdr:cNvGrpSpPr>
          <a:grpSpLocks/>
        </xdr:cNvGrpSpPr>
      </xdr:nvGrpSpPr>
      <xdr:grpSpPr>
        <a:xfrm>
          <a:off x="8362950" y="181575075"/>
          <a:ext cx="1333500" cy="723900"/>
          <a:chOff x="5101" y="2473"/>
          <a:chExt cx="1911" cy="800"/>
        </a:xfrm>
        <a:solidFill>
          <a:srgbClr val="FFFFFF"/>
        </a:solidFill>
      </xdr:grpSpPr>
      <xdr:sp>
        <xdr:nvSpPr>
          <xdr:cNvPr id="26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64"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6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696</xdr:row>
      <xdr:rowOff>247650</xdr:rowOff>
    </xdr:from>
    <xdr:to>
      <xdr:col>1</xdr:col>
      <xdr:colOff>809625</xdr:colOff>
      <xdr:row>701</xdr:row>
      <xdr:rowOff>28575</xdr:rowOff>
    </xdr:to>
    <xdr:pic>
      <xdr:nvPicPr>
        <xdr:cNvPr id="270" name="Image 2" descr="http://www.univ-annaba.org/images/stories/logos/univ_mini_logo.png"/>
        <xdr:cNvPicPr preferRelativeResize="1">
          <a:picLocks noChangeAspect="1"/>
        </xdr:cNvPicPr>
      </xdr:nvPicPr>
      <xdr:blipFill>
        <a:blip r:embed="rId2"/>
        <a:stretch>
          <a:fillRect/>
        </a:stretch>
      </xdr:blipFill>
      <xdr:spPr>
        <a:xfrm>
          <a:off x="333375" y="181451250"/>
          <a:ext cx="1257300" cy="876300"/>
        </a:xfrm>
        <a:prstGeom prst="rect">
          <a:avLst/>
        </a:prstGeom>
        <a:noFill/>
        <a:ln w="9525" cmpd="sng">
          <a:noFill/>
        </a:ln>
      </xdr:spPr>
    </xdr:pic>
    <xdr:clientData/>
  </xdr:twoCellAnchor>
  <xdr:twoCellAnchor>
    <xdr:from>
      <xdr:col>13</xdr:col>
      <xdr:colOff>381000</xdr:colOff>
      <xdr:row>721</xdr:row>
      <xdr:rowOff>114300</xdr:rowOff>
    </xdr:from>
    <xdr:to>
      <xdr:col>18</xdr:col>
      <xdr:colOff>0</xdr:colOff>
      <xdr:row>725</xdr:row>
      <xdr:rowOff>0</xdr:rowOff>
    </xdr:to>
    <xdr:grpSp>
      <xdr:nvGrpSpPr>
        <xdr:cNvPr id="271" name="Group 1"/>
        <xdr:cNvGrpSpPr>
          <a:grpSpLocks/>
        </xdr:cNvGrpSpPr>
      </xdr:nvGrpSpPr>
      <xdr:grpSpPr>
        <a:xfrm>
          <a:off x="8362950" y="187728225"/>
          <a:ext cx="1333500" cy="723900"/>
          <a:chOff x="5101" y="2473"/>
          <a:chExt cx="1911" cy="800"/>
        </a:xfrm>
        <a:solidFill>
          <a:srgbClr val="FFFFFF"/>
        </a:solidFill>
      </xdr:grpSpPr>
      <xdr:sp>
        <xdr:nvSpPr>
          <xdr:cNvPr id="27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7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7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720</xdr:row>
      <xdr:rowOff>247650</xdr:rowOff>
    </xdr:from>
    <xdr:to>
      <xdr:col>1</xdr:col>
      <xdr:colOff>809625</xdr:colOff>
      <xdr:row>725</xdr:row>
      <xdr:rowOff>28575</xdr:rowOff>
    </xdr:to>
    <xdr:pic>
      <xdr:nvPicPr>
        <xdr:cNvPr id="279" name="Image 2" descr="http://www.univ-annaba.org/images/stories/logos/univ_mini_logo.png"/>
        <xdr:cNvPicPr preferRelativeResize="1">
          <a:picLocks noChangeAspect="1"/>
        </xdr:cNvPicPr>
      </xdr:nvPicPr>
      <xdr:blipFill>
        <a:blip r:embed="rId2"/>
        <a:stretch>
          <a:fillRect/>
        </a:stretch>
      </xdr:blipFill>
      <xdr:spPr>
        <a:xfrm>
          <a:off x="333375" y="187604400"/>
          <a:ext cx="1257300" cy="876300"/>
        </a:xfrm>
        <a:prstGeom prst="rect">
          <a:avLst/>
        </a:prstGeom>
        <a:noFill/>
        <a:ln w="9525" cmpd="sng">
          <a:noFill/>
        </a:ln>
      </xdr:spPr>
    </xdr:pic>
    <xdr:clientData/>
  </xdr:twoCellAnchor>
  <xdr:twoCellAnchor>
    <xdr:from>
      <xdr:col>13</xdr:col>
      <xdr:colOff>381000</xdr:colOff>
      <xdr:row>745</xdr:row>
      <xdr:rowOff>114300</xdr:rowOff>
    </xdr:from>
    <xdr:to>
      <xdr:col>18</xdr:col>
      <xdr:colOff>0</xdr:colOff>
      <xdr:row>749</xdr:row>
      <xdr:rowOff>0</xdr:rowOff>
    </xdr:to>
    <xdr:grpSp>
      <xdr:nvGrpSpPr>
        <xdr:cNvPr id="280" name="Group 1"/>
        <xdr:cNvGrpSpPr>
          <a:grpSpLocks/>
        </xdr:cNvGrpSpPr>
      </xdr:nvGrpSpPr>
      <xdr:grpSpPr>
        <a:xfrm>
          <a:off x="8362950" y="193976625"/>
          <a:ext cx="1333500" cy="723900"/>
          <a:chOff x="5101" y="2473"/>
          <a:chExt cx="1911" cy="800"/>
        </a:xfrm>
        <a:solidFill>
          <a:srgbClr val="FFFFFF"/>
        </a:solidFill>
      </xdr:grpSpPr>
      <xdr:sp>
        <xdr:nvSpPr>
          <xdr:cNvPr id="28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8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8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744</xdr:row>
      <xdr:rowOff>247650</xdr:rowOff>
    </xdr:from>
    <xdr:to>
      <xdr:col>1</xdr:col>
      <xdr:colOff>809625</xdr:colOff>
      <xdr:row>749</xdr:row>
      <xdr:rowOff>28575</xdr:rowOff>
    </xdr:to>
    <xdr:pic>
      <xdr:nvPicPr>
        <xdr:cNvPr id="288" name="Image 2" descr="http://www.univ-annaba.org/images/stories/logos/univ_mini_logo.png"/>
        <xdr:cNvPicPr preferRelativeResize="1">
          <a:picLocks noChangeAspect="1"/>
        </xdr:cNvPicPr>
      </xdr:nvPicPr>
      <xdr:blipFill>
        <a:blip r:embed="rId2"/>
        <a:stretch>
          <a:fillRect/>
        </a:stretch>
      </xdr:blipFill>
      <xdr:spPr>
        <a:xfrm>
          <a:off x="333375" y="193852800"/>
          <a:ext cx="1257300" cy="876300"/>
        </a:xfrm>
        <a:prstGeom prst="rect">
          <a:avLst/>
        </a:prstGeom>
        <a:noFill/>
        <a:ln w="9525" cmpd="sng">
          <a:noFill/>
        </a:ln>
      </xdr:spPr>
    </xdr:pic>
    <xdr:clientData/>
  </xdr:twoCellAnchor>
  <xdr:twoCellAnchor>
    <xdr:from>
      <xdr:col>13</xdr:col>
      <xdr:colOff>381000</xdr:colOff>
      <xdr:row>769</xdr:row>
      <xdr:rowOff>114300</xdr:rowOff>
    </xdr:from>
    <xdr:to>
      <xdr:col>18</xdr:col>
      <xdr:colOff>0</xdr:colOff>
      <xdr:row>773</xdr:row>
      <xdr:rowOff>0</xdr:rowOff>
    </xdr:to>
    <xdr:grpSp>
      <xdr:nvGrpSpPr>
        <xdr:cNvPr id="289" name="Group 1"/>
        <xdr:cNvGrpSpPr>
          <a:grpSpLocks/>
        </xdr:cNvGrpSpPr>
      </xdr:nvGrpSpPr>
      <xdr:grpSpPr>
        <a:xfrm>
          <a:off x="8362950" y="200225025"/>
          <a:ext cx="1333500" cy="723900"/>
          <a:chOff x="5101" y="2473"/>
          <a:chExt cx="1911" cy="800"/>
        </a:xfrm>
        <a:solidFill>
          <a:srgbClr val="FFFFFF"/>
        </a:solidFill>
      </xdr:grpSpPr>
      <xdr:sp>
        <xdr:nvSpPr>
          <xdr:cNvPr id="29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91"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29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768</xdr:row>
      <xdr:rowOff>247650</xdr:rowOff>
    </xdr:from>
    <xdr:to>
      <xdr:col>1</xdr:col>
      <xdr:colOff>809625</xdr:colOff>
      <xdr:row>773</xdr:row>
      <xdr:rowOff>28575</xdr:rowOff>
    </xdr:to>
    <xdr:pic>
      <xdr:nvPicPr>
        <xdr:cNvPr id="297" name="Image 2" descr="http://www.univ-annaba.org/images/stories/logos/univ_mini_logo.png"/>
        <xdr:cNvPicPr preferRelativeResize="1">
          <a:picLocks noChangeAspect="1"/>
        </xdr:cNvPicPr>
      </xdr:nvPicPr>
      <xdr:blipFill>
        <a:blip r:embed="rId2"/>
        <a:stretch>
          <a:fillRect/>
        </a:stretch>
      </xdr:blipFill>
      <xdr:spPr>
        <a:xfrm>
          <a:off x="333375" y="200101200"/>
          <a:ext cx="1257300" cy="876300"/>
        </a:xfrm>
        <a:prstGeom prst="rect">
          <a:avLst/>
        </a:prstGeom>
        <a:noFill/>
        <a:ln w="9525" cmpd="sng">
          <a:noFill/>
        </a:ln>
      </xdr:spPr>
    </xdr:pic>
    <xdr:clientData/>
  </xdr:twoCellAnchor>
  <xdr:twoCellAnchor>
    <xdr:from>
      <xdr:col>13</xdr:col>
      <xdr:colOff>381000</xdr:colOff>
      <xdr:row>793</xdr:row>
      <xdr:rowOff>114300</xdr:rowOff>
    </xdr:from>
    <xdr:to>
      <xdr:col>18</xdr:col>
      <xdr:colOff>0</xdr:colOff>
      <xdr:row>797</xdr:row>
      <xdr:rowOff>0</xdr:rowOff>
    </xdr:to>
    <xdr:grpSp>
      <xdr:nvGrpSpPr>
        <xdr:cNvPr id="298" name="Group 1"/>
        <xdr:cNvGrpSpPr>
          <a:grpSpLocks/>
        </xdr:cNvGrpSpPr>
      </xdr:nvGrpSpPr>
      <xdr:grpSpPr>
        <a:xfrm>
          <a:off x="8362950" y="206425800"/>
          <a:ext cx="1333500" cy="723900"/>
          <a:chOff x="5101" y="2473"/>
          <a:chExt cx="1911" cy="800"/>
        </a:xfrm>
        <a:solidFill>
          <a:srgbClr val="FFFFFF"/>
        </a:solidFill>
      </xdr:grpSpPr>
      <xdr:sp>
        <xdr:nvSpPr>
          <xdr:cNvPr id="29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00"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30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792</xdr:row>
      <xdr:rowOff>247650</xdr:rowOff>
    </xdr:from>
    <xdr:to>
      <xdr:col>1</xdr:col>
      <xdr:colOff>809625</xdr:colOff>
      <xdr:row>797</xdr:row>
      <xdr:rowOff>28575</xdr:rowOff>
    </xdr:to>
    <xdr:pic>
      <xdr:nvPicPr>
        <xdr:cNvPr id="306" name="Image 2" descr="http://www.univ-annaba.org/images/stories/logos/univ_mini_logo.png"/>
        <xdr:cNvPicPr preferRelativeResize="1">
          <a:picLocks noChangeAspect="1"/>
        </xdr:cNvPicPr>
      </xdr:nvPicPr>
      <xdr:blipFill>
        <a:blip r:embed="rId2"/>
        <a:stretch>
          <a:fillRect/>
        </a:stretch>
      </xdr:blipFill>
      <xdr:spPr>
        <a:xfrm>
          <a:off x="333375" y="206301975"/>
          <a:ext cx="12573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xdr:row>
      <xdr:rowOff>161925</xdr:rowOff>
    </xdr:from>
    <xdr:to>
      <xdr:col>1</xdr:col>
      <xdr:colOff>485775</xdr:colOff>
      <xdr:row>6</xdr:row>
      <xdr:rowOff>104775</xdr:rowOff>
    </xdr:to>
    <xdr:pic>
      <xdr:nvPicPr>
        <xdr:cNvPr id="1" name="Image 2" descr="http://www.univ-annaba.org/images/stories/logos/univ_mini_logo.png"/>
        <xdr:cNvPicPr preferRelativeResize="1">
          <a:picLocks noChangeAspect="1"/>
        </xdr:cNvPicPr>
      </xdr:nvPicPr>
      <xdr:blipFill>
        <a:blip r:embed="rId1"/>
        <a:stretch>
          <a:fillRect/>
        </a:stretch>
      </xdr:blipFill>
      <xdr:spPr>
        <a:xfrm>
          <a:off x="104775" y="619125"/>
          <a:ext cx="1057275" cy="857250"/>
        </a:xfrm>
        <a:prstGeom prst="rect">
          <a:avLst/>
        </a:prstGeom>
        <a:noFill/>
        <a:ln w="9525" cmpd="sng">
          <a:noFill/>
        </a:ln>
      </xdr:spPr>
    </xdr:pic>
    <xdr:clientData/>
  </xdr:twoCellAnchor>
  <xdr:twoCellAnchor>
    <xdr:from>
      <xdr:col>5</xdr:col>
      <xdr:colOff>638175</xdr:colOff>
      <xdr:row>2</xdr:row>
      <xdr:rowOff>200025</xdr:rowOff>
    </xdr:from>
    <xdr:to>
      <xdr:col>6</xdr:col>
      <xdr:colOff>990600</xdr:colOff>
      <xdr:row>5</xdr:row>
      <xdr:rowOff>123825</xdr:rowOff>
    </xdr:to>
    <xdr:grpSp>
      <xdr:nvGrpSpPr>
        <xdr:cNvPr id="2" name="Group 1"/>
        <xdr:cNvGrpSpPr>
          <a:grpSpLocks/>
        </xdr:cNvGrpSpPr>
      </xdr:nvGrpSpPr>
      <xdr:grpSpPr>
        <a:xfrm>
          <a:off x="4305300" y="657225"/>
          <a:ext cx="1524000" cy="609600"/>
          <a:chOff x="5101" y="2473"/>
          <a:chExt cx="1911" cy="800"/>
        </a:xfrm>
        <a:solidFill>
          <a:srgbClr val="FFFFFF"/>
        </a:solidFill>
      </xdr:grpSpPr>
      <xdr:sp>
        <xdr:nvSpPr>
          <xdr:cNvPr id="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76200</xdr:colOff>
      <xdr:row>48</xdr:row>
      <xdr:rowOff>152400</xdr:rowOff>
    </xdr:from>
    <xdr:to>
      <xdr:col>1</xdr:col>
      <xdr:colOff>447675</xdr:colOff>
      <xdr:row>52</xdr:row>
      <xdr:rowOff>104775</xdr:rowOff>
    </xdr:to>
    <xdr:pic>
      <xdr:nvPicPr>
        <xdr:cNvPr id="10" name="Image 2" descr="http://www.univ-annaba.org/images/stories/logos/univ_mini_logo.png"/>
        <xdr:cNvPicPr preferRelativeResize="1">
          <a:picLocks noChangeAspect="1"/>
        </xdr:cNvPicPr>
      </xdr:nvPicPr>
      <xdr:blipFill>
        <a:blip r:embed="rId1"/>
        <a:stretch>
          <a:fillRect/>
        </a:stretch>
      </xdr:blipFill>
      <xdr:spPr>
        <a:xfrm>
          <a:off x="76200" y="10239375"/>
          <a:ext cx="1047750" cy="866775"/>
        </a:xfrm>
        <a:prstGeom prst="rect">
          <a:avLst/>
        </a:prstGeom>
        <a:noFill/>
        <a:ln w="9525" cmpd="sng">
          <a:noFill/>
        </a:ln>
      </xdr:spPr>
    </xdr:pic>
    <xdr:clientData/>
  </xdr:twoCellAnchor>
  <xdr:twoCellAnchor editAs="oneCell">
    <xdr:from>
      <xdr:col>0</xdr:col>
      <xdr:colOff>38100</xdr:colOff>
      <xdr:row>92</xdr:row>
      <xdr:rowOff>104775</xdr:rowOff>
    </xdr:from>
    <xdr:to>
      <xdr:col>1</xdr:col>
      <xdr:colOff>419100</xdr:colOff>
      <xdr:row>96</xdr:row>
      <xdr:rowOff>57150</xdr:rowOff>
    </xdr:to>
    <xdr:pic>
      <xdr:nvPicPr>
        <xdr:cNvPr id="11" name="Image 2" descr="http://www.univ-annaba.org/images/stories/logos/univ_mini_logo.png"/>
        <xdr:cNvPicPr preferRelativeResize="1">
          <a:picLocks noChangeAspect="1"/>
        </xdr:cNvPicPr>
      </xdr:nvPicPr>
      <xdr:blipFill>
        <a:blip r:embed="rId1"/>
        <a:stretch>
          <a:fillRect/>
        </a:stretch>
      </xdr:blipFill>
      <xdr:spPr>
        <a:xfrm>
          <a:off x="38100" y="19497675"/>
          <a:ext cx="1057275" cy="866775"/>
        </a:xfrm>
        <a:prstGeom prst="rect">
          <a:avLst/>
        </a:prstGeom>
        <a:noFill/>
        <a:ln w="9525" cmpd="sng">
          <a:noFill/>
        </a:ln>
      </xdr:spPr>
    </xdr:pic>
    <xdr:clientData/>
  </xdr:twoCellAnchor>
  <xdr:twoCellAnchor editAs="oneCell">
    <xdr:from>
      <xdr:col>0</xdr:col>
      <xdr:colOff>57150</xdr:colOff>
      <xdr:row>138</xdr:row>
      <xdr:rowOff>171450</xdr:rowOff>
    </xdr:from>
    <xdr:to>
      <xdr:col>1</xdr:col>
      <xdr:colOff>438150</xdr:colOff>
      <xdr:row>142</xdr:row>
      <xdr:rowOff>114300</xdr:rowOff>
    </xdr:to>
    <xdr:pic>
      <xdr:nvPicPr>
        <xdr:cNvPr id="12" name="Image 2" descr="http://www.univ-annaba.org/images/stories/logos/univ_mini_logo.png"/>
        <xdr:cNvPicPr preferRelativeResize="1">
          <a:picLocks noChangeAspect="1"/>
        </xdr:cNvPicPr>
      </xdr:nvPicPr>
      <xdr:blipFill>
        <a:blip r:embed="rId1"/>
        <a:stretch>
          <a:fillRect/>
        </a:stretch>
      </xdr:blipFill>
      <xdr:spPr>
        <a:xfrm>
          <a:off x="57150" y="29194125"/>
          <a:ext cx="1057275" cy="857250"/>
        </a:xfrm>
        <a:prstGeom prst="rect">
          <a:avLst/>
        </a:prstGeom>
        <a:noFill/>
        <a:ln w="9525" cmpd="sng">
          <a:noFill/>
        </a:ln>
      </xdr:spPr>
    </xdr:pic>
    <xdr:clientData/>
  </xdr:twoCellAnchor>
  <xdr:twoCellAnchor>
    <xdr:from>
      <xdr:col>5</xdr:col>
      <xdr:colOff>676275</xdr:colOff>
      <xdr:row>48</xdr:row>
      <xdr:rowOff>171450</xdr:rowOff>
    </xdr:from>
    <xdr:to>
      <xdr:col>6</xdr:col>
      <xdr:colOff>1028700</xdr:colOff>
      <xdr:row>51</xdr:row>
      <xdr:rowOff>95250</xdr:rowOff>
    </xdr:to>
    <xdr:grpSp>
      <xdr:nvGrpSpPr>
        <xdr:cNvPr id="13" name="Group 1"/>
        <xdr:cNvGrpSpPr>
          <a:grpSpLocks/>
        </xdr:cNvGrpSpPr>
      </xdr:nvGrpSpPr>
      <xdr:grpSpPr>
        <a:xfrm>
          <a:off x="4343400" y="10258425"/>
          <a:ext cx="1524000" cy="609600"/>
          <a:chOff x="5101" y="2473"/>
          <a:chExt cx="1911" cy="800"/>
        </a:xfrm>
        <a:solidFill>
          <a:srgbClr val="FFFFFF"/>
        </a:solidFill>
      </xdr:grpSpPr>
      <xdr:sp>
        <xdr:nvSpPr>
          <xdr:cNvPr id="1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1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704850</xdr:colOff>
      <xdr:row>92</xdr:row>
      <xdr:rowOff>95250</xdr:rowOff>
    </xdr:from>
    <xdr:to>
      <xdr:col>6</xdr:col>
      <xdr:colOff>1057275</xdr:colOff>
      <xdr:row>95</xdr:row>
      <xdr:rowOff>19050</xdr:rowOff>
    </xdr:to>
    <xdr:grpSp>
      <xdr:nvGrpSpPr>
        <xdr:cNvPr id="21" name="Group 1"/>
        <xdr:cNvGrpSpPr>
          <a:grpSpLocks/>
        </xdr:cNvGrpSpPr>
      </xdr:nvGrpSpPr>
      <xdr:grpSpPr>
        <a:xfrm>
          <a:off x="4371975" y="19488150"/>
          <a:ext cx="1524000" cy="609600"/>
          <a:chOff x="5101" y="2473"/>
          <a:chExt cx="1911" cy="800"/>
        </a:xfrm>
        <a:solidFill>
          <a:srgbClr val="FFFFFF"/>
        </a:solidFill>
      </xdr:grpSpPr>
      <xdr:sp>
        <xdr:nvSpPr>
          <xdr:cNvPr id="2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3"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2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657225</xdr:colOff>
      <xdr:row>138</xdr:row>
      <xdr:rowOff>85725</xdr:rowOff>
    </xdr:from>
    <xdr:to>
      <xdr:col>6</xdr:col>
      <xdr:colOff>1009650</xdr:colOff>
      <xdr:row>141</xdr:row>
      <xdr:rowOff>9525</xdr:rowOff>
    </xdr:to>
    <xdr:grpSp>
      <xdr:nvGrpSpPr>
        <xdr:cNvPr id="29" name="Group 1"/>
        <xdr:cNvGrpSpPr>
          <a:grpSpLocks/>
        </xdr:cNvGrpSpPr>
      </xdr:nvGrpSpPr>
      <xdr:grpSpPr>
        <a:xfrm>
          <a:off x="4324350" y="29108400"/>
          <a:ext cx="1524000" cy="609600"/>
          <a:chOff x="5101" y="2473"/>
          <a:chExt cx="1911" cy="800"/>
        </a:xfrm>
        <a:solidFill>
          <a:srgbClr val="FFFFFF"/>
        </a:solidFill>
      </xdr:grpSpPr>
      <xdr:sp>
        <xdr:nvSpPr>
          <xdr:cNvPr id="3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1"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3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152400</xdr:colOff>
      <xdr:row>3</xdr:row>
      <xdr:rowOff>0</xdr:rowOff>
    </xdr:from>
    <xdr:to>
      <xdr:col>8</xdr:col>
      <xdr:colOff>514350</xdr:colOff>
      <xdr:row>6</xdr:row>
      <xdr:rowOff>171450</xdr:rowOff>
    </xdr:to>
    <xdr:pic>
      <xdr:nvPicPr>
        <xdr:cNvPr id="37" name="Image 2" descr="http://www.univ-annaba.org/images/stories/logos/univ_mini_logo.png"/>
        <xdr:cNvPicPr preferRelativeResize="1">
          <a:picLocks noChangeAspect="1"/>
        </xdr:cNvPicPr>
      </xdr:nvPicPr>
      <xdr:blipFill>
        <a:blip r:embed="rId1"/>
        <a:stretch>
          <a:fillRect/>
        </a:stretch>
      </xdr:blipFill>
      <xdr:spPr>
        <a:xfrm>
          <a:off x="6076950" y="685800"/>
          <a:ext cx="1057275" cy="857250"/>
        </a:xfrm>
        <a:prstGeom prst="rect">
          <a:avLst/>
        </a:prstGeom>
        <a:noFill/>
        <a:ln w="9525" cmpd="sng">
          <a:noFill/>
        </a:ln>
      </xdr:spPr>
    </xdr:pic>
    <xdr:clientData/>
  </xdr:twoCellAnchor>
  <xdr:twoCellAnchor>
    <xdr:from>
      <xdr:col>12</xdr:col>
      <xdr:colOff>381000</xdr:colOff>
      <xdr:row>2</xdr:row>
      <xdr:rowOff>171450</xdr:rowOff>
    </xdr:from>
    <xdr:to>
      <xdr:col>13</xdr:col>
      <xdr:colOff>971550</xdr:colOff>
      <xdr:row>5</xdr:row>
      <xdr:rowOff>95250</xdr:rowOff>
    </xdr:to>
    <xdr:grpSp>
      <xdr:nvGrpSpPr>
        <xdr:cNvPr id="38" name="Group 1"/>
        <xdr:cNvGrpSpPr>
          <a:grpSpLocks/>
        </xdr:cNvGrpSpPr>
      </xdr:nvGrpSpPr>
      <xdr:grpSpPr>
        <a:xfrm>
          <a:off x="10258425" y="628650"/>
          <a:ext cx="1543050" cy="609600"/>
          <a:chOff x="5101" y="2473"/>
          <a:chExt cx="1911" cy="800"/>
        </a:xfrm>
        <a:solidFill>
          <a:srgbClr val="FFFFFF"/>
        </a:solidFill>
      </xdr:grpSpPr>
      <xdr:sp>
        <xdr:nvSpPr>
          <xdr:cNvPr id="39"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0"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41"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219075</xdr:colOff>
      <xdr:row>49</xdr:row>
      <xdr:rowOff>9525</xdr:rowOff>
    </xdr:from>
    <xdr:to>
      <xdr:col>8</xdr:col>
      <xdr:colOff>581025</xdr:colOff>
      <xdr:row>52</xdr:row>
      <xdr:rowOff>180975</xdr:rowOff>
    </xdr:to>
    <xdr:pic>
      <xdr:nvPicPr>
        <xdr:cNvPr id="46" name="Image 2" descr="http://www.univ-annaba.org/images/stories/logos/univ_mini_logo.png"/>
        <xdr:cNvPicPr preferRelativeResize="1">
          <a:picLocks noChangeAspect="1"/>
        </xdr:cNvPicPr>
      </xdr:nvPicPr>
      <xdr:blipFill>
        <a:blip r:embed="rId1"/>
        <a:stretch>
          <a:fillRect/>
        </a:stretch>
      </xdr:blipFill>
      <xdr:spPr>
        <a:xfrm>
          <a:off x="6143625" y="10325100"/>
          <a:ext cx="1057275" cy="857250"/>
        </a:xfrm>
        <a:prstGeom prst="rect">
          <a:avLst/>
        </a:prstGeom>
        <a:noFill/>
        <a:ln w="9525" cmpd="sng">
          <a:noFill/>
        </a:ln>
      </xdr:spPr>
    </xdr:pic>
    <xdr:clientData/>
  </xdr:twoCellAnchor>
  <xdr:twoCellAnchor editAs="oneCell">
    <xdr:from>
      <xdr:col>7</xdr:col>
      <xdr:colOff>314325</xdr:colOff>
      <xdr:row>92</xdr:row>
      <xdr:rowOff>200025</xdr:rowOff>
    </xdr:from>
    <xdr:to>
      <xdr:col>8</xdr:col>
      <xdr:colOff>676275</xdr:colOff>
      <xdr:row>96</xdr:row>
      <xdr:rowOff>142875</xdr:rowOff>
    </xdr:to>
    <xdr:pic>
      <xdr:nvPicPr>
        <xdr:cNvPr id="47" name="Image 2" descr="http://www.univ-annaba.org/images/stories/logos/univ_mini_logo.png"/>
        <xdr:cNvPicPr preferRelativeResize="1">
          <a:picLocks noChangeAspect="1"/>
        </xdr:cNvPicPr>
      </xdr:nvPicPr>
      <xdr:blipFill>
        <a:blip r:embed="rId1"/>
        <a:stretch>
          <a:fillRect/>
        </a:stretch>
      </xdr:blipFill>
      <xdr:spPr>
        <a:xfrm>
          <a:off x="6238875" y="19592925"/>
          <a:ext cx="1057275" cy="857250"/>
        </a:xfrm>
        <a:prstGeom prst="rect">
          <a:avLst/>
        </a:prstGeom>
        <a:noFill/>
        <a:ln w="9525" cmpd="sng">
          <a:noFill/>
        </a:ln>
      </xdr:spPr>
    </xdr:pic>
    <xdr:clientData/>
  </xdr:twoCellAnchor>
  <xdr:twoCellAnchor editAs="oneCell">
    <xdr:from>
      <xdr:col>7</xdr:col>
      <xdr:colOff>323850</xdr:colOff>
      <xdr:row>139</xdr:row>
      <xdr:rowOff>9525</xdr:rowOff>
    </xdr:from>
    <xdr:to>
      <xdr:col>8</xdr:col>
      <xdr:colOff>685800</xdr:colOff>
      <xdr:row>142</xdr:row>
      <xdr:rowOff>180975</xdr:rowOff>
    </xdr:to>
    <xdr:pic>
      <xdr:nvPicPr>
        <xdr:cNvPr id="48" name="Image 2" descr="http://www.univ-annaba.org/images/stories/logos/univ_mini_logo.png"/>
        <xdr:cNvPicPr preferRelativeResize="1">
          <a:picLocks noChangeAspect="1"/>
        </xdr:cNvPicPr>
      </xdr:nvPicPr>
      <xdr:blipFill>
        <a:blip r:embed="rId1"/>
        <a:stretch>
          <a:fillRect/>
        </a:stretch>
      </xdr:blipFill>
      <xdr:spPr>
        <a:xfrm>
          <a:off x="6248400" y="29260800"/>
          <a:ext cx="1057275" cy="857250"/>
        </a:xfrm>
        <a:prstGeom prst="rect">
          <a:avLst/>
        </a:prstGeom>
        <a:noFill/>
        <a:ln w="9525" cmpd="sng">
          <a:noFill/>
        </a:ln>
      </xdr:spPr>
    </xdr:pic>
    <xdr:clientData/>
  </xdr:twoCellAnchor>
  <xdr:twoCellAnchor>
    <xdr:from>
      <xdr:col>12</xdr:col>
      <xdr:colOff>438150</xdr:colOff>
      <xdr:row>138</xdr:row>
      <xdr:rowOff>171450</xdr:rowOff>
    </xdr:from>
    <xdr:to>
      <xdr:col>13</xdr:col>
      <xdr:colOff>895350</xdr:colOff>
      <xdr:row>141</xdr:row>
      <xdr:rowOff>95250</xdr:rowOff>
    </xdr:to>
    <xdr:grpSp>
      <xdr:nvGrpSpPr>
        <xdr:cNvPr id="49" name="Group 1"/>
        <xdr:cNvGrpSpPr>
          <a:grpSpLocks/>
        </xdr:cNvGrpSpPr>
      </xdr:nvGrpSpPr>
      <xdr:grpSpPr>
        <a:xfrm>
          <a:off x="10315575" y="29194125"/>
          <a:ext cx="1409700" cy="609600"/>
          <a:chOff x="5101" y="2473"/>
          <a:chExt cx="1911" cy="800"/>
        </a:xfrm>
        <a:solidFill>
          <a:srgbClr val="FFFFFF"/>
        </a:solidFill>
      </xdr:grpSpPr>
      <xdr:sp>
        <xdr:nvSpPr>
          <xdr:cNvPr id="5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1"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5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333375</xdr:colOff>
      <xdr:row>92</xdr:row>
      <xdr:rowOff>123825</xdr:rowOff>
    </xdr:from>
    <xdr:to>
      <xdr:col>13</xdr:col>
      <xdr:colOff>866775</xdr:colOff>
      <xdr:row>95</xdr:row>
      <xdr:rowOff>38100</xdr:rowOff>
    </xdr:to>
    <xdr:grpSp>
      <xdr:nvGrpSpPr>
        <xdr:cNvPr id="57" name="Group 1"/>
        <xdr:cNvGrpSpPr>
          <a:grpSpLocks/>
        </xdr:cNvGrpSpPr>
      </xdr:nvGrpSpPr>
      <xdr:grpSpPr>
        <a:xfrm>
          <a:off x="10210800" y="19516725"/>
          <a:ext cx="1485900" cy="600075"/>
          <a:chOff x="5101" y="2473"/>
          <a:chExt cx="1911" cy="800"/>
        </a:xfrm>
        <a:solidFill>
          <a:srgbClr val="FFFFFF"/>
        </a:solidFill>
      </xdr:grpSpPr>
      <xdr:sp>
        <xdr:nvSpPr>
          <xdr:cNvPr id="5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9"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6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428625</xdr:colOff>
      <xdr:row>48</xdr:row>
      <xdr:rowOff>142875</xdr:rowOff>
    </xdr:from>
    <xdr:to>
      <xdr:col>13</xdr:col>
      <xdr:colOff>952500</xdr:colOff>
      <xdr:row>51</xdr:row>
      <xdr:rowOff>66675</xdr:rowOff>
    </xdr:to>
    <xdr:grpSp>
      <xdr:nvGrpSpPr>
        <xdr:cNvPr id="65" name="Group 1"/>
        <xdr:cNvGrpSpPr>
          <a:grpSpLocks/>
        </xdr:cNvGrpSpPr>
      </xdr:nvGrpSpPr>
      <xdr:grpSpPr>
        <a:xfrm>
          <a:off x="10306050" y="10229850"/>
          <a:ext cx="1476375" cy="609600"/>
          <a:chOff x="5101" y="2473"/>
          <a:chExt cx="1911" cy="800"/>
        </a:xfrm>
        <a:solidFill>
          <a:srgbClr val="FFFFFF"/>
        </a:solidFill>
      </xdr:grpSpPr>
      <xdr:sp>
        <xdr:nvSpPr>
          <xdr:cNvPr id="66"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7"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68"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1:P208"/>
  <sheetViews>
    <sheetView rightToLeft="1" view="pageBreakPreview" zoomScale="130" zoomScaleNormal="80" zoomScaleSheetLayoutView="130" workbookViewId="0" topLeftCell="A1">
      <selection activeCell="B5" sqref="B5"/>
    </sheetView>
  </sheetViews>
  <sheetFormatPr defaultColWidth="11.421875" defaultRowHeight="12.75"/>
  <cols>
    <col min="1" max="1" width="3.421875" style="25" customWidth="1"/>
    <col min="2" max="2" width="10.28125" style="249" customWidth="1"/>
    <col min="3" max="3" width="10.140625" style="249" customWidth="1"/>
    <col min="4" max="4" width="3.8515625" style="25" customWidth="1"/>
    <col min="5" max="5" width="9.7109375" style="25" customWidth="1"/>
    <col min="6" max="9" width="10.00390625" style="25" customWidth="1"/>
    <col min="10" max="10" width="9.8515625" style="25" customWidth="1"/>
    <col min="11" max="11" width="12.421875" style="25" customWidth="1"/>
    <col min="12" max="12" width="6.57421875" style="25" customWidth="1"/>
    <col min="13" max="13" width="6.8515625" style="25" customWidth="1"/>
    <col min="14" max="14" width="7.140625" style="25" customWidth="1"/>
    <col min="15" max="16384" width="11.421875" style="25" customWidth="1"/>
  </cols>
  <sheetData>
    <row r="1" spans="1:13" ht="18">
      <c r="A1" s="10" t="s">
        <v>19</v>
      </c>
      <c r="I1" s="10" t="s">
        <v>518</v>
      </c>
      <c r="M1" s="61"/>
    </row>
    <row r="2" spans="1:15" ht="18">
      <c r="A2" s="10" t="s">
        <v>20</v>
      </c>
      <c r="I2" s="10" t="s">
        <v>193</v>
      </c>
      <c r="O2" s="11"/>
    </row>
    <row r="3" spans="1:15" ht="18">
      <c r="A3" s="10" t="s">
        <v>4</v>
      </c>
      <c r="I3" s="10" t="s">
        <v>165</v>
      </c>
      <c r="O3" s="11"/>
    </row>
    <row r="4" ht="18">
      <c r="I4" s="192" t="s">
        <v>197</v>
      </c>
    </row>
    <row r="5" spans="2:16" ht="18">
      <c r="B5" s="19" t="s">
        <v>527</v>
      </c>
      <c r="F5" s="10" t="s">
        <v>75</v>
      </c>
      <c r="H5" s="19"/>
      <c r="I5" s="10"/>
      <c r="J5" s="61"/>
      <c r="P5" s="10"/>
    </row>
    <row r="8" spans="1:11" ht="50.25" customHeight="1">
      <c r="A8" s="65" t="s">
        <v>34</v>
      </c>
      <c r="B8" s="255" t="s">
        <v>163</v>
      </c>
      <c r="C8" s="255" t="s">
        <v>164</v>
      </c>
      <c r="D8" s="67"/>
      <c r="E8" s="193" t="s">
        <v>513</v>
      </c>
      <c r="F8" s="193" t="s">
        <v>490</v>
      </c>
      <c r="G8" s="194" t="s">
        <v>514</v>
      </c>
      <c r="H8" s="194" t="s">
        <v>515</v>
      </c>
      <c r="I8" s="194" t="s">
        <v>123</v>
      </c>
      <c r="J8" s="194" t="s">
        <v>516</v>
      </c>
      <c r="K8" s="195" t="s">
        <v>517</v>
      </c>
    </row>
    <row r="9" spans="1:13" ht="20.25" customHeight="1">
      <c r="A9" s="38">
        <v>1</v>
      </c>
      <c r="B9" s="142" t="str">
        <f>IF('كشف النقاط'!B8&gt;0,'كشف النقاط'!B8," ")</f>
        <v>الحاج </v>
      </c>
      <c r="C9" s="142" t="str">
        <f>IF('كشف النقاط'!C8&gt;0,'كشف النقاط'!C8," ")</f>
        <v>مروة</v>
      </c>
      <c r="D9" s="76" t="str">
        <f>IF('كشف النقاط'!D8&gt;0,'كشف النقاط'!D8," ")</f>
        <v> </v>
      </c>
      <c r="E9" s="69">
        <f>IF('كشف النقاط'!F8&gt;0,'كشف النقاط'!F8," ")</f>
        <v>15.5</v>
      </c>
      <c r="F9" s="69">
        <f>IF('كشف النقاط'!F51&gt;0,'كشف النقاط'!F51," ")</f>
        <v>18.5</v>
      </c>
      <c r="G9" s="69">
        <f>IF('كشف النقاط'!F94&gt;0,'كشف النقاط'!F94," ")</f>
        <v>15</v>
      </c>
      <c r="H9" s="69">
        <f>IF('كشف النقاط'!F138&gt;0,'كشف النقاط'!F138," ")</f>
        <v>17.4</v>
      </c>
      <c r="I9" s="69">
        <f>IF('كشف النقاط'!F182&gt;0,'كشف النقاط'!F182," ")</f>
        <v>13.5</v>
      </c>
      <c r="J9" s="69">
        <f>IF('كشف النقاط'!F226&gt;0,'كشف النقاط'!F226," ")</f>
        <v>15</v>
      </c>
      <c r="K9" s="69">
        <f>IF('كشف النقاط'!F271&gt;0,'كشف النقاط'!F271," ")</f>
        <v>12.5</v>
      </c>
      <c r="M9" s="73"/>
    </row>
    <row r="10" spans="1:13" ht="20.25" customHeight="1">
      <c r="A10" s="38">
        <f>A9+1</f>
        <v>2</v>
      </c>
      <c r="B10" s="142" t="str">
        <f>IF('كشف النقاط'!B9&gt;0,'كشف النقاط'!B9," ")</f>
        <v>العياشي </v>
      </c>
      <c r="C10" s="142" t="str">
        <f>IF('كشف النقاط'!C9&gt;0,'كشف النقاط'!C9," ")</f>
        <v>نوار</v>
      </c>
      <c r="D10" s="76" t="str">
        <f>IF('كشف النقاط'!D9&gt;0,'كشف النقاط'!D9," ")</f>
        <v> </v>
      </c>
      <c r="E10" s="69">
        <f>IF('كشف النقاط'!F9&gt;0,'كشف النقاط'!F9," ")</f>
        <v>11.5</v>
      </c>
      <c r="F10" s="69">
        <f>IF('كشف النقاط'!F52&gt;0,'كشف النقاط'!F52," ")</f>
        <v>10.5</v>
      </c>
      <c r="G10" s="69">
        <f>IF('كشف النقاط'!F95&gt;0,'كشف النقاط'!F95," ")</f>
        <v>12</v>
      </c>
      <c r="H10" s="69">
        <f>IF('كشف النقاط'!F139&gt;0,'كشف النقاط'!F139," ")</f>
        <v>12.4</v>
      </c>
      <c r="I10" s="69">
        <f>IF('كشف النقاط'!F183&gt;0,'كشف النقاط'!F183," ")</f>
        <v>15</v>
      </c>
      <c r="J10" s="69">
        <f>IF('كشف النقاط'!F227&gt;0,'كشف النقاط'!F227," ")</f>
        <v>12</v>
      </c>
      <c r="K10" s="69">
        <f>IF('كشف النقاط'!F272&gt;0,'كشف النقاط'!F272," ")</f>
        <v>9.5</v>
      </c>
      <c r="M10" s="73"/>
    </row>
    <row r="11" spans="1:13" ht="20.25" customHeight="1">
      <c r="A11" s="38">
        <f aca="true" t="shared" si="0" ref="A11:A38">A10+1</f>
        <v>3</v>
      </c>
      <c r="B11" s="142" t="str">
        <f>IF('كشف النقاط'!B10&gt;0,'كشف النقاط'!B10," ")</f>
        <v>باطح </v>
      </c>
      <c r="C11" s="142" t="str">
        <f>IF('كشف النقاط'!C10&gt;0,'كشف النقاط'!C10," ")</f>
        <v>محمد لمين</v>
      </c>
      <c r="D11" s="76" t="str">
        <f>IF('كشف النقاط'!D10&gt;0,'كشف النقاط'!D10," ")</f>
        <v> </v>
      </c>
      <c r="E11" s="69">
        <f>IF('كشف النقاط'!F10&gt;0,'كشف النقاط'!F10," ")</f>
        <v>16</v>
      </c>
      <c r="F11" s="69">
        <f>IF('كشف النقاط'!F53&gt;0,'كشف النقاط'!F53," ")</f>
        <v>15.5</v>
      </c>
      <c r="G11" s="69">
        <f>IF('كشف النقاط'!F96&gt;0,'كشف النقاط'!F96," ")</f>
        <v>15</v>
      </c>
      <c r="H11" s="69">
        <f>IF('كشف النقاط'!F140&gt;0,'كشف النقاط'!F140," ")</f>
        <v>13.4</v>
      </c>
      <c r="I11" s="69">
        <f>IF('كشف النقاط'!F184&gt;0,'كشف النقاط'!F184," ")</f>
        <v>14.5</v>
      </c>
      <c r="J11" s="69">
        <f>IF('كشف النقاط'!F228&gt;0,'كشف النقاط'!F228," ")</f>
        <v>13</v>
      </c>
      <c r="K11" s="69">
        <f>IF('كشف النقاط'!F273&gt;0,'كشف النقاط'!F273," ")</f>
        <v>10.5</v>
      </c>
      <c r="M11" s="73"/>
    </row>
    <row r="12" spans="1:13" ht="20.25" customHeight="1">
      <c r="A12" s="38">
        <f t="shared" si="0"/>
        <v>4</v>
      </c>
      <c r="B12" s="142" t="str">
        <f>IF('كشف النقاط'!B11&gt;0,'كشف النقاط'!B11," ")</f>
        <v>بوساحة </v>
      </c>
      <c r="C12" s="142" t="str">
        <f>IF('كشف النقاط'!C11&gt;0,'كشف النقاط'!C11," ")</f>
        <v>حسام الدين</v>
      </c>
      <c r="D12" s="76" t="str">
        <f>IF('كشف النقاط'!D11&gt;0,'كشف النقاط'!D11," ")</f>
        <v> </v>
      </c>
      <c r="E12" s="69">
        <f>IF('كشف النقاط'!F11&gt;0,'كشف النقاط'!F11," ")</f>
        <v>15.5</v>
      </c>
      <c r="F12" s="69">
        <f>IF('كشف النقاط'!F54&gt;0,'كشف النقاط'!F54," ")</f>
        <v>11</v>
      </c>
      <c r="G12" s="69">
        <f>IF('كشف النقاط'!F97&gt;0,'كشف النقاط'!F97," ")</f>
        <v>15</v>
      </c>
      <c r="H12" s="69">
        <f>IF('كشف النقاط'!F141&gt;0,'كشف النقاط'!F141," ")</f>
        <v>12</v>
      </c>
      <c r="I12" s="69">
        <f>IF('كشف النقاط'!F185&gt;0,'كشف النقاط'!F185," ")</f>
        <v>14.5</v>
      </c>
      <c r="J12" s="69">
        <f>IF('كشف النقاط'!F229&gt;0,'كشف النقاط'!F229," ")</f>
        <v>16</v>
      </c>
      <c r="K12" s="69">
        <f>IF('كشف النقاط'!F274&gt;0,'كشف النقاط'!F274," ")</f>
        <v>10.5</v>
      </c>
      <c r="M12" s="73"/>
    </row>
    <row r="13" spans="1:13" ht="20.25" customHeight="1">
      <c r="A13" s="38">
        <f t="shared" si="0"/>
        <v>5</v>
      </c>
      <c r="B13" s="142" t="str">
        <f>IF('كشف النقاط'!B12&gt;0,'كشف النقاط'!B12," ")</f>
        <v>بوسالم </v>
      </c>
      <c r="C13" s="142" t="str">
        <f>IF('كشف النقاط'!C12&gt;0,'كشف النقاط'!C12," ")</f>
        <v>محمد وليد</v>
      </c>
      <c r="D13" s="76" t="str">
        <f>IF('كشف النقاط'!D12&gt;0,'كشف النقاط'!D12," ")</f>
        <v> </v>
      </c>
      <c r="E13" s="69">
        <f>IF('كشف النقاط'!F12&gt;0,'كشف النقاط'!F12," ")</f>
        <v>14.5</v>
      </c>
      <c r="F13" s="69">
        <f>IF('كشف النقاط'!F55&gt;0,'كشف النقاط'!F55," ")</f>
        <v>13</v>
      </c>
      <c r="G13" s="69">
        <f>IF('كشف النقاط'!F98&gt;0,'كشف النقاط'!F98," ")</f>
        <v>14.5</v>
      </c>
      <c r="H13" s="69">
        <f>IF('كشف النقاط'!F142&gt;0,'كشف النقاط'!F142," ")</f>
        <v>12.6</v>
      </c>
      <c r="I13" s="69">
        <f>IF('كشف النقاط'!F186&gt;0,'كشف النقاط'!F186," ")</f>
        <v>14.5</v>
      </c>
      <c r="J13" s="69">
        <f>IF('كشف النقاط'!F230&gt;0,'كشف النقاط'!F230," ")</f>
        <v>15</v>
      </c>
      <c r="K13" s="69">
        <f>IF('كشف النقاط'!F275&gt;0,'كشف النقاط'!F275," ")</f>
        <v>9.5</v>
      </c>
      <c r="M13" s="73"/>
    </row>
    <row r="14" spans="1:13" ht="20.25" customHeight="1">
      <c r="A14" s="38">
        <f t="shared" si="0"/>
        <v>6</v>
      </c>
      <c r="B14" s="142" t="str">
        <f>IF('كشف النقاط'!B13&gt;0,'كشف النقاط'!B13," ")</f>
        <v>بوعروج </v>
      </c>
      <c r="C14" s="142" t="str">
        <f>IF('كشف النقاط'!C13&gt;0,'كشف النقاط'!C13," ")</f>
        <v>نسيمة</v>
      </c>
      <c r="D14" s="76" t="str">
        <f>IF('كشف النقاط'!D13&gt;0,'كشف النقاط'!D13," ")</f>
        <v> </v>
      </c>
      <c r="E14" s="69">
        <f>IF('كشف النقاط'!F13&gt;0,'كشف النقاط'!F13," ")</f>
        <v>14.5</v>
      </c>
      <c r="F14" s="69">
        <f>IF('كشف النقاط'!F56&gt;0,'كشف النقاط'!F56," ")</f>
        <v>13</v>
      </c>
      <c r="G14" s="69">
        <f>IF('كشف النقاط'!F99&gt;0,'كشف النقاط'!F99," ")</f>
        <v>12</v>
      </c>
      <c r="H14" s="69">
        <f>IF('كشف النقاط'!F143&gt;0,'كشف النقاط'!F143," ")</f>
        <v>12.4</v>
      </c>
      <c r="I14" s="69">
        <f>IF('كشف النقاط'!F187&gt;0,'كشف النقاط'!F187," ")</f>
        <v>14</v>
      </c>
      <c r="J14" s="69">
        <f>IF('كشف النقاط'!F231&gt;0,'كشف النقاط'!F231," ")</f>
        <v>14</v>
      </c>
      <c r="K14" s="69">
        <f>IF('كشف النقاط'!F276&gt;0,'كشف النقاط'!F276," ")</f>
        <v>8</v>
      </c>
      <c r="M14" s="73"/>
    </row>
    <row r="15" spans="1:13" ht="20.25" customHeight="1">
      <c r="A15" s="38">
        <f t="shared" si="0"/>
        <v>7</v>
      </c>
      <c r="B15" s="142" t="str">
        <f>IF('كشف النقاط'!B14&gt;0,'كشف النقاط'!B14," ")</f>
        <v>بولعيد </v>
      </c>
      <c r="C15" s="142" t="str">
        <f>IF('كشف النقاط'!C14&gt;0,'كشف النقاط'!C14," ")</f>
        <v>مريم</v>
      </c>
      <c r="D15" s="76" t="str">
        <f>IF('كشف النقاط'!D14&gt;0,'كشف النقاط'!D14," ")</f>
        <v> </v>
      </c>
      <c r="E15" s="69">
        <f>IF('كشف النقاط'!F14&gt;0,'كشف النقاط'!F14," ")</f>
        <v>13</v>
      </c>
      <c r="F15" s="69">
        <f>IF('كشف النقاط'!F57&gt;0,'كشف النقاط'!F57," ")</f>
        <v>11.5</v>
      </c>
      <c r="G15" s="69">
        <f>IF('كشف النقاط'!F100&gt;0,'كشف النقاط'!F100," ")</f>
        <v>12</v>
      </c>
      <c r="H15" s="69">
        <f>IF('كشف النقاط'!F144&gt;0,'كشف النقاط'!F144," ")</f>
        <v>10</v>
      </c>
      <c r="I15" s="69">
        <f>IF('كشف النقاط'!F188&gt;0,'كشف النقاط'!F188," ")</f>
        <v>13.5</v>
      </c>
      <c r="J15" s="69">
        <f>IF('كشف النقاط'!F232&gt;0,'كشف النقاط'!F232," ")</f>
        <v>14.5</v>
      </c>
      <c r="K15" s="69">
        <f>IF('كشف النقاط'!F277&gt;0,'كشف النقاط'!F277," ")</f>
        <v>10</v>
      </c>
      <c r="M15" s="73"/>
    </row>
    <row r="16" spans="1:13" ht="20.25" customHeight="1">
      <c r="A16" s="38">
        <f t="shared" si="0"/>
        <v>8</v>
      </c>
      <c r="B16" s="142" t="str">
        <f>IF('كشف النقاط'!B15&gt;0,'كشف النقاط'!B15," ")</f>
        <v>خاوة </v>
      </c>
      <c r="C16" s="142" t="str">
        <f>IF('كشف النقاط'!C15&gt;0,'كشف النقاط'!C15," ")</f>
        <v>أسماء</v>
      </c>
      <c r="D16" s="76" t="str">
        <f>IF('كشف النقاط'!D15&gt;0,'كشف النقاط'!D15," ")</f>
        <v> </v>
      </c>
      <c r="E16" s="69">
        <f>IF('كشف النقاط'!F15&gt;0,'كشف النقاط'!F15," ")</f>
        <v>14.5</v>
      </c>
      <c r="F16" s="69">
        <f>IF('كشف النقاط'!F58&gt;0,'كشف النقاط'!F58," ")</f>
        <v>12.5</v>
      </c>
      <c r="G16" s="69">
        <f>IF('كشف النقاط'!F101&gt;0,'كشف النقاط'!F101," ")</f>
        <v>13</v>
      </c>
      <c r="H16" s="69">
        <f>IF('كشف النقاط'!F145&gt;0,'كشف النقاط'!F145," ")</f>
        <v>12</v>
      </c>
      <c r="I16" s="69">
        <f>IF('كشف النقاط'!F189&gt;0,'كشف النقاط'!F189," ")</f>
        <v>14</v>
      </c>
      <c r="J16" s="69">
        <f>IF('كشف النقاط'!F233&gt;0,'كشف النقاط'!F233," ")</f>
        <v>13.5</v>
      </c>
      <c r="K16" s="69">
        <f>IF('كشف النقاط'!F278&gt;0,'كشف النقاط'!F278," ")</f>
        <v>5</v>
      </c>
      <c r="M16" s="73"/>
    </row>
    <row r="17" spans="1:13" ht="20.25" customHeight="1">
      <c r="A17" s="38">
        <f t="shared" si="0"/>
        <v>9</v>
      </c>
      <c r="B17" s="142" t="str">
        <f>IF('كشف النقاط'!B16&gt;0,'كشف النقاط'!B16," ")</f>
        <v>زغلاني </v>
      </c>
      <c r="C17" s="142" t="str">
        <f>IF('كشف النقاط'!C16&gt;0,'كشف النقاط'!C16," ")</f>
        <v>ساعد</v>
      </c>
      <c r="D17" s="76" t="str">
        <f>IF('كشف النقاط'!D16&gt;0,'كشف النقاط'!D16," ")</f>
        <v> </v>
      </c>
      <c r="E17" s="69">
        <f>IF('كشف النقاط'!F16&gt;0,'كشف النقاط'!F16," ")</f>
        <v>13.5</v>
      </c>
      <c r="F17" s="69">
        <f>IF('كشف النقاط'!F59&gt;0,'كشف النقاط'!F59," ")</f>
        <v>10.5</v>
      </c>
      <c r="G17" s="69">
        <f>IF('كشف النقاط'!F102&gt;0,'كشف النقاط'!F102," ")</f>
        <v>12.5</v>
      </c>
      <c r="H17" s="69">
        <f>IF('كشف النقاط'!F146&gt;0,'كشف النقاط'!F146," ")</f>
        <v>7</v>
      </c>
      <c r="I17" s="69">
        <f>IF('كشف النقاط'!F190&gt;0,'كشف النقاط'!F190," ")</f>
        <v>14</v>
      </c>
      <c r="J17" s="69">
        <f>IF('كشف النقاط'!F234&gt;0,'كشف النقاط'!F234," ")</f>
        <v>14</v>
      </c>
      <c r="K17" s="69">
        <f>IF('كشف النقاط'!F279&gt;0,'كشف النقاط'!F279," ")</f>
        <v>5</v>
      </c>
      <c r="M17" s="73"/>
    </row>
    <row r="18" spans="1:13" ht="20.25" customHeight="1">
      <c r="A18" s="38">
        <f t="shared" si="0"/>
        <v>10</v>
      </c>
      <c r="B18" s="142" t="str">
        <f>IF('كشف النقاط'!B17&gt;0,'كشف النقاط'!B17," ")</f>
        <v>زياني </v>
      </c>
      <c r="C18" s="142" t="str">
        <f>IF('كشف النقاط'!C17&gt;0,'كشف النقاط'!C17," ")</f>
        <v>أميرة</v>
      </c>
      <c r="D18" s="76" t="str">
        <f>IF('كشف النقاط'!D17&gt;0,'كشف النقاط'!D17," ")</f>
        <v> </v>
      </c>
      <c r="E18" s="69">
        <f>IF('كشف النقاط'!F17&gt;0,'كشف النقاط'!F17," ")</f>
        <v>16</v>
      </c>
      <c r="F18" s="69">
        <f>IF('كشف النقاط'!F60&gt;0,'كشف النقاط'!F60," ")</f>
        <v>13</v>
      </c>
      <c r="G18" s="69">
        <f>IF('كشف النقاط'!F103&gt;0,'كشف النقاط'!F103," ")</f>
        <v>13</v>
      </c>
      <c r="H18" s="69">
        <f>IF('كشف النقاط'!F147&gt;0,'كشف النقاط'!F147," ")</f>
        <v>9</v>
      </c>
      <c r="I18" s="69">
        <f>IF('كشف النقاط'!F191&gt;0,'كشف النقاط'!F191," ")</f>
        <v>14</v>
      </c>
      <c r="J18" s="69">
        <f>IF('كشف النقاط'!F235&gt;0,'كشف النقاط'!F235," ")</f>
        <v>13</v>
      </c>
      <c r="K18" s="69">
        <f>IF('كشف النقاط'!F280&gt;0,'كشف النقاط'!F280," ")</f>
        <v>11.5</v>
      </c>
      <c r="M18" s="73"/>
    </row>
    <row r="19" spans="1:13" ht="20.25" customHeight="1">
      <c r="A19" s="38">
        <f t="shared" si="0"/>
        <v>11</v>
      </c>
      <c r="B19" s="142" t="str">
        <f>IF('كشف النقاط'!B18&gt;0,'كشف النقاط'!B18," ")</f>
        <v>شلابي </v>
      </c>
      <c r="C19" s="142" t="str">
        <f>IF('كشف النقاط'!C18&gt;0,'كشف النقاط'!C18," ")</f>
        <v>هاجر</v>
      </c>
      <c r="D19" s="76" t="str">
        <f>IF('كشف النقاط'!D18&gt;0,'كشف النقاط'!D18," ")</f>
        <v> </v>
      </c>
      <c r="E19" s="69">
        <f>IF('كشف النقاط'!F18&gt;0,'كشف النقاط'!F18," ")</f>
        <v>15</v>
      </c>
      <c r="F19" s="69">
        <f>IF('كشف النقاط'!F61&gt;0,'كشف النقاط'!F61," ")</f>
        <v>17</v>
      </c>
      <c r="G19" s="69">
        <f>IF('كشف النقاط'!F104&gt;0,'كشف النقاط'!F104," ")</f>
        <v>14</v>
      </c>
      <c r="H19" s="69">
        <f>IF('كشف النقاط'!F148&gt;0,'كشف النقاط'!F148," ")</f>
        <v>13.2</v>
      </c>
      <c r="I19" s="69">
        <f>IF('كشف النقاط'!F192&gt;0,'كشف النقاط'!F192," ")</f>
        <v>13.5</v>
      </c>
      <c r="J19" s="69">
        <f>IF('كشف النقاط'!F236&gt;0,'كشف النقاط'!F236," ")</f>
        <v>14.5</v>
      </c>
      <c r="K19" s="69">
        <f>IF('كشف النقاط'!F281&gt;0,'كشف النقاط'!F281," ")</f>
        <v>5</v>
      </c>
      <c r="M19" s="73"/>
    </row>
    <row r="20" spans="1:13" ht="20.25" customHeight="1">
      <c r="A20" s="38">
        <f t="shared" si="0"/>
        <v>12</v>
      </c>
      <c r="B20" s="142" t="str">
        <f>IF('كشف النقاط'!B19&gt;0,'كشف النقاط'!B19," ")</f>
        <v>صولي </v>
      </c>
      <c r="C20" s="142" t="str">
        <f>IF('كشف النقاط'!C19&gt;0,'كشف النقاط'!C19," ")</f>
        <v>هشام</v>
      </c>
      <c r="D20" s="76" t="str">
        <f>IF('كشف النقاط'!D19&gt;0,'كشف النقاط'!D19," ")</f>
        <v> </v>
      </c>
      <c r="E20" s="69">
        <f>IF('كشف النقاط'!F19&gt;0,'كشف النقاط'!F19," ")</f>
        <v>13.5</v>
      </c>
      <c r="F20" s="69">
        <f>IF('كشف النقاط'!F62&gt;0,'كشف النقاط'!F62," ")</f>
        <v>12</v>
      </c>
      <c r="G20" s="69">
        <f>IF('كشف النقاط'!F105&gt;0,'كشف النقاط'!F105," ")</f>
        <v>12.5</v>
      </c>
      <c r="H20" s="69">
        <f>IF('كشف النقاط'!F149&gt;0,'كشف النقاط'!F149," ")</f>
        <v>10</v>
      </c>
      <c r="I20" s="69">
        <f>IF('كشف النقاط'!F193&gt;0,'كشف النقاط'!F193," ")</f>
        <v>14</v>
      </c>
      <c r="J20" s="69">
        <f>IF('كشف النقاط'!F237&gt;0,'كشف النقاط'!F237," ")</f>
        <v>14.5</v>
      </c>
      <c r="K20" s="69">
        <f>IF('كشف النقاط'!F282&gt;0,'كشف النقاط'!F282," ")</f>
        <v>10</v>
      </c>
      <c r="M20" s="73"/>
    </row>
    <row r="21" spans="1:13" ht="20.25" customHeight="1">
      <c r="A21" s="38">
        <f t="shared" si="0"/>
        <v>13</v>
      </c>
      <c r="B21" s="142" t="str">
        <f>IF('كشف النقاط'!B20&gt;0,'كشف النقاط'!B20," ")</f>
        <v>عطيل</v>
      </c>
      <c r="C21" s="142" t="str">
        <f>IF('كشف النقاط'!C20&gt;0,'كشف النقاط'!C20," ")</f>
        <v>آسيا</v>
      </c>
      <c r="D21" s="76" t="str">
        <f>IF('كشف النقاط'!D20&gt;0,'كشف النقاط'!D20," ")</f>
        <v> </v>
      </c>
      <c r="E21" s="69">
        <f>IF('كشف النقاط'!F20&gt;0,'كشف النقاط'!F20," ")</f>
        <v>16</v>
      </c>
      <c r="F21" s="69">
        <f>IF('كشف النقاط'!F63&gt;0,'كشف النقاط'!F63," ")</f>
        <v>17</v>
      </c>
      <c r="G21" s="69">
        <f>IF('كشف النقاط'!F106&gt;0,'كشف النقاط'!F106," ")</f>
        <v>17</v>
      </c>
      <c r="H21" s="69">
        <f>IF('كشف النقاط'!F150&gt;0,'كشف النقاط'!F150," ")</f>
        <v>17.4</v>
      </c>
      <c r="I21" s="69">
        <f>IF('كشف النقاط'!F194&gt;0,'كشف النقاط'!F194," ")</f>
        <v>14.5</v>
      </c>
      <c r="J21" s="69">
        <f>IF('كشف النقاط'!F238&gt;0,'كشف النقاط'!F238," ")</f>
        <v>15</v>
      </c>
      <c r="K21" s="69">
        <f>IF('كشف النقاط'!F283&gt;0,'كشف النقاط'!F283," ")</f>
        <v>13.5</v>
      </c>
      <c r="M21" s="73"/>
    </row>
    <row r="22" spans="1:13" ht="20.25" customHeight="1">
      <c r="A22" s="38">
        <f t="shared" si="0"/>
        <v>14</v>
      </c>
      <c r="B22" s="142" t="str">
        <f>IF('كشف النقاط'!B21&gt;0,'كشف النقاط'!B21," ")</f>
        <v>عيدود </v>
      </c>
      <c r="C22" s="142" t="str">
        <f>IF('كشف النقاط'!C21&gt;0,'كشف النقاط'!C21," ")</f>
        <v>صبرينة</v>
      </c>
      <c r="D22" s="76" t="str">
        <f>IF('كشف النقاط'!D21&gt;0,'كشف النقاط'!D21," ")</f>
        <v> </v>
      </c>
      <c r="E22" s="69">
        <f>IF('كشف النقاط'!F21&gt;0,'كشف النقاط'!F21," ")</f>
        <v>15</v>
      </c>
      <c r="F22" s="69">
        <f>IF('كشف النقاط'!F64&gt;0,'كشف النقاط'!F64," ")</f>
        <v>10</v>
      </c>
      <c r="G22" s="69">
        <f>IF('كشف النقاط'!F107&gt;0,'كشف النقاط'!F107," ")</f>
        <v>14</v>
      </c>
      <c r="H22" s="69">
        <f>IF('كشف النقاط'!F151&gt;0,'كشف النقاط'!F151," ")</f>
        <v>11.4</v>
      </c>
      <c r="I22" s="69">
        <f>IF('كشف النقاط'!F195&gt;0,'كشف النقاط'!F195," ")</f>
        <v>14</v>
      </c>
      <c r="J22" s="69">
        <f>IF('كشف النقاط'!F239&gt;0,'كشف النقاط'!F239," ")</f>
        <v>13</v>
      </c>
      <c r="K22" s="69">
        <f>IF('كشف النقاط'!F284&gt;0,'كشف النقاط'!F284," ")</f>
        <v>8.5</v>
      </c>
      <c r="M22" s="73"/>
    </row>
    <row r="23" spans="1:13" ht="20.25" customHeight="1">
      <c r="A23" s="38">
        <f t="shared" si="0"/>
        <v>15</v>
      </c>
      <c r="B23" s="142" t="str">
        <f>IF('كشف النقاط'!B22&gt;0,'كشف النقاط'!B22," ")</f>
        <v>قايدي </v>
      </c>
      <c r="C23" s="142" t="str">
        <f>IF('كشف النقاط'!C22&gt;0,'كشف النقاط'!C22," ")</f>
        <v>مريم</v>
      </c>
      <c r="D23" s="76" t="str">
        <f>IF('كشف النقاط'!D22&gt;0,'كشف النقاط'!D22," ")</f>
        <v> </v>
      </c>
      <c r="E23" s="69">
        <f>IF('كشف النقاط'!F22&gt;0,'كشف النقاط'!F22," ")</f>
        <v>13.5</v>
      </c>
      <c r="F23" s="69">
        <f>IF('كشف النقاط'!F65&gt;0,'كشف النقاط'!F65," ")</f>
        <v>14.5</v>
      </c>
      <c r="G23" s="69">
        <f>IF('كشف النقاط'!F108&gt;0,'كشف النقاط'!F108," ")</f>
        <v>14</v>
      </c>
      <c r="H23" s="69">
        <f>IF('كشف النقاط'!F152&gt;0,'كشف النقاط'!F152," ")</f>
        <v>15</v>
      </c>
      <c r="I23" s="69">
        <f>IF('كشف النقاط'!F196&gt;0,'كشف النقاط'!F196," ")</f>
        <v>13.5</v>
      </c>
      <c r="J23" s="69">
        <f>IF('كشف النقاط'!F240&gt;0,'كشف النقاط'!F240," ")</f>
        <v>12.5</v>
      </c>
      <c r="K23" s="69">
        <f>IF('كشف النقاط'!F285&gt;0,'كشف النقاط'!F285," ")</f>
        <v>9.5</v>
      </c>
      <c r="M23" s="73"/>
    </row>
    <row r="24" spans="1:13" ht="20.25" customHeight="1">
      <c r="A24" s="38">
        <f t="shared" si="0"/>
        <v>16</v>
      </c>
      <c r="B24" s="142" t="str">
        <f>IF('كشف النقاط'!B23&gt;0,'كشف النقاط'!B23," ")</f>
        <v>قرايفية </v>
      </c>
      <c r="C24" s="142" t="str">
        <f>IF('كشف النقاط'!C23&gt;0,'كشف النقاط'!C23," ")</f>
        <v>فؤاد</v>
      </c>
      <c r="D24" s="76" t="str">
        <f>IF('كشف النقاط'!D23&gt;0,'كشف النقاط'!D23," ")</f>
        <v> </v>
      </c>
      <c r="E24" s="69">
        <f>IF('كشف النقاط'!F23&gt;0,'كشف النقاط'!F23," ")</f>
        <v>13.5</v>
      </c>
      <c r="F24" s="69">
        <f>IF('كشف النقاط'!F66&gt;0,'كشف النقاط'!F66," ")</f>
        <v>11</v>
      </c>
      <c r="G24" s="69">
        <f>IF('كشف النقاط'!F109&gt;0,'كشف النقاط'!F109," ")</f>
        <v>11</v>
      </c>
      <c r="H24" s="69">
        <f>IF('كشف النقاط'!F153&gt;0,'كشف النقاط'!F153," ")</f>
        <v>12.2</v>
      </c>
      <c r="I24" s="69">
        <f>IF('كشف النقاط'!F197&gt;0,'كشف النقاط'!F197," ")</f>
        <v>14</v>
      </c>
      <c r="J24" s="69">
        <f>IF('كشف النقاط'!F241&gt;0,'كشف النقاط'!F241," ")</f>
        <v>12.5</v>
      </c>
      <c r="K24" s="69">
        <f>IF('كشف النقاط'!F286&gt;0,'كشف النقاط'!F286," ")</f>
        <v>5</v>
      </c>
      <c r="M24" s="73"/>
    </row>
    <row r="25" spans="1:13" ht="20.25" customHeight="1">
      <c r="A25" s="38">
        <f t="shared" si="0"/>
        <v>17</v>
      </c>
      <c r="B25" s="142" t="str">
        <f>IF('كشف النقاط'!B24&gt;0,'كشف النقاط'!B24," ")</f>
        <v>قوادرية</v>
      </c>
      <c r="C25" s="142" t="str">
        <f>IF('كشف النقاط'!C24&gt;0,'كشف النقاط'!C24," ")</f>
        <v>مريم</v>
      </c>
      <c r="D25" s="76" t="str">
        <f>IF('كشف النقاط'!D24&gt;0,'كشف النقاط'!D24," ")</f>
        <v> </v>
      </c>
      <c r="E25" s="69">
        <f>IF('كشف النقاط'!F24&gt;0,'كشف النقاط'!F24," ")</f>
        <v>16</v>
      </c>
      <c r="F25" s="69">
        <f>IF('كشف النقاط'!F67&gt;0,'كشف النقاط'!F67," ")</f>
        <v>18.5</v>
      </c>
      <c r="G25" s="69">
        <f>IF('كشف النقاط'!F110&gt;0,'كشف النقاط'!F110," ")</f>
        <v>17</v>
      </c>
      <c r="H25" s="69">
        <f>IF('كشف النقاط'!F154&gt;0,'كشف النقاط'!F154," ")</f>
        <v>18.8</v>
      </c>
      <c r="I25" s="69">
        <f>IF('كشف النقاط'!F198&gt;0,'كشف النقاط'!F198," ")</f>
        <v>13.5</v>
      </c>
      <c r="J25" s="69">
        <f>IF('كشف النقاط'!F242&gt;0,'كشف النقاط'!F242," ")</f>
        <v>15</v>
      </c>
      <c r="K25" s="69">
        <f>IF('كشف النقاط'!F287&gt;0,'كشف النقاط'!F287," ")</f>
        <v>12</v>
      </c>
      <c r="M25" s="73"/>
    </row>
    <row r="26" spans="1:13" ht="20.25" customHeight="1">
      <c r="A26" s="38">
        <f t="shared" si="0"/>
        <v>18</v>
      </c>
      <c r="B26" s="142" t="str">
        <f>IF('كشف النقاط'!B25&gt;0,'كشف النقاط'!B25," ")</f>
        <v>محفوظ </v>
      </c>
      <c r="C26" s="142" t="str">
        <f>IF('كشف النقاط'!C25&gt;0,'كشف النقاط'!C25," ")</f>
        <v>بشرى</v>
      </c>
      <c r="D26" s="76" t="str">
        <f>IF('كشف النقاط'!D25&gt;0,'كشف النقاط'!D25," ")</f>
        <v> </v>
      </c>
      <c r="E26" s="69">
        <f>IF('كشف النقاط'!F25&gt;0,'كشف النقاط'!F25," ")</f>
        <v>16</v>
      </c>
      <c r="F26" s="69">
        <f>IF('كشف النقاط'!F68&gt;0,'كشف النقاط'!F68," ")</f>
        <v>17.75</v>
      </c>
      <c r="G26" s="69">
        <f>IF('كشف النقاط'!F111&gt;0,'كشف النقاط'!F111," ")</f>
        <v>17</v>
      </c>
      <c r="H26" s="69">
        <f>IF('كشف النقاط'!F155&gt;0,'كشف النقاط'!F155," ")</f>
        <v>18.8</v>
      </c>
      <c r="I26" s="69">
        <f>IF('كشف النقاط'!F199&gt;0,'كشف النقاط'!F199," ")</f>
        <v>13.5</v>
      </c>
      <c r="J26" s="69">
        <f>IF('كشف النقاط'!F243&gt;0,'كشف النقاط'!F243," ")</f>
        <v>15</v>
      </c>
      <c r="K26" s="69">
        <f>IF('كشف النقاط'!F288&gt;0,'كشف النقاط'!F288," ")</f>
        <v>12.5</v>
      </c>
      <c r="M26" s="73"/>
    </row>
    <row r="27" spans="1:13" ht="20.25" customHeight="1">
      <c r="A27" s="38">
        <f t="shared" si="0"/>
        <v>19</v>
      </c>
      <c r="B27" s="142" t="str">
        <f>IF('كشف النقاط'!B26&gt;0,'كشف النقاط'!B26," ")</f>
        <v>مسطوري </v>
      </c>
      <c r="C27" s="142" t="str">
        <f>IF('كشف النقاط'!C26&gt;0,'كشف النقاط'!C26," ")</f>
        <v>سارة</v>
      </c>
      <c r="D27" s="76" t="str">
        <f>IF('كشف النقاط'!D26&gt;0,'كشف النقاط'!D26," ")</f>
        <v> </v>
      </c>
      <c r="E27" s="69">
        <f>IF('كشف النقاط'!F26&gt;0,'كشف النقاط'!F26," ")</f>
        <v>13.5</v>
      </c>
      <c r="F27" s="69">
        <f>IF('كشف النقاط'!F69&gt;0,'كشف النقاط'!F69," ")</f>
        <v>12</v>
      </c>
      <c r="G27" s="69">
        <f>IF('كشف النقاط'!F112&gt;0,'كشف النقاط'!F112," ")</f>
        <v>12</v>
      </c>
      <c r="H27" s="69">
        <f>IF('كشف النقاط'!F156&gt;0,'كشف النقاط'!F156," ")</f>
        <v>13</v>
      </c>
      <c r="I27" s="69">
        <f>IF('كشف النقاط'!F200&gt;0,'كشف النقاط'!F200," ")</f>
        <v>14</v>
      </c>
      <c r="J27" s="69">
        <f>IF('كشف النقاط'!F244&gt;0,'كشف النقاط'!F244," ")</f>
        <v>14</v>
      </c>
      <c r="K27" s="69">
        <f>IF('كشف النقاط'!F289&gt;0,'كشف النقاط'!F289," ")</f>
        <v>5</v>
      </c>
      <c r="M27" s="73"/>
    </row>
    <row r="28" spans="1:13" ht="20.25" customHeight="1">
      <c r="A28" s="38">
        <f t="shared" si="0"/>
        <v>20</v>
      </c>
      <c r="B28" s="142" t="str">
        <f>IF('كشف النقاط'!B27&gt;0,'كشف النقاط'!B27," ")</f>
        <v>هداف </v>
      </c>
      <c r="C28" s="142" t="str">
        <f>IF('كشف النقاط'!C27&gt;0,'كشف النقاط'!C27," ")</f>
        <v>حياة</v>
      </c>
      <c r="D28" s="76" t="str">
        <f>IF('كشف النقاط'!D27&gt;0,'كشف النقاط'!D27," ")</f>
        <v> </v>
      </c>
      <c r="E28" s="69">
        <f>IF('كشف النقاط'!F27&gt;0,'كشف النقاط'!F27," ")</f>
        <v>13.5</v>
      </c>
      <c r="F28" s="69">
        <f>IF('كشف النقاط'!F70&gt;0,'كشف النقاط'!F70," ")</f>
        <v>14.5</v>
      </c>
      <c r="G28" s="69">
        <f>IF('كشف النقاط'!F113&gt;0,'كشف النقاط'!F113," ")</f>
        <v>13.5</v>
      </c>
      <c r="H28" s="69">
        <f>IF('كشف النقاط'!F157&gt;0,'كشف النقاط'!F157," ")</f>
        <v>12.2</v>
      </c>
      <c r="I28" s="69">
        <f>IF('كشف النقاط'!F201&gt;0,'كشف النقاط'!F201," ")</f>
        <v>13.5</v>
      </c>
      <c r="J28" s="69">
        <f>IF('كشف النقاط'!F245&gt;0,'كشف النقاط'!F245," ")</f>
        <v>13</v>
      </c>
      <c r="K28" s="69">
        <f>IF('كشف النقاط'!F290&gt;0,'كشف النقاط'!F290," ")</f>
        <v>10.5</v>
      </c>
      <c r="M28" s="73"/>
    </row>
    <row r="29" spans="1:13" ht="20.25" customHeight="1">
      <c r="A29" s="38">
        <f t="shared" si="0"/>
        <v>21</v>
      </c>
      <c r="B29" s="142" t="str">
        <f>IF('كشف النقاط'!B28&gt;0,'كشف النقاط'!B28," ")</f>
        <v> </v>
      </c>
      <c r="C29" s="142" t="str">
        <f>IF('كشف النقاط'!C28&gt;0,'كشف النقاط'!C28," ")</f>
        <v> </v>
      </c>
      <c r="D29" s="76" t="str">
        <f>IF('كشف النقاط'!D28&gt;0,'كشف النقاط'!D28," ")</f>
        <v> </v>
      </c>
      <c r="E29" s="69" t="str">
        <f>IF('كشف النقاط'!F28&gt;0,'كشف النقاط'!F28," ")</f>
        <v> </v>
      </c>
      <c r="F29" s="69" t="str">
        <f>IF('كشف النقاط'!F71&gt;0,'كشف النقاط'!F71," ")</f>
        <v> </v>
      </c>
      <c r="G29" s="69" t="str">
        <f>IF('كشف النقاط'!F114&gt;0,'كشف النقاط'!F114," ")</f>
        <v> </v>
      </c>
      <c r="H29" s="69" t="str">
        <f>IF('كشف النقاط'!F158&gt;0,'كشف النقاط'!F158," ")</f>
        <v> </v>
      </c>
      <c r="I29" s="69" t="str">
        <f>IF('كشف النقاط'!F202&gt;0,'كشف النقاط'!F202," ")</f>
        <v> </v>
      </c>
      <c r="J29" s="69" t="str">
        <f>IF('كشف النقاط'!F246&gt;0,'كشف النقاط'!F246," ")</f>
        <v> </v>
      </c>
      <c r="K29" s="69" t="str">
        <f>IF('كشف النقاط'!F291&gt;0,'كشف النقاط'!F291," ")</f>
        <v> </v>
      </c>
      <c r="M29" s="73"/>
    </row>
    <row r="30" spans="1:13" ht="15.75" customHeight="1">
      <c r="A30" s="38">
        <f t="shared" si="0"/>
        <v>22</v>
      </c>
      <c r="B30" s="142" t="str">
        <f>IF('كشف النقاط'!B29&gt;0,'كشف النقاط'!B29," ")</f>
        <v> </v>
      </c>
      <c r="C30" s="142" t="str">
        <f>IF('كشف النقاط'!C29&gt;0,'كشف النقاط'!C29," ")</f>
        <v> </v>
      </c>
      <c r="D30" s="76" t="str">
        <f>IF('كشف النقاط'!D29&gt;0,'كشف النقاط'!D29," ")</f>
        <v> </v>
      </c>
      <c r="E30" s="69" t="str">
        <f>IF('كشف النقاط'!F29&gt;0,'كشف النقاط'!F29," ")</f>
        <v> </v>
      </c>
      <c r="F30" s="69" t="str">
        <f>IF('كشف النقاط'!F72&gt;0,'كشف النقاط'!F72," ")</f>
        <v> </v>
      </c>
      <c r="G30" s="69" t="str">
        <f>IF('كشف النقاط'!F115&gt;0,'كشف النقاط'!F115," ")</f>
        <v> </v>
      </c>
      <c r="H30" s="69" t="str">
        <f>IF('كشف النقاط'!F159&gt;0,'كشف النقاط'!F159," ")</f>
        <v> </v>
      </c>
      <c r="I30" s="69" t="str">
        <f>IF('كشف النقاط'!F203&gt;0,'كشف النقاط'!F203," ")</f>
        <v> </v>
      </c>
      <c r="J30" s="69" t="str">
        <f>IF('كشف النقاط'!G247&gt;0,'كشف النقاط'!G247," ")</f>
        <v> </v>
      </c>
      <c r="K30" s="69" t="str">
        <f>IF('كشف النقاط'!H292&gt;0,'كشف النقاط'!H292," ")</f>
        <v> </v>
      </c>
      <c r="M30" s="73"/>
    </row>
    <row r="31" spans="1:13" ht="15.75" customHeight="1">
      <c r="A31" s="38">
        <f t="shared" si="0"/>
        <v>23</v>
      </c>
      <c r="B31" s="142" t="str">
        <f>IF('كشف النقاط'!B30&gt;0,'كشف النقاط'!B30," ")</f>
        <v> </v>
      </c>
      <c r="C31" s="142" t="str">
        <f>IF('كشف النقاط'!C30&gt;0,'كشف النقاط'!C30," ")</f>
        <v> </v>
      </c>
      <c r="D31" s="76" t="str">
        <f>IF('كشف النقاط'!D30&gt;0,'كشف النقاط'!D30," ")</f>
        <v> </v>
      </c>
      <c r="E31" s="69" t="str">
        <f>IF('كشف النقاط'!F30&gt;0,'كشف النقاط'!F30," ")</f>
        <v> </v>
      </c>
      <c r="F31" s="69" t="str">
        <f>IF('كشف النقاط'!F73&gt;0,'كشف النقاط'!F73," ")</f>
        <v> </v>
      </c>
      <c r="G31" s="69" t="str">
        <f>IF('كشف النقاط'!F116&gt;0,'كشف النقاط'!F116," ")</f>
        <v> </v>
      </c>
      <c r="H31" s="69" t="str">
        <f>IF('كشف النقاط'!F160&gt;0,'كشف النقاط'!F160," ")</f>
        <v> </v>
      </c>
      <c r="I31" s="69" t="str">
        <f>IF('كشف النقاط'!F204&gt;0,'كشف النقاط'!F204," ")</f>
        <v> </v>
      </c>
      <c r="J31" s="69" t="str">
        <f>IF('كشف النقاط'!G248&gt;0,'كشف النقاط'!G248," ")</f>
        <v> </v>
      </c>
      <c r="K31" s="69" t="str">
        <f>IF('كشف النقاط'!H293&gt;0,'كشف النقاط'!H293," ")</f>
        <v> </v>
      </c>
      <c r="M31" s="73"/>
    </row>
    <row r="32" spans="1:13" ht="15.75" customHeight="1">
      <c r="A32" s="38">
        <f t="shared" si="0"/>
        <v>24</v>
      </c>
      <c r="B32" s="142" t="str">
        <f>IF('كشف النقاط'!B31&gt;0,'كشف النقاط'!B31," ")</f>
        <v> </v>
      </c>
      <c r="C32" s="142" t="str">
        <f>IF('كشف النقاط'!C31&gt;0,'كشف النقاط'!C31," ")</f>
        <v> </v>
      </c>
      <c r="D32" s="76" t="str">
        <f>IF('كشف النقاط'!D31&gt;0,'كشف النقاط'!D31," ")</f>
        <v> </v>
      </c>
      <c r="E32" s="69" t="str">
        <f>IF('كشف النقاط'!F31&gt;0,'كشف النقاط'!F31," ")</f>
        <v> </v>
      </c>
      <c r="F32" s="69" t="str">
        <f>IF('كشف النقاط'!F74&gt;0,'كشف النقاط'!F74," ")</f>
        <v> </v>
      </c>
      <c r="G32" s="69" t="str">
        <f>IF('كشف النقاط'!F117&gt;0,'كشف النقاط'!F117," ")</f>
        <v> </v>
      </c>
      <c r="H32" s="69" t="str">
        <f>IF('كشف النقاط'!F161&gt;0,'كشف النقاط'!F161," ")</f>
        <v> </v>
      </c>
      <c r="I32" s="69" t="str">
        <f>IF('كشف النقاط'!F205&gt;0,'كشف النقاط'!F205," ")</f>
        <v> </v>
      </c>
      <c r="J32" s="69" t="str">
        <f>IF('كشف النقاط'!G249&gt;0,'كشف النقاط'!G249," ")</f>
        <v> </v>
      </c>
      <c r="K32" s="69" t="str">
        <f>IF('كشف النقاط'!H294&gt;0,'كشف النقاط'!H294," ")</f>
        <v> </v>
      </c>
      <c r="M32" s="73"/>
    </row>
    <row r="33" spans="1:13" ht="15.75" customHeight="1">
      <c r="A33" s="38">
        <f t="shared" si="0"/>
        <v>25</v>
      </c>
      <c r="B33" s="142" t="str">
        <f>IF('كشف النقاط'!B32&gt;0,'كشف النقاط'!B32," ")</f>
        <v> </v>
      </c>
      <c r="C33" s="142" t="str">
        <f>IF('كشف النقاط'!C32&gt;0,'كشف النقاط'!C32," ")</f>
        <v> </v>
      </c>
      <c r="D33" s="76" t="str">
        <f>IF('كشف النقاط'!D32&gt;0,'كشف النقاط'!D32," ")</f>
        <v> </v>
      </c>
      <c r="E33" s="69" t="str">
        <f>IF('كشف النقاط'!F32&gt;0,'كشف النقاط'!F32," ")</f>
        <v> </v>
      </c>
      <c r="F33" s="69" t="str">
        <f>IF('كشف النقاط'!F75&gt;0,'كشف النقاط'!F75," ")</f>
        <v> </v>
      </c>
      <c r="G33" s="69" t="str">
        <f>IF('كشف النقاط'!F118&gt;0,'كشف النقاط'!F118," ")</f>
        <v> </v>
      </c>
      <c r="H33" s="69" t="str">
        <f>IF('كشف النقاط'!F162&gt;0,'كشف النقاط'!F162," ")</f>
        <v> </v>
      </c>
      <c r="I33" s="69" t="str">
        <f>IF('كشف النقاط'!F206&gt;0,'كشف النقاط'!F206," ")</f>
        <v> </v>
      </c>
      <c r="J33" s="69" t="str">
        <f>IF('كشف النقاط'!G250&gt;0,'كشف النقاط'!G250," ")</f>
        <v> </v>
      </c>
      <c r="K33" s="69" t="str">
        <f>IF('كشف النقاط'!H295&gt;0,'كشف النقاط'!H295," ")</f>
        <v> </v>
      </c>
      <c r="M33" s="73"/>
    </row>
    <row r="34" spans="1:13" ht="15.75" customHeight="1">
      <c r="A34" s="38">
        <f t="shared" si="0"/>
        <v>26</v>
      </c>
      <c r="B34" s="142" t="str">
        <f>IF('كشف النقاط'!B33&gt;0,'كشف النقاط'!B33," ")</f>
        <v> </v>
      </c>
      <c r="C34" s="142" t="str">
        <f>IF('كشف النقاط'!C33&gt;0,'كشف النقاط'!C33," ")</f>
        <v> </v>
      </c>
      <c r="D34" s="76" t="str">
        <f>IF('كشف النقاط'!D33&gt;0,'كشف النقاط'!D33," ")</f>
        <v> </v>
      </c>
      <c r="E34" s="69" t="str">
        <f>IF('كشف النقاط'!F33&gt;0,'كشف النقاط'!F33," ")</f>
        <v> </v>
      </c>
      <c r="F34" s="69" t="str">
        <f>IF('كشف النقاط'!F76&gt;0,'كشف النقاط'!F76," ")</f>
        <v> </v>
      </c>
      <c r="G34" s="69" t="str">
        <f>IF('كشف النقاط'!F119&gt;0,'كشف النقاط'!F119," ")</f>
        <v> </v>
      </c>
      <c r="H34" s="69" t="str">
        <f>IF('كشف النقاط'!F163&gt;0,'كشف النقاط'!F163," ")</f>
        <v> </v>
      </c>
      <c r="I34" s="69" t="str">
        <f>IF('كشف النقاط'!F207&gt;0,'كشف النقاط'!F207," ")</f>
        <v> </v>
      </c>
      <c r="J34" s="69" t="str">
        <f>IF('كشف النقاط'!G251&gt;0,'كشف النقاط'!G251," ")</f>
        <v> </v>
      </c>
      <c r="K34" s="69" t="str">
        <f>IF('كشف النقاط'!H296&gt;0,'كشف النقاط'!H296," ")</f>
        <v> </v>
      </c>
      <c r="M34" s="73"/>
    </row>
    <row r="35" spans="1:13" ht="15.75" customHeight="1">
      <c r="A35" s="38">
        <f t="shared" si="0"/>
        <v>27</v>
      </c>
      <c r="B35" s="142" t="str">
        <f>IF('كشف النقاط'!B34&gt;0,'كشف النقاط'!B34," ")</f>
        <v> </v>
      </c>
      <c r="C35" s="142" t="str">
        <f>IF('كشف النقاط'!C34&gt;0,'كشف النقاط'!C34," ")</f>
        <v> </v>
      </c>
      <c r="D35" s="76"/>
      <c r="E35" s="69" t="str">
        <f>IF('كشف النقاط'!F34&gt;0,'كشف النقاط'!F34," ")</f>
        <v> </v>
      </c>
      <c r="F35" s="69" t="str">
        <f>IF('كشف النقاط'!F77&gt;0,'كشف النقاط'!F77," ")</f>
        <v> </v>
      </c>
      <c r="G35" s="69" t="str">
        <f>IF('كشف النقاط'!F120&gt;0,'كشف النقاط'!F120," ")</f>
        <v> </v>
      </c>
      <c r="H35" s="69" t="str">
        <f>IF('كشف النقاط'!F164&gt;0,'كشف النقاط'!F164," ")</f>
        <v> </v>
      </c>
      <c r="I35" s="69" t="str">
        <f>IF('كشف النقاط'!F208&gt;0,'كشف النقاط'!F208," ")</f>
        <v> </v>
      </c>
      <c r="J35" s="69" t="str">
        <f>IF('كشف النقاط'!G252&gt;0,'كشف النقاط'!G252," ")</f>
        <v> </v>
      </c>
      <c r="K35" s="69" t="str">
        <f>IF('كشف النقاط'!H297&gt;0,'كشف النقاط'!H297," ")</f>
        <v> </v>
      </c>
      <c r="M35" s="73"/>
    </row>
    <row r="36" spans="1:13" ht="15.75" customHeight="1">
      <c r="A36" s="38">
        <f t="shared" si="0"/>
        <v>28</v>
      </c>
      <c r="B36" s="142" t="str">
        <f>IF('كشف النقاط'!B35&gt;0,'كشف النقاط'!B35," ")</f>
        <v> </v>
      </c>
      <c r="C36" s="142" t="str">
        <f>IF('كشف النقاط'!C35&gt;0,'كشف النقاط'!C35," ")</f>
        <v> </v>
      </c>
      <c r="D36" s="76"/>
      <c r="E36" s="69" t="str">
        <f>IF('كشف النقاط'!F35&gt;0,'كشف النقاط'!F35," ")</f>
        <v> </v>
      </c>
      <c r="F36" s="69" t="str">
        <f>IF('كشف النقاط'!F78&gt;0,'كشف النقاط'!F78," ")</f>
        <v> </v>
      </c>
      <c r="G36" s="69" t="str">
        <f>IF('كشف النقاط'!F121&gt;0,'كشف النقاط'!F121," ")</f>
        <v> </v>
      </c>
      <c r="H36" s="69" t="str">
        <f>IF('كشف النقاط'!F165&gt;0,'كشف النقاط'!F165," ")</f>
        <v> </v>
      </c>
      <c r="I36" s="69" t="str">
        <f>IF('كشف النقاط'!F209&gt;0,'كشف النقاط'!F209," ")</f>
        <v> </v>
      </c>
      <c r="J36" s="69" t="str">
        <f>IF('كشف النقاط'!G253&gt;0,'كشف النقاط'!G253," ")</f>
        <v> </v>
      </c>
      <c r="K36" s="69" t="str">
        <f>IF('كشف النقاط'!H298&gt;0,'كشف النقاط'!H298," ")</f>
        <v> </v>
      </c>
      <c r="M36" s="73"/>
    </row>
    <row r="37" spans="1:13" ht="15.75" customHeight="1">
      <c r="A37" s="38">
        <f t="shared" si="0"/>
        <v>29</v>
      </c>
      <c r="B37" s="142" t="str">
        <f>IF('كشف النقاط'!B36&gt;0,'كشف النقاط'!B36," ")</f>
        <v> </v>
      </c>
      <c r="C37" s="142" t="str">
        <f>IF('كشف النقاط'!C36&gt;0,'كشف النقاط'!C36," ")</f>
        <v> </v>
      </c>
      <c r="D37" s="76"/>
      <c r="E37" s="69" t="str">
        <f>IF('كشف النقاط'!F36&gt;0,'كشف النقاط'!F36," ")</f>
        <v> </v>
      </c>
      <c r="F37" s="69" t="str">
        <f>IF('كشف النقاط'!F79&gt;0,'كشف النقاط'!F79," ")</f>
        <v> </v>
      </c>
      <c r="G37" s="69" t="str">
        <f>IF('كشف النقاط'!F122&gt;0,'كشف النقاط'!F122," ")</f>
        <v> </v>
      </c>
      <c r="H37" s="69" t="str">
        <f>IF('كشف النقاط'!F166&gt;0,'كشف النقاط'!F166," ")</f>
        <v> </v>
      </c>
      <c r="I37" s="69" t="str">
        <f>IF('كشف النقاط'!F210&gt;0,'كشف النقاط'!F210," ")</f>
        <v> </v>
      </c>
      <c r="J37" s="69" t="str">
        <f>IF('كشف النقاط'!G254&gt;0,'كشف النقاط'!G254," ")</f>
        <v> </v>
      </c>
      <c r="K37" s="69" t="str">
        <f>IF('كشف النقاط'!H299&gt;0,'كشف النقاط'!H299," ")</f>
        <v> </v>
      </c>
      <c r="M37" s="73"/>
    </row>
    <row r="38" spans="1:13" ht="15.75" customHeight="1">
      <c r="A38" s="38">
        <f t="shared" si="0"/>
        <v>30</v>
      </c>
      <c r="B38" s="142" t="str">
        <f>IF('كشف النقاط'!B37&gt;0,'كشف النقاط'!B37," ")</f>
        <v> </v>
      </c>
      <c r="C38" s="142" t="str">
        <f>IF('كشف النقاط'!C37&gt;0,'كشف النقاط'!C37," ")</f>
        <v> </v>
      </c>
      <c r="D38" s="76"/>
      <c r="E38" s="69" t="str">
        <f>IF('كشف النقاط'!F37&gt;0,'كشف النقاط'!F37," ")</f>
        <v> </v>
      </c>
      <c r="F38" s="69" t="str">
        <f>IF('كشف النقاط'!F80&gt;0,'كشف النقاط'!F80," ")</f>
        <v> </v>
      </c>
      <c r="G38" s="69" t="str">
        <f>IF('كشف النقاط'!F123&gt;0,'كشف النقاط'!F123," ")</f>
        <v> </v>
      </c>
      <c r="H38" s="69" t="str">
        <f>IF('كشف النقاط'!F167&gt;0,'كشف النقاط'!F167," ")</f>
        <v> </v>
      </c>
      <c r="I38" s="69" t="str">
        <f>IF('كشف النقاط'!F211&gt;0,'كشف النقاط'!F211," ")</f>
        <v> </v>
      </c>
      <c r="J38" s="69" t="str">
        <f>IF('كشف النقاط'!G255&gt;0,'كشف النقاط'!G255," ")</f>
        <v> </v>
      </c>
      <c r="K38" s="69" t="str">
        <f>IF('كشف النقاط'!H300&gt;0,'كشف النقاط'!H300," ")</f>
        <v> </v>
      </c>
      <c r="M38" s="73"/>
    </row>
    <row r="39" spans="2:3" ht="18">
      <c r="B39" s="693">
        <f ca="1">TODAY()</f>
        <v>43188</v>
      </c>
      <c r="C39" s="693"/>
    </row>
    <row r="41" spans="1:13" ht="18">
      <c r="A41" s="10" t="s">
        <v>19</v>
      </c>
      <c r="I41" s="19" t="str">
        <f>I1</f>
        <v>السنة أولى ماستر إقتصاد نقدي وبنكي</v>
      </c>
      <c r="L41" s="61"/>
      <c r="M41" s="61"/>
    </row>
    <row r="42" spans="1:9" ht="18">
      <c r="A42" s="10" t="s">
        <v>20</v>
      </c>
      <c r="I42" s="10" t="str">
        <f>I2</f>
        <v>السداسي الأول</v>
      </c>
    </row>
    <row r="43" spans="1:9" ht="18">
      <c r="A43" s="10" t="s">
        <v>4</v>
      </c>
      <c r="I43" s="10" t="str">
        <f>I3</f>
        <v>الدورة 1</v>
      </c>
    </row>
    <row r="44" ht="18">
      <c r="I44" s="192" t="str">
        <f>I4</f>
        <v>2018/2017</v>
      </c>
    </row>
    <row r="45" spans="2:9" ht="18">
      <c r="B45" s="19" t="s">
        <v>33</v>
      </c>
      <c r="G45" s="10" t="s">
        <v>78</v>
      </c>
      <c r="H45" s="19"/>
      <c r="I45" s="10"/>
    </row>
    <row r="48" spans="1:11" ht="27.75" customHeight="1">
      <c r="A48" s="694" t="s">
        <v>34</v>
      </c>
      <c r="B48" s="696" t="s">
        <v>163</v>
      </c>
      <c r="C48" s="696" t="s">
        <v>164</v>
      </c>
      <c r="D48" s="67"/>
      <c r="E48" s="691" t="str">
        <f aca="true" t="shared" si="1" ref="E48:K48">E8</f>
        <v>التدقيق البنكي</v>
      </c>
      <c r="F48" s="691" t="str">
        <f t="shared" si="1"/>
        <v>تسيير المحافظ المالية</v>
      </c>
      <c r="G48" s="687" t="str">
        <f t="shared" si="1"/>
        <v>جباية العمليات المصرفية</v>
      </c>
      <c r="H48" s="687" t="str">
        <f t="shared" si="1"/>
        <v>نظرية الإلعاب</v>
      </c>
      <c r="I48" s="687" t="str">
        <f t="shared" si="1"/>
        <v>منهجية</v>
      </c>
      <c r="J48" s="687" t="str">
        <f t="shared" si="1"/>
        <v>قانون المنازعات</v>
      </c>
      <c r="K48" s="689" t="str">
        <f t="shared" si="1"/>
        <v>لغة حية</v>
      </c>
    </row>
    <row r="49" spans="1:11" ht="23.25" customHeight="1">
      <c r="A49" s="695"/>
      <c r="B49" s="697"/>
      <c r="C49" s="697"/>
      <c r="D49" s="71"/>
      <c r="E49" s="692"/>
      <c r="F49" s="692"/>
      <c r="G49" s="688"/>
      <c r="H49" s="688"/>
      <c r="I49" s="688"/>
      <c r="J49" s="688"/>
      <c r="K49" s="690"/>
    </row>
    <row r="50" spans="1:13" ht="18.75" customHeight="1">
      <c r="A50" s="38">
        <v>1</v>
      </c>
      <c r="B50" s="142" t="str">
        <f>IF('كشف النقاط'!B8&gt;0,'كشف النقاط'!B8," ")</f>
        <v>الحاج </v>
      </c>
      <c r="C50" s="142" t="str">
        <f>IF('كشف النقاط'!C8&gt;0,'كشف النقاط'!C8," ")</f>
        <v>مروة</v>
      </c>
      <c r="D50" s="76" t="str">
        <f>IF('كشف النقاط'!D8&gt;0,'كشف النقاط'!D8," ")</f>
        <v> </v>
      </c>
      <c r="E50" s="72">
        <f>IF('كشف النقاط'!E8&gt;0,'كشف النقاط'!E8," ")</f>
        <v>17</v>
      </c>
      <c r="F50" s="72">
        <f>IF('كشف النقاط'!E51&gt;0,'كشف النقاط'!E51," ")</f>
        <v>19</v>
      </c>
      <c r="G50" s="72">
        <f>IF('كشف النقاط'!E94&gt;0,'كشف النقاط'!E94," ")</f>
        <v>16</v>
      </c>
      <c r="H50" s="72">
        <f>IF('كشف النقاط'!E138&gt;0,'كشف النقاط'!E138," ")</f>
        <v>18</v>
      </c>
      <c r="I50" s="72">
        <f>IF('كشف النقاط'!E182&gt;0,'كشف النقاط'!E182," ")</f>
        <v>10</v>
      </c>
      <c r="J50" s="72">
        <f>IF('كشف النقاط'!E226&gt;0,'كشف النقاط'!E226," ")</f>
        <v>14.5</v>
      </c>
      <c r="K50" s="72">
        <f>IF('كشف النقاط'!E271&gt;0,'كشف النقاط'!E271," ")</f>
        <v>13</v>
      </c>
      <c r="M50" s="74"/>
    </row>
    <row r="51" spans="1:13" ht="18.75" customHeight="1">
      <c r="A51" s="38">
        <v>2</v>
      </c>
      <c r="B51" s="142" t="str">
        <f>IF('كشف النقاط'!B9&gt;0,'كشف النقاط'!B9," ")</f>
        <v>العياشي </v>
      </c>
      <c r="C51" s="142" t="str">
        <f>IF('كشف النقاط'!C9&gt;0,'كشف النقاط'!C9," ")</f>
        <v>نوار</v>
      </c>
      <c r="D51" s="76" t="str">
        <f>IF('كشف النقاط'!D9&gt;0,'كشف النقاط'!D9," ")</f>
        <v> </v>
      </c>
      <c r="E51" s="72" t="str">
        <f>IF('كشف النقاط'!E9&gt;0,'كشف النقاط'!E9," ")</f>
        <v> </v>
      </c>
      <c r="F51" s="72" t="str">
        <f>IF('كشف النقاط'!E52&gt;0,'كشف النقاط'!E52," ")</f>
        <v> </v>
      </c>
      <c r="G51" s="72" t="str">
        <f>IF('كشف النقاط'!E95&gt;0,'كشف النقاط'!E95," ")</f>
        <v> </v>
      </c>
      <c r="H51" s="72" t="str">
        <f>IF('كشف النقاط'!E139&gt;0,'كشف النقاط'!E139," ")</f>
        <v> </v>
      </c>
      <c r="I51" s="72" t="str">
        <f>IF('كشف النقاط'!E183&gt;0,'كشف النقاط'!E183," ")</f>
        <v> </v>
      </c>
      <c r="J51" s="72" t="str">
        <f>IF('كشف النقاط'!E227&gt;0,'كشف النقاط'!E227," ")</f>
        <v> </v>
      </c>
      <c r="K51" s="72" t="str">
        <f>IF('كشف النقاط'!E272&gt;0,'كشف النقاط'!E272," ")</f>
        <v> </v>
      </c>
      <c r="M51" s="74"/>
    </row>
    <row r="52" spans="1:13" ht="18.75" customHeight="1">
      <c r="A52" s="38">
        <v>3</v>
      </c>
      <c r="B52" s="142" t="str">
        <f>IF('كشف النقاط'!B10&gt;0,'كشف النقاط'!B10," ")</f>
        <v>باطح </v>
      </c>
      <c r="C52" s="142" t="str">
        <f>IF('كشف النقاط'!C10&gt;0,'كشف النقاط'!C10," ")</f>
        <v>محمد لمين</v>
      </c>
      <c r="D52" s="76" t="str">
        <f>IF('كشف النقاط'!D10&gt;0,'كشف النقاط'!D10," ")</f>
        <v> </v>
      </c>
      <c r="E52" s="72">
        <f>IF('كشف النقاط'!E10&gt;0,'كشف النقاط'!E10," ")</f>
        <v>15.5</v>
      </c>
      <c r="F52" s="72">
        <f>IF('كشف النقاط'!E53&gt;0,'كشف النقاط'!E53," ")</f>
        <v>7.5</v>
      </c>
      <c r="G52" s="72">
        <f>IF('كشف النقاط'!E96&gt;0,'كشف النقاط'!E96," ")</f>
        <v>15</v>
      </c>
      <c r="H52" s="72">
        <f>IF('كشف النقاط'!E140&gt;0,'كشف النقاط'!E140," ")</f>
        <v>8</v>
      </c>
      <c r="I52" s="72">
        <f>IF('كشف النقاط'!E184&gt;0,'كشف النقاط'!E184," ")</f>
        <v>10</v>
      </c>
      <c r="J52" s="72">
        <f>IF('كشف النقاط'!E228&gt;0,'كشف النقاط'!E228," ")</f>
        <v>11</v>
      </c>
      <c r="K52" s="72">
        <f>IF('كشف النقاط'!E273&gt;0,'كشف النقاط'!E273," ")</f>
        <v>11</v>
      </c>
      <c r="M52" s="74"/>
    </row>
    <row r="53" spans="1:13" ht="18.75" customHeight="1">
      <c r="A53" s="38">
        <v>4</v>
      </c>
      <c r="B53" s="142" t="str">
        <f>IF('كشف النقاط'!B11&gt;0,'كشف النقاط'!B11," ")</f>
        <v>بوساحة </v>
      </c>
      <c r="C53" s="142" t="str">
        <f>IF('كشف النقاط'!C11&gt;0,'كشف النقاط'!C11," ")</f>
        <v>حسام الدين</v>
      </c>
      <c r="D53" s="76" t="str">
        <f>IF('كشف النقاط'!D11&gt;0,'كشف النقاط'!D11," ")</f>
        <v> </v>
      </c>
      <c r="E53" s="72">
        <f>IF('كشف النقاط'!E11&gt;0,'كشف النقاط'!E11," ")</f>
        <v>6</v>
      </c>
      <c r="F53" s="72">
        <f>IF('كشف النقاط'!E54&gt;0,'كشف النقاط'!E54," ")</f>
        <v>0.5</v>
      </c>
      <c r="G53" s="72">
        <f>IF('كشف النقاط'!E97&gt;0,'كشف النقاط'!E97," ")</f>
        <v>1</v>
      </c>
      <c r="H53" s="72">
        <f>IF('كشف النقاط'!E141&gt;0,'كشف النقاط'!E141," ")</f>
        <v>12</v>
      </c>
      <c r="I53" s="72">
        <f>IF('كشف النقاط'!E185&gt;0,'كشف النقاط'!E185," ")</f>
        <v>11</v>
      </c>
      <c r="J53" s="72">
        <f>IF('كشف النقاط'!E229&gt;0,'كشف النقاط'!E229," ")</f>
        <v>13</v>
      </c>
      <c r="K53" s="72">
        <f>IF('كشف النقاط'!E274&gt;0,'كشف النقاط'!E274," ")</f>
        <v>5</v>
      </c>
      <c r="M53" s="74"/>
    </row>
    <row r="54" spans="1:13" ht="18.75" customHeight="1">
      <c r="A54" s="38">
        <v>5</v>
      </c>
      <c r="B54" s="142" t="str">
        <f>IF('كشف النقاط'!B12&gt;0,'كشف النقاط'!B12," ")</f>
        <v>بوسالم </v>
      </c>
      <c r="C54" s="142" t="str">
        <f>IF('كشف النقاط'!C12&gt;0,'كشف النقاط'!C12," ")</f>
        <v>محمد وليد</v>
      </c>
      <c r="D54" s="76" t="str">
        <f>IF('كشف النقاط'!D12&gt;0,'كشف النقاط'!D12," ")</f>
        <v> </v>
      </c>
      <c r="E54" s="72">
        <f>IF('كشف النقاط'!E12&gt;0,'كشف النقاط'!E12," ")</f>
        <v>12.5</v>
      </c>
      <c r="F54" s="72">
        <f>IF('كشف النقاط'!E55&gt;0,'كشف النقاط'!E55," ")</f>
        <v>1.5</v>
      </c>
      <c r="G54" s="72">
        <f>IF('كشف النقاط'!E98&gt;0,'كشف النقاط'!E98," ")</f>
        <v>9</v>
      </c>
      <c r="H54" s="72">
        <f>IF('كشف النقاط'!E142&gt;0,'كشف النقاط'!E142," ")</f>
        <v>10</v>
      </c>
      <c r="I54" s="72">
        <f>IF('كشف النقاط'!E186&gt;0,'كشف النقاط'!E186," ")</f>
        <v>10.5</v>
      </c>
      <c r="J54" s="72">
        <f>IF('كشف النقاط'!E230&gt;0,'كشف النقاط'!E230," ")</f>
        <v>6.5</v>
      </c>
      <c r="K54" s="72">
        <f>IF('كشف النقاط'!E275&gt;0,'كشف النقاط'!E275," ")</f>
        <v>2</v>
      </c>
      <c r="M54" s="74"/>
    </row>
    <row r="55" spans="1:13" ht="18.75" customHeight="1">
      <c r="A55" s="38">
        <v>6</v>
      </c>
      <c r="B55" s="142" t="str">
        <f>IF('كشف النقاط'!B13&gt;0,'كشف النقاط'!B13," ")</f>
        <v>بوعروج </v>
      </c>
      <c r="C55" s="142" t="str">
        <f>IF('كشف النقاط'!C13&gt;0,'كشف النقاط'!C13," ")</f>
        <v>نسيمة</v>
      </c>
      <c r="D55" s="76" t="str">
        <f>IF('كشف النقاط'!D13&gt;0,'كشف النقاط'!D13," ")</f>
        <v> </v>
      </c>
      <c r="E55" s="72">
        <f>IF('كشف النقاط'!E13&gt;0,'كشف النقاط'!E13," ")</f>
        <v>12.5</v>
      </c>
      <c r="F55" s="72">
        <f>IF('كشف النقاط'!E56&gt;0,'كشف النقاط'!E56," ")</f>
        <v>6</v>
      </c>
      <c r="G55" s="72">
        <f>IF('كشف النقاط'!E99&gt;0,'كشف النقاط'!E99," ")</f>
        <v>5</v>
      </c>
      <c r="H55" s="72">
        <f>IF('كشف النقاط'!E143&gt;0,'كشف النقاط'!E143," ")</f>
        <v>8</v>
      </c>
      <c r="I55" s="72">
        <f>IF('كشف النقاط'!E187&gt;0,'كشف النقاط'!E187," ")</f>
        <v>7</v>
      </c>
      <c r="J55" s="72">
        <f>IF('كشف النقاط'!E231&gt;0,'كشف النقاط'!E231," ")</f>
        <v>14</v>
      </c>
      <c r="K55" s="72">
        <f>IF('كشف النقاط'!E276&gt;0,'كشف النقاط'!E276," ")</f>
        <v>5</v>
      </c>
      <c r="M55" s="74"/>
    </row>
    <row r="56" spans="1:13" ht="18.75" customHeight="1">
      <c r="A56" s="38">
        <v>7</v>
      </c>
      <c r="B56" s="142" t="str">
        <f>IF('كشف النقاط'!B14&gt;0,'كشف النقاط'!B14," ")</f>
        <v>بولعيد </v>
      </c>
      <c r="C56" s="142" t="str">
        <f>IF('كشف النقاط'!C14&gt;0,'كشف النقاط'!C14," ")</f>
        <v>مريم</v>
      </c>
      <c r="D56" s="76" t="str">
        <f>IF('كشف النقاط'!D14&gt;0,'كشف النقاط'!D14," ")</f>
        <v> </v>
      </c>
      <c r="E56" s="72">
        <f>IF('كشف النقاط'!E14&gt;0,'كشف النقاط'!E14," ")</f>
        <v>10.5</v>
      </c>
      <c r="F56" s="72">
        <f>IF('كشف النقاط'!E57&gt;0,'كشف النقاط'!E57," ")</f>
        <v>1</v>
      </c>
      <c r="G56" s="72">
        <f>IF('كشف النقاط'!E100&gt;0,'كشف النقاط'!E100," ")</f>
        <v>6.5</v>
      </c>
      <c r="H56" s="72">
        <f>IF('كشف النقاط'!E144&gt;0,'كشف النقاط'!E144," ")</f>
        <v>2</v>
      </c>
      <c r="I56" s="72">
        <f>IF('كشف النقاط'!E188&gt;0,'كشف النقاط'!E188," ")</f>
        <v>3</v>
      </c>
      <c r="J56" s="72">
        <f>IF('كشف النقاط'!E232&gt;0,'كشف النقاط'!E232," ")</f>
        <v>11</v>
      </c>
      <c r="K56" s="72">
        <f>IF('كشف النقاط'!E277&gt;0,'كشف النقاط'!E277," ")</f>
        <v>6</v>
      </c>
      <c r="M56" s="74"/>
    </row>
    <row r="57" spans="1:13" ht="18.75" customHeight="1">
      <c r="A57" s="38">
        <v>8</v>
      </c>
      <c r="B57" s="142" t="str">
        <f>IF('كشف النقاط'!B15&gt;0,'كشف النقاط'!B15," ")</f>
        <v>خاوة </v>
      </c>
      <c r="C57" s="142" t="str">
        <f>IF('كشف النقاط'!C15&gt;0,'كشف النقاط'!C15," ")</f>
        <v>أسماء</v>
      </c>
      <c r="D57" s="76" t="str">
        <f>IF('كشف النقاط'!D15&gt;0,'كشف النقاط'!D15," ")</f>
        <v> </v>
      </c>
      <c r="E57" s="72">
        <f>IF('كشف النقاط'!E15&gt;0,'كشف النقاط'!E15," ")</f>
        <v>11</v>
      </c>
      <c r="F57" s="72">
        <f>IF('كشف النقاط'!E58&gt;0,'كشف النقاط'!E58," ")</f>
        <v>4</v>
      </c>
      <c r="G57" s="72">
        <f>IF('كشف النقاط'!E101&gt;0,'كشف النقاط'!E101," ")</f>
        <v>8.5</v>
      </c>
      <c r="H57" s="72">
        <f>IF('كشف النقاط'!E145&gt;0,'كشف النقاط'!E145," ")</f>
        <v>5</v>
      </c>
      <c r="I57" s="72">
        <f>IF('كشف النقاط'!E189&gt;0,'كشف النقاط'!E189," ")</f>
        <v>10</v>
      </c>
      <c r="J57" s="72">
        <f>IF('كشف النقاط'!E233&gt;0,'كشف النقاط'!E233," ")</f>
        <v>14.5</v>
      </c>
      <c r="K57" s="72">
        <f>IF('كشف النقاط'!E278&gt;0,'كشف النقاط'!E278," ")</f>
        <v>7</v>
      </c>
      <c r="M57" s="74"/>
    </row>
    <row r="58" spans="1:13" ht="18.75" customHeight="1">
      <c r="A58" s="38">
        <v>9</v>
      </c>
      <c r="B58" s="142" t="str">
        <f>IF('كشف النقاط'!B16&gt;0,'كشف النقاط'!B16," ")</f>
        <v>زغلاني </v>
      </c>
      <c r="C58" s="142" t="str">
        <f>IF('كشف النقاط'!C16&gt;0,'كشف النقاط'!C16," ")</f>
        <v>ساعد</v>
      </c>
      <c r="D58" s="76" t="str">
        <f>IF('كشف النقاط'!D16&gt;0,'كشف النقاط'!D16," ")</f>
        <v> </v>
      </c>
      <c r="E58" s="72">
        <f>IF('كشف النقاط'!E16&gt;0,'كشف النقاط'!E16," ")</f>
        <v>9.5</v>
      </c>
      <c r="F58" s="72">
        <f>IF('كشف النقاط'!E59&gt;0,'كشف النقاط'!E59," ")</f>
        <v>1.5</v>
      </c>
      <c r="G58" s="72">
        <f>IF('كشف النقاط'!E102&gt;0,'كشف النقاط'!E102," ")</f>
        <v>7.5</v>
      </c>
      <c r="H58" s="72">
        <f>IF('كشف النقاط'!E146&gt;0,'كشف النقاط'!E146," ")</f>
        <v>7</v>
      </c>
      <c r="I58" s="72">
        <f>IF('كشف النقاط'!E190&gt;0,'كشف النقاط'!E190," ")</f>
        <v>10</v>
      </c>
      <c r="J58" s="72">
        <f>IF('كشف النقاط'!E234&gt;0,'كشف النقاط'!E234," ")</f>
        <v>14.5</v>
      </c>
      <c r="K58" s="72">
        <f>IF('كشف النقاط'!E279&gt;0,'كشف النقاط'!E279," ")</f>
        <v>5</v>
      </c>
      <c r="M58" s="74"/>
    </row>
    <row r="59" spans="1:13" ht="18.75" customHeight="1">
      <c r="A59" s="38">
        <v>10</v>
      </c>
      <c r="B59" s="142" t="str">
        <f>IF('كشف النقاط'!B17&gt;0,'كشف النقاط'!B17," ")</f>
        <v>زياني </v>
      </c>
      <c r="C59" s="142" t="str">
        <f>IF('كشف النقاط'!C17&gt;0,'كشف النقاط'!C17," ")</f>
        <v>أميرة</v>
      </c>
      <c r="D59" s="76" t="str">
        <f>IF('كشف النقاط'!D17&gt;0,'كشف النقاط'!D17," ")</f>
        <v> </v>
      </c>
      <c r="E59" s="72">
        <f>IF('كشف النقاط'!E17&gt;0,'كشف النقاط'!E17," ")</f>
        <v>13</v>
      </c>
      <c r="F59" s="72">
        <f>IF('كشف النقاط'!E60&gt;0,'كشف النقاط'!E60," ")</f>
        <v>4</v>
      </c>
      <c r="G59" s="72">
        <f>IF('كشف النقاط'!E103&gt;0,'كشف النقاط'!E103," ")</f>
        <v>6</v>
      </c>
      <c r="H59" s="72">
        <f>IF('كشف النقاط'!E147&gt;0,'كشف النقاط'!E147," ")</f>
        <v>7</v>
      </c>
      <c r="I59" s="72">
        <f>IF('كشف النقاط'!E191&gt;0,'كشف النقاط'!E191," ")</f>
        <v>11</v>
      </c>
      <c r="J59" s="72">
        <f>IF('كشف النقاط'!E235&gt;0,'كشف النقاط'!E235," ")</f>
        <v>14.5</v>
      </c>
      <c r="K59" s="72">
        <f>IF('كشف النقاط'!E280&gt;0,'كشف النقاط'!E280," ")</f>
        <v>7</v>
      </c>
      <c r="M59" s="74"/>
    </row>
    <row r="60" spans="1:13" ht="18.75" customHeight="1">
      <c r="A60" s="38">
        <v>11</v>
      </c>
      <c r="B60" s="142" t="str">
        <f>IF('كشف النقاط'!B18&gt;0,'كشف النقاط'!B18," ")</f>
        <v>شلابي </v>
      </c>
      <c r="C60" s="142" t="str">
        <f>IF('كشف النقاط'!C18&gt;0,'كشف النقاط'!C18," ")</f>
        <v>هاجر</v>
      </c>
      <c r="D60" s="76" t="str">
        <f>IF('كشف النقاط'!D18&gt;0,'كشف النقاط'!D18," ")</f>
        <v> </v>
      </c>
      <c r="E60" s="72">
        <f>IF('كشف النقاط'!E18&gt;0,'كشف النقاط'!E18," ")</f>
        <v>15</v>
      </c>
      <c r="F60" s="72">
        <f>IF('كشف النقاط'!E61&gt;0,'كشف النقاط'!E61," ")</f>
        <v>3</v>
      </c>
      <c r="G60" s="72">
        <f>IF('كشف النقاط'!E104&gt;0,'كشف النقاط'!E104," ")</f>
        <v>7</v>
      </c>
      <c r="H60" s="72">
        <f>IF('كشف النقاط'!E148&gt;0,'كشف النقاط'!E148," ")</f>
        <v>8.5</v>
      </c>
      <c r="I60" s="72">
        <f>IF('كشف النقاط'!E192&gt;0,'كشف النقاط'!E192," ")</f>
        <v>6</v>
      </c>
      <c r="J60" s="72">
        <f>IF('كشف النقاط'!E236&gt;0,'كشف النقاط'!E236," ")</f>
        <v>10.5</v>
      </c>
      <c r="K60" s="72">
        <f>IF('كشف النقاط'!E281&gt;0,'كشف النقاط'!E281," ")</f>
        <v>5</v>
      </c>
      <c r="M60" s="74"/>
    </row>
    <row r="61" spans="1:13" ht="18.75" customHeight="1">
      <c r="A61" s="38">
        <v>12</v>
      </c>
      <c r="B61" s="142" t="str">
        <f>IF('كشف النقاط'!B19&gt;0,'كشف النقاط'!B19," ")</f>
        <v>صولي </v>
      </c>
      <c r="C61" s="142" t="str">
        <f>IF('كشف النقاط'!C19&gt;0,'كشف النقاط'!C19," ")</f>
        <v>هشام</v>
      </c>
      <c r="D61" s="76" t="str">
        <f>IF('كشف النقاط'!D19&gt;0,'كشف النقاط'!D19," ")</f>
        <v> </v>
      </c>
      <c r="E61" s="72">
        <f>IF('كشف النقاط'!E19&gt;0,'كشف النقاط'!E19," ")</f>
        <v>14.5</v>
      </c>
      <c r="F61" s="72">
        <f>IF('كشف النقاط'!E62&gt;0,'كشف النقاط'!E62," ")</f>
        <v>4</v>
      </c>
      <c r="G61" s="72">
        <f>IF('كشف النقاط'!E105&gt;0,'كشف النقاط'!E105," ")</f>
        <v>10</v>
      </c>
      <c r="H61" s="72">
        <f>IF('كشف النقاط'!E149&gt;0,'كشف النقاط'!E149," ")</f>
        <v>6</v>
      </c>
      <c r="I61" s="72">
        <f>IF('كشف النقاط'!E193&gt;0,'كشف النقاط'!E193," ")</f>
        <v>7</v>
      </c>
      <c r="J61" s="72">
        <f>IF('كشف النقاط'!E237&gt;0,'كشف النقاط'!E237," ")</f>
        <v>10</v>
      </c>
      <c r="K61" s="72">
        <f>IF('كشف النقاط'!E282&gt;0,'كشف النقاط'!E282," ")</f>
        <v>6</v>
      </c>
      <c r="M61" s="74"/>
    </row>
    <row r="62" spans="1:13" ht="18.75" customHeight="1">
      <c r="A62" s="38">
        <v>13</v>
      </c>
      <c r="B62" s="142" t="str">
        <f>IF('كشف النقاط'!B20&gt;0,'كشف النقاط'!B20," ")</f>
        <v>عطيل</v>
      </c>
      <c r="C62" s="142" t="str">
        <f>IF('كشف النقاط'!C20&gt;0,'كشف النقاط'!C20," ")</f>
        <v>آسيا</v>
      </c>
      <c r="D62" s="76" t="str">
        <f>IF('كشف النقاط'!D20&gt;0,'كشف النقاط'!D20," ")</f>
        <v> </v>
      </c>
      <c r="E62" s="72">
        <f>IF('كشف النقاط'!E20&gt;0,'كشف النقاط'!E20," ")</f>
        <v>17</v>
      </c>
      <c r="F62" s="72">
        <f>IF('كشف النقاط'!E63&gt;0,'كشف النقاط'!E63," ")</f>
        <v>14</v>
      </c>
      <c r="G62" s="72">
        <f>IF('كشف النقاط'!E106&gt;0,'كشف النقاط'!E106," ")</f>
        <v>15</v>
      </c>
      <c r="H62" s="72">
        <f>IF('كشف النقاط'!E150&gt;0,'كشف النقاط'!E150," ")</f>
        <v>18</v>
      </c>
      <c r="I62" s="72">
        <f>IF('كشف النقاط'!E194&gt;0,'كشف النقاط'!E194," ")</f>
        <v>13</v>
      </c>
      <c r="J62" s="72">
        <f>IF('كشف النقاط'!E238&gt;0,'كشف النقاط'!E238," ")</f>
        <v>13.5</v>
      </c>
      <c r="K62" s="72">
        <f>IF('كشف النقاط'!E283&gt;0,'كشف النقاط'!E283," ")</f>
        <v>13</v>
      </c>
      <c r="M62" s="74"/>
    </row>
    <row r="63" spans="1:13" ht="18.75" customHeight="1">
      <c r="A63" s="38">
        <v>14</v>
      </c>
      <c r="B63" s="142" t="str">
        <f>IF('كشف النقاط'!B21&gt;0,'كشف النقاط'!B21," ")</f>
        <v>عيدود </v>
      </c>
      <c r="C63" s="142" t="str">
        <f>IF('كشف النقاط'!C21&gt;0,'كشف النقاط'!C21," ")</f>
        <v>صبرينة</v>
      </c>
      <c r="D63" s="76" t="str">
        <f>IF('كشف النقاط'!D21&gt;0,'كشف النقاط'!D21," ")</f>
        <v> </v>
      </c>
      <c r="E63" s="72">
        <f>IF('كشف النقاط'!E21&gt;0,'كشف النقاط'!E21," ")</f>
        <v>10.5</v>
      </c>
      <c r="F63" s="72">
        <f>IF('كشف النقاط'!E64&gt;0,'كشف النقاط'!E64," ")</f>
        <v>2</v>
      </c>
      <c r="G63" s="72">
        <f>IF('كشف النقاط'!E107&gt;0,'كشف النقاط'!E107," ")</f>
        <v>1</v>
      </c>
      <c r="H63" s="72">
        <f>IF('كشف النقاط'!E151&gt;0,'كشف النقاط'!E151," ")</f>
        <v>5</v>
      </c>
      <c r="I63" s="72">
        <f>IF('كشف النقاط'!E195&gt;0,'كشف النقاط'!E195," ")</f>
        <v>8</v>
      </c>
      <c r="J63" s="72">
        <f>IF('كشف النقاط'!E239&gt;0,'كشف النقاط'!E239," ")</f>
        <v>8</v>
      </c>
      <c r="K63" s="72">
        <f>IF('كشف النقاط'!E284&gt;0,'كشف النقاط'!E284," ")</f>
        <v>8</v>
      </c>
      <c r="M63" s="74"/>
    </row>
    <row r="64" spans="1:13" ht="18.75" customHeight="1">
      <c r="A64" s="38">
        <v>15</v>
      </c>
      <c r="B64" s="142" t="str">
        <f>IF('كشف النقاط'!B22&gt;0,'كشف النقاط'!B22," ")</f>
        <v>قايدي </v>
      </c>
      <c r="C64" s="142" t="str">
        <f>IF('كشف النقاط'!C22&gt;0,'كشف النقاط'!C22," ")</f>
        <v>مريم</v>
      </c>
      <c r="D64" s="76" t="str">
        <f>IF('كشف النقاط'!D22&gt;0,'كشف النقاط'!D22," ")</f>
        <v> </v>
      </c>
      <c r="E64" s="72">
        <f>IF('كشف النقاط'!E22&gt;0,'كشف النقاط'!E22," ")</f>
        <v>13</v>
      </c>
      <c r="F64" s="72">
        <f>IF('كشف النقاط'!E65&gt;0,'كشف النقاط'!E65," ")</f>
        <v>11</v>
      </c>
      <c r="G64" s="72">
        <f>IF('كشف النقاط'!E108&gt;0,'كشف النقاط'!E108," ")</f>
        <v>8</v>
      </c>
      <c r="H64" s="72">
        <f>IF('كشف النقاط'!E152&gt;0,'كشف النقاط'!E152," ")</f>
        <v>5</v>
      </c>
      <c r="I64" s="72">
        <f>IF('كشف النقاط'!E196&gt;0,'كشف النقاط'!E196," ")</f>
        <v>13</v>
      </c>
      <c r="J64" s="72">
        <f>IF('كشف النقاط'!E240&gt;0,'كشف النقاط'!E240," ")</f>
        <v>7.5</v>
      </c>
      <c r="K64" s="72">
        <f>IF('كشف النقاط'!E285&gt;0,'كشف النقاط'!E285," ")</f>
        <v>5</v>
      </c>
      <c r="M64" s="74"/>
    </row>
    <row r="65" spans="1:13" ht="18.75" customHeight="1">
      <c r="A65" s="38">
        <v>16</v>
      </c>
      <c r="B65" s="142" t="str">
        <f>IF('كشف النقاط'!B23&gt;0,'كشف النقاط'!B23," ")</f>
        <v>قرايفية </v>
      </c>
      <c r="C65" s="142" t="str">
        <f>IF('كشف النقاط'!C23&gt;0,'كشف النقاط'!C23," ")</f>
        <v>فؤاد</v>
      </c>
      <c r="D65" s="76" t="str">
        <f>IF('كشف النقاط'!D23&gt;0,'كشف النقاط'!D23," ")</f>
        <v> </v>
      </c>
      <c r="E65" s="72">
        <f>IF('كشف النقاط'!E23&gt;0,'كشف النقاط'!E23," ")</f>
        <v>15</v>
      </c>
      <c r="F65" s="72">
        <f>IF('كشف النقاط'!E66&gt;0,'كشف النقاط'!E66," ")</f>
        <v>3</v>
      </c>
      <c r="G65" s="72">
        <f>IF('كشف النقاط'!E109&gt;0,'كشف النقاط'!E109," ")</f>
        <v>12</v>
      </c>
      <c r="H65" s="72">
        <f>IF('كشف النقاط'!E153&gt;0,'كشف النقاط'!E153," ")</f>
        <v>12</v>
      </c>
      <c r="I65" s="72">
        <f>IF('كشف النقاط'!E197&gt;0,'كشف النقاط'!E197," ")</f>
        <v>11.5</v>
      </c>
      <c r="J65" s="72">
        <f>IF('كشف النقاط'!E241&gt;0,'كشف النقاط'!E241," ")</f>
        <v>14.5</v>
      </c>
      <c r="K65" s="72">
        <f>IF('كشف النقاط'!E286&gt;0,'كشف النقاط'!E286," ")</f>
        <v>5</v>
      </c>
      <c r="M65" s="74"/>
    </row>
    <row r="66" spans="1:13" ht="18.75" customHeight="1">
      <c r="A66" s="38">
        <v>17</v>
      </c>
      <c r="B66" s="142" t="str">
        <f>IF('كشف النقاط'!B24&gt;0,'كشف النقاط'!B24," ")</f>
        <v>قوادرية</v>
      </c>
      <c r="C66" s="142" t="str">
        <f>IF('كشف النقاط'!C24&gt;0,'كشف النقاط'!C24," ")</f>
        <v>مريم</v>
      </c>
      <c r="D66" s="76" t="str">
        <f>IF('كشف النقاط'!D24&gt;0,'كشف النقاط'!D24," ")</f>
        <v> </v>
      </c>
      <c r="E66" s="72">
        <f>IF('كشف النقاط'!E24&gt;0,'كشف النقاط'!E24," ")</f>
        <v>17.5</v>
      </c>
      <c r="F66" s="72">
        <f>IF('كشف النقاط'!E67&gt;0,'كشف النقاط'!E67," ")</f>
        <v>16.5</v>
      </c>
      <c r="G66" s="72">
        <f>IF('كشف النقاط'!E110&gt;0,'كشف النقاط'!E110," ")</f>
        <v>16</v>
      </c>
      <c r="H66" s="72">
        <f>IF('كشف النقاط'!E154&gt;0,'كشف النقاط'!E154," ")</f>
        <v>18.5</v>
      </c>
      <c r="I66" s="72">
        <f>IF('كشف النقاط'!E198&gt;0,'كشف النقاط'!E198," ")</f>
        <v>15</v>
      </c>
      <c r="J66" s="72">
        <f>IF('كشف النقاط'!E242&gt;0,'كشف النقاط'!E242," ")</f>
        <v>16</v>
      </c>
      <c r="K66" s="72">
        <f>IF('كشف النقاط'!E287&gt;0,'كشف النقاط'!E287," ")</f>
        <v>12</v>
      </c>
      <c r="M66" s="74"/>
    </row>
    <row r="67" spans="1:13" ht="18.75" customHeight="1">
      <c r="A67" s="38">
        <v>18</v>
      </c>
      <c r="B67" s="142" t="str">
        <f>IF('كشف النقاط'!B25&gt;0,'كشف النقاط'!B25," ")</f>
        <v>محفوظ </v>
      </c>
      <c r="C67" s="142" t="str">
        <f>IF('كشف النقاط'!C25&gt;0,'كشف النقاط'!C25," ")</f>
        <v>بشرى</v>
      </c>
      <c r="D67" s="76" t="str">
        <f>IF('كشف النقاط'!D25&gt;0,'كشف النقاط'!D25," ")</f>
        <v> </v>
      </c>
      <c r="E67" s="72">
        <f>IF('كشف النقاط'!E25&gt;0,'كشف النقاط'!E25," ")</f>
        <v>17</v>
      </c>
      <c r="F67" s="72">
        <f>IF('كشف النقاط'!E68&gt;0,'كشف النقاط'!E68," ")</f>
        <v>19</v>
      </c>
      <c r="G67" s="72">
        <f>IF('كشف النقاط'!E111&gt;0,'كشف النقاط'!E111," ")</f>
        <v>15</v>
      </c>
      <c r="H67" s="72">
        <f>IF('كشف النقاط'!E155&gt;0,'كشف النقاط'!E155," ")</f>
        <v>18</v>
      </c>
      <c r="I67" s="72">
        <f>IF('كشف النقاط'!E199&gt;0,'كشف النقاط'!E199," ")</f>
        <v>13</v>
      </c>
      <c r="J67" s="72">
        <f>IF('كشف النقاط'!E243&gt;0,'كشف النقاط'!E243," ")</f>
        <v>16</v>
      </c>
      <c r="K67" s="72">
        <f>IF('كشف النقاط'!E288&gt;0,'كشف النقاط'!E288," ")</f>
        <v>11</v>
      </c>
      <c r="M67" s="74"/>
    </row>
    <row r="68" spans="1:13" ht="18.75" customHeight="1">
      <c r="A68" s="38">
        <v>19</v>
      </c>
      <c r="B68" s="142" t="str">
        <f>IF('كشف النقاط'!B26&gt;0,'كشف النقاط'!B26," ")</f>
        <v>مسطوري </v>
      </c>
      <c r="C68" s="142" t="str">
        <f>IF('كشف النقاط'!C26&gt;0,'كشف النقاط'!C26," ")</f>
        <v>سارة</v>
      </c>
      <c r="D68" s="76" t="str">
        <f>IF('كشف النقاط'!D26&gt;0,'كشف النقاط'!D26," ")</f>
        <v> </v>
      </c>
      <c r="E68" s="72">
        <f>IF('كشف النقاط'!E26&gt;0,'كشف النقاط'!E26," ")</f>
        <v>10.5</v>
      </c>
      <c r="F68" s="72">
        <f>IF('كشف النقاط'!E69&gt;0,'كشف النقاط'!E69," ")</f>
        <v>0.5</v>
      </c>
      <c r="G68" s="72">
        <f>IF('كشف النقاط'!E112&gt;0,'كشف النقاط'!E112," ")</f>
        <v>3</v>
      </c>
      <c r="H68" s="72">
        <f>IF('كشف النقاط'!E156&gt;0,'كشف النقاط'!E156," ")</f>
        <v>8</v>
      </c>
      <c r="I68" s="72">
        <f>IF('كشف النقاط'!E200&gt;0,'كشف النقاط'!E200," ")</f>
        <v>10</v>
      </c>
      <c r="J68" s="72">
        <f>IF('كشف النقاط'!E244&gt;0,'كشف النقاط'!E244," ")</f>
        <v>15</v>
      </c>
      <c r="K68" s="72">
        <f>IF('كشف النقاط'!E289&gt;0,'كشف النقاط'!E289," ")</f>
        <v>6</v>
      </c>
      <c r="M68" s="74"/>
    </row>
    <row r="69" spans="1:13" ht="18.75" customHeight="1">
      <c r="A69" s="38">
        <v>20</v>
      </c>
      <c r="B69" s="142" t="str">
        <f>IF('كشف النقاط'!B27&gt;0,'كشف النقاط'!B27," ")</f>
        <v>هداف </v>
      </c>
      <c r="C69" s="142" t="str">
        <f>IF('كشف النقاط'!C27&gt;0,'كشف النقاط'!C27," ")</f>
        <v>حياة</v>
      </c>
      <c r="D69" s="76" t="str">
        <f>IF('كشف النقاط'!D27&gt;0,'كشف النقاط'!D27," ")</f>
        <v> </v>
      </c>
      <c r="E69" s="72">
        <f>IF('كشف النقاط'!E27&gt;0,'كشف النقاط'!E27," ")</f>
        <v>12.5</v>
      </c>
      <c r="F69" s="72">
        <f>IF('كشف النقاط'!E70&gt;0,'كشف النقاط'!E70," ")</f>
        <v>11.25</v>
      </c>
      <c r="G69" s="72">
        <f>IF('كشف النقاط'!E113&gt;0,'كشف النقاط'!E113," ")</f>
        <v>8</v>
      </c>
      <c r="H69" s="72">
        <f>IF('كشف النقاط'!E157&gt;0,'كشف النقاط'!E157," ")</f>
        <v>6</v>
      </c>
      <c r="I69" s="72">
        <f>IF('كشف النقاط'!E201&gt;0,'كشف النقاط'!E201," ")</f>
        <v>14</v>
      </c>
      <c r="J69" s="72">
        <f>IF('كشف النقاط'!E245&gt;0,'كشف النقاط'!E245," ")</f>
        <v>12</v>
      </c>
      <c r="K69" s="72">
        <f>IF('كشف النقاط'!E290&gt;0,'كشف النقاط'!E290," ")</f>
        <v>7</v>
      </c>
      <c r="M69" s="74"/>
    </row>
    <row r="70" spans="1:13" ht="18.75" customHeight="1">
      <c r="A70" s="38">
        <v>21</v>
      </c>
      <c r="B70" s="142" t="str">
        <f>IF('كشف النقاط'!B28&gt;0,'كشف النقاط'!B28," ")</f>
        <v> </v>
      </c>
      <c r="C70" s="142" t="str">
        <f>IF('كشف النقاط'!C28&gt;0,'كشف النقاط'!C28," ")</f>
        <v> </v>
      </c>
      <c r="D70" s="76" t="str">
        <f>IF('كشف النقاط'!D28&gt;0,'كشف النقاط'!D28," ")</f>
        <v> </v>
      </c>
      <c r="E70" s="72" t="str">
        <f>IF('كشف النقاط'!E28&gt;0,'كشف النقاط'!E28," ")</f>
        <v> </v>
      </c>
      <c r="F70" s="72" t="str">
        <f>IF('كشف النقاط'!E71&gt;0,'كشف النقاط'!E71," ")</f>
        <v> </v>
      </c>
      <c r="G70" s="72" t="str">
        <f>IF('كشف النقاط'!E114&gt;0,'كشف النقاط'!E114," ")</f>
        <v> </v>
      </c>
      <c r="H70" s="72" t="str">
        <f>IF('كشف النقاط'!E158&gt;0,'كشف النقاط'!E158," ")</f>
        <v> </v>
      </c>
      <c r="I70" s="72" t="str">
        <f>IF('كشف النقاط'!E202&gt;0,'كشف النقاط'!E202," ")</f>
        <v> </v>
      </c>
      <c r="J70" s="72" t="str">
        <f>IF('كشف النقاط'!E246&gt;0,'كشف النقاط'!E246," ")</f>
        <v> </v>
      </c>
      <c r="K70" s="72" t="str">
        <f>IF('كشف النقاط'!E291&gt;0,'كشف النقاط'!E291," ")</f>
        <v> </v>
      </c>
      <c r="M70" s="74"/>
    </row>
    <row r="71" spans="1:13" ht="17.25" customHeight="1">
      <c r="A71" s="38">
        <v>22</v>
      </c>
      <c r="B71" s="142" t="str">
        <f>IF('كشف النقاط'!B29&gt;0,'كشف النقاط'!B29," ")</f>
        <v> </v>
      </c>
      <c r="C71" s="142" t="str">
        <f>IF('كشف النقاط'!C29&gt;0,'كشف النقاط'!C29," ")</f>
        <v> </v>
      </c>
      <c r="D71" s="76" t="str">
        <f>IF('كشف النقاط'!D29&gt;0,'كشف النقاط'!D29," ")</f>
        <v> </v>
      </c>
      <c r="E71" s="72" t="str">
        <f>IF('كشف النقاط'!E29&gt;0,'كشف النقاط'!E29," ")</f>
        <v> </v>
      </c>
      <c r="F71" s="72" t="str">
        <f>IF('كشف النقاط'!E72&gt;0,'كشف النقاط'!E72," ")</f>
        <v> </v>
      </c>
      <c r="G71" s="72" t="str">
        <f>IF('كشف النقاط'!E115&gt;0,'كشف النقاط'!E115," ")</f>
        <v> </v>
      </c>
      <c r="H71" s="72" t="str">
        <f>IF('كشف النقاط'!E159&gt;0,'كشف النقاط'!E159," ")</f>
        <v> </v>
      </c>
      <c r="I71" s="72" t="str">
        <f>IF('كشف النقاط'!E203&gt;0,'كشف النقاط'!E203," ")</f>
        <v> </v>
      </c>
      <c r="J71" s="72" t="str">
        <f>IF('كشف النقاط'!E247&gt;0,'كشف النقاط'!E247," ")</f>
        <v> </v>
      </c>
      <c r="K71" s="72" t="str">
        <f>IF('كشف النقاط'!E292&gt;0,'كشف النقاط'!E292," ")</f>
        <v> </v>
      </c>
      <c r="M71" s="74"/>
    </row>
    <row r="72" spans="1:13" ht="17.25" customHeight="1">
      <c r="A72" s="38">
        <v>23</v>
      </c>
      <c r="B72" s="142" t="str">
        <f>IF('كشف النقاط'!B30&gt;0,'كشف النقاط'!B30," ")</f>
        <v> </v>
      </c>
      <c r="C72" s="142" t="str">
        <f>IF('كشف النقاط'!C30&gt;0,'كشف النقاط'!C30," ")</f>
        <v> </v>
      </c>
      <c r="D72" s="76" t="str">
        <f>IF('كشف النقاط'!D30&gt;0,'كشف النقاط'!D30," ")</f>
        <v> </v>
      </c>
      <c r="E72" s="72" t="str">
        <f>IF('كشف النقاط'!E30&gt;0,'كشف النقاط'!E30," ")</f>
        <v> </v>
      </c>
      <c r="F72" s="72" t="str">
        <f>IF('كشف النقاط'!E73&gt;0,'كشف النقاط'!E73," ")</f>
        <v> </v>
      </c>
      <c r="G72" s="72" t="str">
        <f>IF('كشف النقاط'!E116&gt;0,'كشف النقاط'!E116," ")</f>
        <v> </v>
      </c>
      <c r="H72" s="72" t="str">
        <f>IF('كشف النقاط'!E160&gt;0,'كشف النقاط'!E160," ")</f>
        <v> </v>
      </c>
      <c r="I72" s="72" t="str">
        <f>IF('كشف النقاط'!E204&gt;0,'كشف النقاط'!E204," ")</f>
        <v> </v>
      </c>
      <c r="J72" s="72" t="str">
        <f>IF('كشف النقاط'!E248&gt;0,'كشف النقاط'!E248," ")</f>
        <v> </v>
      </c>
      <c r="K72" s="72" t="str">
        <f>IF('كشف النقاط'!E293&gt;0,'كشف النقاط'!E293," ")</f>
        <v> </v>
      </c>
      <c r="M72" s="74"/>
    </row>
    <row r="73" spans="1:13" ht="17.25" customHeight="1">
      <c r="A73" s="38">
        <v>24</v>
      </c>
      <c r="B73" s="142" t="str">
        <f>IF('كشف النقاط'!B31&gt;0,'كشف النقاط'!B31," ")</f>
        <v> </v>
      </c>
      <c r="C73" s="142" t="str">
        <f>IF('كشف النقاط'!C31&gt;0,'كشف النقاط'!C31," ")</f>
        <v> </v>
      </c>
      <c r="D73" s="76" t="str">
        <f>IF('كشف النقاط'!D31&gt;0,'كشف النقاط'!D31," ")</f>
        <v> </v>
      </c>
      <c r="E73" s="72" t="str">
        <f>IF('كشف النقاط'!E31&gt;0,'كشف النقاط'!E31," ")</f>
        <v> </v>
      </c>
      <c r="F73" s="72" t="str">
        <f>IF('كشف النقاط'!E74&gt;0,'كشف النقاط'!E74," ")</f>
        <v> </v>
      </c>
      <c r="G73" s="72" t="str">
        <f>IF('كشف النقاط'!E117&gt;0,'كشف النقاط'!E117," ")</f>
        <v> </v>
      </c>
      <c r="H73" s="72" t="str">
        <f>IF('كشف النقاط'!E161&gt;0,'كشف النقاط'!E161," ")</f>
        <v> </v>
      </c>
      <c r="I73" s="72" t="str">
        <f>IF('كشف النقاط'!E205&gt;0,'كشف النقاط'!E205," ")</f>
        <v> </v>
      </c>
      <c r="J73" s="72" t="str">
        <f>IF('كشف النقاط'!E249&gt;0,'كشف النقاط'!E249," ")</f>
        <v> </v>
      </c>
      <c r="K73" s="72" t="str">
        <f>IF('كشف النقاط'!E294&gt;0,'كشف النقاط'!E294," ")</f>
        <v> </v>
      </c>
      <c r="M73" s="74"/>
    </row>
    <row r="74" spans="1:13" ht="17.25" customHeight="1">
      <c r="A74" s="38">
        <v>25</v>
      </c>
      <c r="B74" s="142" t="str">
        <f>IF('كشف النقاط'!B32&gt;0,'كشف النقاط'!B32," ")</f>
        <v> </v>
      </c>
      <c r="C74" s="142" t="str">
        <f>IF('كشف النقاط'!C32&gt;0,'كشف النقاط'!C32," ")</f>
        <v> </v>
      </c>
      <c r="D74" s="76" t="str">
        <f>IF('كشف النقاط'!D32&gt;0,'كشف النقاط'!D32," ")</f>
        <v> </v>
      </c>
      <c r="E74" s="72" t="str">
        <f>IF('كشف النقاط'!E32&gt;0,'كشف النقاط'!E32," ")</f>
        <v> </v>
      </c>
      <c r="F74" s="72" t="str">
        <f>IF('كشف النقاط'!E75&gt;0,'كشف النقاط'!E75," ")</f>
        <v> </v>
      </c>
      <c r="G74" s="72" t="str">
        <f>IF('كشف النقاط'!E118&gt;0,'كشف النقاط'!E118," ")</f>
        <v> </v>
      </c>
      <c r="H74" s="72" t="str">
        <f>IF('كشف النقاط'!E162&gt;0,'كشف النقاط'!E162," ")</f>
        <v> </v>
      </c>
      <c r="I74" s="72" t="str">
        <f>IF('كشف النقاط'!E206&gt;0,'كشف النقاط'!E206," ")</f>
        <v> </v>
      </c>
      <c r="J74" s="72" t="str">
        <f>IF('كشف النقاط'!E250&gt;0,'كشف النقاط'!E250," ")</f>
        <v> </v>
      </c>
      <c r="K74" s="72" t="str">
        <f>IF('كشف النقاط'!E295&gt;0,'كشف النقاط'!E295," ")</f>
        <v> </v>
      </c>
      <c r="M74" s="74"/>
    </row>
    <row r="75" spans="1:13" ht="17.25" customHeight="1">
      <c r="A75" s="38">
        <v>26</v>
      </c>
      <c r="B75" s="142" t="str">
        <f>IF('كشف النقاط'!B33&gt;0,'كشف النقاط'!B33," ")</f>
        <v> </v>
      </c>
      <c r="C75" s="142" t="str">
        <f>IF('كشف النقاط'!C33&gt;0,'كشف النقاط'!C33," ")</f>
        <v> </v>
      </c>
      <c r="D75" s="76" t="str">
        <f>IF('كشف النقاط'!D33&gt;0,'كشف النقاط'!D33," ")</f>
        <v> </v>
      </c>
      <c r="E75" s="72" t="str">
        <f>IF('كشف النقاط'!E33&gt;0,'كشف النقاط'!E33," ")</f>
        <v> </v>
      </c>
      <c r="F75" s="72" t="str">
        <f>IF('كشف النقاط'!E76&gt;0,'كشف النقاط'!E76," ")</f>
        <v> </v>
      </c>
      <c r="G75" s="72" t="str">
        <f>IF('كشف النقاط'!E119&gt;0,'كشف النقاط'!E119," ")</f>
        <v> </v>
      </c>
      <c r="H75" s="72" t="str">
        <f>IF('كشف النقاط'!E163&gt;0,'كشف النقاط'!E163," ")</f>
        <v> </v>
      </c>
      <c r="I75" s="72" t="str">
        <f>IF('كشف النقاط'!E207&gt;0,'كشف النقاط'!E207," ")</f>
        <v> </v>
      </c>
      <c r="J75" s="72" t="str">
        <f>IF('كشف النقاط'!E251&gt;0,'كشف النقاط'!E251," ")</f>
        <v> </v>
      </c>
      <c r="K75" s="72" t="str">
        <f>IF('كشف النقاط'!E296&gt;0,'كشف النقاط'!E296," ")</f>
        <v> </v>
      </c>
      <c r="M75" s="74"/>
    </row>
    <row r="76" spans="1:11" ht="17.25" customHeight="1">
      <c r="A76" s="38">
        <v>27</v>
      </c>
      <c r="B76" s="142" t="str">
        <f>IF('كشف النقاط'!B34&gt;0,'كشف النقاط'!B34," ")</f>
        <v> </v>
      </c>
      <c r="C76" s="142" t="str">
        <f>IF('كشف النقاط'!C34&gt;0,'كشف النقاط'!C34," ")</f>
        <v> </v>
      </c>
      <c r="D76" s="76" t="str">
        <f>IF('كشف النقاط'!D34&gt;0,'كشف النقاط'!D34," ")</f>
        <v> </v>
      </c>
      <c r="E76" s="30"/>
      <c r="F76" s="30"/>
      <c r="G76" s="30"/>
      <c r="H76" s="30"/>
      <c r="I76" s="30"/>
      <c r="J76" s="30"/>
      <c r="K76" s="30"/>
    </row>
    <row r="77" spans="1:11" ht="17.25" customHeight="1">
      <c r="A77" s="38">
        <v>28</v>
      </c>
      <c r="B77" s="142" t="str">
        <f>IF('كشف النقاط'!B35&gt;0,'كشف النقاط'!B35," ")</f>
        <v> </v>
      </c>
      <c r="C77" s="142" t="str">
        <f>IF('كشف النقاط'!C35&gt;0,'كشف النقاط'!C35," ")</f>
        <v> </v>
      </c>
      <c r="D77" s="76" t="str">
        <f>IF('كشف النقاط'!D35&gt;0,'كشف النقاط'!D35," ")</f>
        <v> </v>
      </c>
      <c r="E77" s="30"/>
      <c r="F77" s="30"/>
      <c r="G77" s="30"/>
      <c r="H77" s="30"/>
      <c r="I77" s="30"/>
      <c r="J77" s="30"/>
      <c r="K77" s="30"/>
    </row>
    <row r="78" spans="1:11" ht="17.25" customHeight="1">
      <c r="A78" s="38">
        <v>29</v>
      </c>
      <c r="B78" s="142" t="str">
        <f>IF('كشف النقاط'!B36&gt;0,'كشف النقاط'!B36," ")</f>
        <v> </v>
      </c>
      <c r="C78" s="142" t="str">
        <f>IF('كشف النقاط'!C36&gt;0,'كشف النقاط'!C36," ")</f>
        <v> </v>
      </c>
      <c r="D78" s="76" t="str">
        <f>IF('كشف النقاط'!D36&gt;0,'كشف النقاط'!D36," ")</f>
        <v> </v>
      </c>
      <c r="E78" s="30"/>
      <c r="F78" s="30"/>
      <c r="G78" s="30"/>
      <c r="H78" s="30"/>
      <c r="I78" s="30"/>
      <c r="J78" s="30"/>
      <c r="K78" s="30"/>
    </row>
    <row r="79" spans="1:11" ht="17.25" customHeight="1">
      <c r="A79" s="38">
        <v>30</v>
      </c>
      <c r="B79" s="142" t="str">
        <f>IF('كشف النقاط'!B37&gt;0,'كشف النقاط'!B37," ")</f>
        <v> </v>
      </c>
      <c r="C79" s="142" t="str">
        <f>IF('كشف النقاط'!C37&gt;0,'كشف النقاط'!C37," ")</f>
        <v> </v>
      </c>
      <c r="D79" s="76" t="str">
        <f>IF('كشف النقاط'!D37&gt;0,'كشف النقاط'!D37," ")</f>
        <v> </v>
      </c>
      <c r="E79" s="30"/>
      <c r="F79" s="30"/>
      <c r="G79" s="30"/>
      <c r="H79" s="30"/>
      <c r="I79" s="30"/>
      <c r="J79" s="30"/>
      <c r="K79" s="30"/>
    </row>
    <row r="80" spans="1:11" ht="16.5" customHeight="1">
      <c r="A80" s="38">
        <v>31</v>
      </c>
      <c r="B80" s="142" t="str">
        <f>IF('كشف النقاط'!B38&gt;0,'كشف النقاط'!B38," ")</f>
        <v> </v>
      </c>
      <c r="C80" s="142" t="str">
        <f>IF('كشف النقاط'!C38&gt;0,'كشف النقاط'!C38," ")</f>
        <v> </v>
      </c>
      <c r="D80" s="76" t="str">
        <f>IF('كشف النقاط'!D38&gt;0,'كشف النقاط'!D38," ")</f>
        <v> </v>
      </c>
      <c r="E80" s="30"/>
      <c r="F80" s="30"/>
      <c r="G80" s="30"/>
      <c r="H80" s="30"/>
      <c r="I80" s="30"/>
      <c r="J80" s="30"/>
      <c r="K80" s="30"/>
    </row>
    <row r="81" spans="2:3" ht="18">
      <c r="B81" s="693">
        <f ca="1">TODAY()</f>
        <v>43188</v>
      </c>
      <c r="C81" s="693"/>
    </row>
    <row r="83" spans="1:13" ht="18">
      <c r="A83" s="10" t="s">
        <v>19</v>
      </c>
      <c r="I83" s="19" t="str">
        <f>I1</f>
        <v>السنة أولى ماستر إقتصاد نقدي وبنكي</v>
      </c>
      <c r="L83" s="61"/>
      <c r="M83" s="61"/>
    </row>
    <row r="84" spans="1:9" ht="18">
      <c r="A84" s="10" t="s">
        <v>20</v>
      </c>
      <c r="I84" s="10" t="s">
        <v>194</v>
      </c>
    </row>
    <row r="85" spans="1:9" ht="18">
      <c r="A85" s="10" t="s">
        <v>4</v>
      </c>
      <c r="I85" s="196" t="str">
        <f>I4</f>
        <v>2018/2017</v>
      </c>
    </row>
    <row r="86" ht="18">
      <c r="J86" s="126"/>
    </row>
    <row r="87" spans="2:10" ht="18">
      <c r="B87" s="19" t="s">
        <v>33</v>
      </c>
      <c r="G87" s="10" t="s">
        <v>36</v>
      </c>
      <c r="H87" s="19"/>
      <c r="I87" s="10"/>
      <c r="J87" s="181"/>
    </row>
    <row r="89" spans="1:14" ht="48" customHeight="1">
      <c r="A89" s="65" t="s">
        <v>34</v>
      </c>
      <c r="B89" s="255" t="s">
        <v>163</v>
      </c>
      <c r="C89" s="255" t="s">
        <v>164</v>
      </c>
      <c r="D89" s="67"/>
      <c r="E89" s="660" t="s">
        <v>192</v>
      </c>
      <c r="F89" s="664"/>
      <c r="G89" s="662"/>
      <c r="H89" s="663"/>
      <c r="I89" s="662"/>
      <c r="J89" s="662"/>
      <c r="K89" s="662"/>
      <c r="M89" s="111"/>
      <c r="N89" s="111"/>
    </row>
    <row r="90" spans="1:14" ht="18.75" customHeight="1">
      <c r="A90" s="38">
        <v>1</v>
      </c>
      <c r="B90" s="142" t="str">
        <f>IF('كشف النقاط'!B8&gt;0,'كشف النقاط'!B8," ")</f>
        <v>الحاج </v>
      </c>
      <c r="C90" s="142" t="str">
        <f>IF('كشف النقاط'!C8&gt;0,'كشف النقاط'!C8," ")</f>
        <v>مروة</v>
      </c>
      <c r="D90" s="76" t="str">
        <f>IF('كشف النقاط'!D8&gt;0,'كشف النقاط'!D8," ")</f>
        <v> </v>
      </c>
      <c r="E90" s="661" t="str">
        <f>IF('كشف النقاط'!E356&gt;0,'كشف النقاط'!E356," ")</f>
        <v> </v>
      </c>
      <c r="F90" s="665"/>
      <c r="G90" s="95"/>
      <c r="H90" s="95"/>
      <c r="I90" s="95"/>
      <c r="J90" s="95"/>
      <c r="K90" s="95"/>
      <c r="M90" s="112"/>
      <c r="N90" s="113"/>
    </row>
    <row r="91" spans="1:14" ht="18.75" customHeight="1">
      <c r="A91" s="38">
        <v>2</v>
      </c>
      <c r="B91" s="142" t="str">
        <f>IF('كشف النقاط'!B9&gt;0,'كشف النقاط'!B9," ")</f>
        <v>العياشي </v>
      </c>
      <c r="C91" s="142" t="str">
        <f>IF('كشف النقاط'!C9&gt;0,'كشف النقاط'!C9," ")</f>
        <v>نوار</v>
      </c>
      <c r="D91" s="76" t="str">
        <f>IF('كشف النقاط'!D9&gt;0,'كشف النقاط'!D9," ")</f>
        <v> </v>
      </c>
      <c r="E91" s="661" t="str">
        <f>IF('كشف النقاط'!E357&gt;0,'كشف النقاط'!E357," ")</f>
        <v> </v>
      </c>
      <c r="F91" s="665"/>
      <c r="G91" s="95"/>
      <c r="H91" s="95"/>
      <c r="I91" s="95"/>
      <c r="J91" s="95"/>
      <c r="K91" s="95"/>
      <c r="M91" s="112"/>
      <c r="N91" s="113"/>
    </row>
    <row r="92" spans="1:14" ht="18.75" customHeight="1">
      <c r="A92" s="38">
        <v>3</v>
      </c>
      <c r="B92" s="142" t="str">
        <f>IF('كشف النقاط'!B10&gt;0,'كشف النقاط'!B10," ")</f>
        <v>باطح </v>
      </c>
      <c r="C92" s="142" t="str">
        <f>IF('كشف النقاط'!C10&gt;0,'كشف النقاط'!C10," ")</f>
        <v>محمد لمين</v>
      </c>
      <c r="D92" s="76" t="str">
        <f>IF('كشف النقاط'!D10&gt;0,'كشف النقاط'!D10," ")</f>
        <v> </v>
      </c>
      <c r="E92" s="661" t="str">
        <f>IF('كشف النقاط'!E358&gt;0,'كشف النقاط'!E358," ")</f>
        <v> </v>
      </c>
      <c r="F92" s="665"/>
      <c r="G92" s="95"/>
      <c r="H92" s="95"/>
      <c r="I92" s="95"/>
      <c r="J92" s="95"/>
      <c r="K92" s="95"/>
      <c r="M92" s="112"/>
      <c r="N92" s="113"/>
    </row>
    <row r="93" spans="1:14" ht="18.75" customHeight="1">
      <c r="A93" s="38">
        <v>4</v>
      </c>
      <c r="B93" s="142" t="str">
        <f>IF('كشف النقاط'!B11&gt;0,'كشف النقاط'!B11," ")</f>
        <v>بوساحة </v>
      </c>
      <c r="C93" s="142" t="str">
        <f>IF('كشف النقاط'!C11&gt;0,'كشف النقاط'!C11," ")</f>
        <v>حسام الدين</v>
      </c>
      <c r="D93" s="76" t="str">
        <f>IF('كشف النقاط'!D11&gt;0,'كشف النقاط'!D11," ")</f>
        <v> </v>
      </c>
      <c r="E93" s="661" t="str">
        <f>IF('كشف النقاط'!E359&gt;0,'كشف النقاط'!E359," ")</f>
        <v> </v>
      </c>
      <c r="F93" s="665"/>
      <c r="G93" s="95"/>
      <c r="H93" s="95"/>
      <c r="I93" s="95"/>
      <c r="J93" s="95"/>
      <c r="K93" s="95"/>
      <c r="M93" s="112"/>
      <c r="N93" s="113"/>
    </row>
    <row r="94" spans="1:14" ht="18.75" customHeight="1">
      <c r="A94" s="38">
        <v>5</v>
      </c>
      <c r="B94" s="142" t="str">
        <f>IF('كشف النقاط'!B12&gt;0,'كشف النقاط'!B12," ")</f>
        <v>بوسالم </v>
      </c>
      <c r="C94" s="142" t="str">
        <f>IF('كشف النقاط'!C12&gt;0,'كشف النقاط'!C12," ")</f>
        <v>محمد وليد</v>
      </c>
      <c r="D94" s="76" t="str">
        <f>IF('كشف النقاط'!D12&gt;0,'كشف النقاط'!D12," ")</f>
        <v> </v>
      </c>
      <c r="E94" s="661" t="str">
        <f>IF('كشف النقاط'!E360&gt;0,'كشف النقاط'!E360," ")</f>
        <v> </v>
      </c>
      <c r="F94" s="665"/>
      <c r="G94" s="95"/>
      <c r="H94" s="95"/>
      <c r="I94" s="95"/>
      <c r="J94" s="95"/>
      <c r="K94" s="95"/>
      <c r="M94" s="112"/>
      <c r="N94" s="113"/>
    </row>
    <row r="95" spans="1:14" ht="18.75" customHeight="1">
      <c r="A95" s="38">
        <v>6</v>
      </c>
      <c r="B95" s="142" t="str">
        <f>IF('كشف النقاط'!B13&gt;0,'كشف النقاط'!B13," ")</f>
        <v>بوعروج </v>
      </c>
      <c r="C95" s="142" t="str">
        <f>IF('كشف النقاط'!C13&gt;0,'كشف النقاط'!C13," ")</f>
        <v>نسيمة</v>
      </c>
      <c r="D95" s="76" t="str">
        <f>IF('كشف النقاط'!D13&gt;0,'كشف النقاط'!D13," ")</f>
        <v> </v>
      </c>
      <c r="E95" s="661" t="str">
        <f>IF('كشف النقاط'!E361&gt;0,'كشف النقاط'!E361," ")</f>
        <v> </v>
      </c>
      <c r="F95" s="665"/>
      <c r="G95" s="95"/>
      <c r="H95" s="95"/>
      <c r="I95" s="95"/>
      <c r="J95" s="95"/>
      <c r="K95" s="95"/>
      <c r="M95" s="112"/>
      <c r="N95" s="113"/>
    </row>
    <row r="96" spans="1:14" ht="18.75" customHeight="1">
      <c r="A96" s="38">
        <v>7</v>
      </c>
      <c r="B96" s="142" t="str">
        <f>IF('كشف النقاط'!B14&gt;0,'كشف النقاط'!B14," ")</f>
        <v>بولعيد </v>
      </c>
      <c r="C96" s="142" t="str">
        <f>IF('كشف النقاط'!C14&gt;0,'كشف النقاط'!C14," ")</f>
        <v>مريم</v>
      </c>
      <c r="D96" s="76" t="str">
        <f>IF('كشف النقاط'!D14&gt;0,'كشف النقاط'!D14," ")</f>
        <v> </v>
      </c>
      <c r="E96" s="661" t="str">
        <f>IF('كشف النقاط'!E362&gt;0,'كشف النقاط'!E362," ")</f>
        <v> </v>
      </c>
      <c r="F96" s="665"/>
      <c r="G96" s="95"/>
      <c r="H96" s="95"/>
      <c r="I96" s="95"/>
      <c r="J96" s="95"/>
      <c r="K96" s="95"/>
      <c r="M96" s="112"/>
      <c r="N96" s="113"/>
    </row>
    <row r="97" spans="1:14" ht="18.75" customHeight="1">
      <c r="A97" s="38">
        <v>8</v>
      </c>
      <c r="B97" s="142" t="str">
        <f>IF('كشف النقاط'!B15&gt;0,'كشف النقاط'!B15," ")</f>
        <v>خاوة </v>
      </c>
      <c r="C97" s="142" t="str">
        <f>IF('كشف النقاط'!C15&gt;0,'كشف النقاط'!C15," ")</f>
        <v>أسماء</v>
      </c>
      <c r="D97" s="76" t="str">
        <f>IF('كشف النقاط'!D15&gt;0,'كشف النقاط'!D15," ")</f>
        <v> </v>
      </c>
      <c r="E97" s="661" t="str">
        <f>IF('كشف النقاط'!E363&gt;0,'كشف النقاط'!E363," ")</f>
        <v> </v>
      </c>
      <c r="F97" s="665"/>
      <c r="G97" s="95"/>
      <c r="H97" s="95"/>
      <c r="I97" s="95"/>
      <c r="J97" s="95"/>
      <c r="K97" s="95"/>
      <c r="M97" s="112"/>
      <c r="N97" s="113"/>
    </row>
    <row r="98" spans="1:14" ht="18.75" customHeight="1">
      <c r="A98" s="38">
        <v>9</v>
      </c>
      <c r="B98" s="142" t="str">
        <f>IF('كشف النقاط'!B16&gt;0,'كشف النقاط'!B16," ")</f>
        <v>زغلاني </v>
      </c>
      <c r="C98" s="142" t="str">
        <f>IF('كشف النقاط'!C16&gt;0,'كشف النقاط'!C16," ")</f>
        <v>ساعد</v>
      </c>
      <c r="D98" s="76" t="str">
        <f>IF('كشف النقاط'!D16&gt;0,'كشف النقاط'!D16," ")</f>
        <v> </v>
      </c>
      <c r="E98" s="661" t="str">
        <f>IF('كشف النقاط'!E364&gt;0,'كشف النقاط'!E364," ")</f>
        <v> </v>
      </c>
      <c r="F98" s="665"/>
      <c r="G98" s="95"/>
      <c r="H98" s="95"/>
      <c r="I98" s="95"/>
      <c r="J98" s="95"/>
      <c r="K98" s="95"/>
      <c r="M98" s="112"/>
      <c r="N98" s="113"/>
    </row>
    <row r="99" spans="1:14" ht="18.75" customHeight="1">
      <c r="A99" s="38">
        <v>10</v>
      </c>
      <c r="B99" s="142" t="str">
        <f>IF('كشف النقاط'!B17&gt;0,'كشف النقاط'!B17," ")</f>
        <v>زياني </v>
      </c>
      <c r="C99" s="142" t="str">
        <f>IF('كشف النقاط'!C17&gt;0,'كشف النقاط'!C17," ")</f>
        <v>أميرة</v>
      </c>
      <c r="D99" s="76" t="str">
        <f>IF('كشف النقاط'!D17&gt;0,'كشف النقاط'!D17," ")</f>
        <v> </v>
      </c>
      <c r="E99" s="661" t="str">
        <f>IF('كشف النقاط'!E365&gt;0,'كشف النقاط'!E365," ")</f>
        <v> </v>
      </c>
      <c r="F99" s="665"/>
      <c r="G99" s="95"/>
      <c r="H99" s="95"/>
      <c r="I99" s="95"/>
      <c r="J99" s="95"/>
      <c r="K99" s="95"/>
      <c r="M99" s="112"/>
      <c r="N99" s="113"/>
    </row>
    <row r="100" spans="1:14" ht="18.75" customHeight="1">
      <c r="A100" s="38">
        <v>11</v>
      </c>
      <c r="B100" s="142" t="str">
        <f>IF('كشف النقاط'!B18&gt;0,'كشف النقاط'!B18," ")</f>
        <v>شلابي </v>
      </c>
      <c r="C100" s="142" t="str">
        <f>IF('كشف النقاط'!C18&gt;0,'كشف النقاط'!C18," ")</f>
        <v>هاجر</v>
      </c>
      <c r="D100" s="76" t="str">
        <f>IF('كشف النقاط'!D18&gt;0,'كشف النقاط'!D18," ")</f>
        <v> </v>
      </c>
      <c r="E100" s="661" t="str">
        <f>IF('كشف النقاط'!E366&gt;0,'كشف النقاط'!E366," ")</f>
        <v> </v>
      </c>
      <c r="F100" s="665"/>
      <c r="G100" s="95"/>
      <c r="H100" s="95"/>
      <c r="I100" s="95"/>
      <c r="J100" s="95"/>
      <c r="K100" s="95"/>
      <c r="M100" s="112"/>
      <c r="N100" s="113"/>
    </row>
    <row r="101" spans="1:14" ht="18.75" customHeight="1">
      <c r="A101" s="38">
        <v>12</v>
      </c>
      <c r="B101" s="142" t="str">
        <f>IF('كشف النقاط'!B19&gt;0,'كشف النقاط'!B19," ")</f>
        <v>صولي </v>
      </c>
      <c r="C101" s="142" t="str">
        <f>IF('كشف النقاط'!C19&gt;0,'كشف النقاط'!C19," ")</f>
        <v>هشام</v>
      </c>
      <c r="D101" s="76" t="str">
        <f>IF('كشف النقاط'!D19&gt;0,'كشف النقاط'!D19," ")</f>
        <v> </v>
      </c>
      <c r="E101" s="661" t="str">
        <f>IF('كشف النقاط'!E367&gt;0,'كشف النقاط'!E367," ")</f>
        <v> </v>
      </c>
      <c r="F101" s="665"/>
      <c r="G101" s="95"/>
      <c r="H101" s="95"/>
      <c r="I101" s="95"/>
      <c r="J101" s="95"/>
      <c r="K101" s="95"/>
      <c r="M101" s="112"/>
      <c r="N101" s="113"/>
    </row>
    <row r="102" spans="1:14" ht="18.75" customHeight="1">
      <c r="A102" s="38">
        <v>13</v>
      </c>
      <c r="B102" s="142" t="str">
        <f>IF('كشف النقاط'!B20&gt;0,'كشف النقاط'!B20," ")</f>
        <v>عطيل</v>
      </c>
      <c r="C102" s="142" t="str">
        <f>IF('كشف النقاط'!C20&gt;0,'كشف النقاط'!C20," ")</f>
        <v>آسيا</v>
      </c>
      <c r="D102" s="76" t="str">
        <f>IF('كشف النقاط'!D20&gt;0,'كشف النقاط'!D20," ")</f>
        <v> </v>
      </c>
      <c r="E102" s="661" t="str">
        <f>IF('كشف النقاط'!E368&gt;0,'كشف النقاط'!E368," ")</f>
        <v> </v>
      </c>
      <c r="F102" s="665"/>
      <c r="G102" s="95"/>
      <c r="H102" s="95"/>
      <c r="I102" s="95"/>
      <c r="J102" s="95"/>
      <c r="K102" s="95"/>
      <c r="M102" s="112"/>
      <c r="N102" s="113"/>
    </row>
    <row r="103" spans="1:14" ht="18.75" customHeight="1">
      <c r="A103" s="38">
        <v>14</v>
      </c>
      <c r="B103" s="142" t="str">
        <f>IF('كشف النقاط'!B21&gt;0,'كشف النقاط'!B21," ")</f>
        <v>عيدود </v>
      </c>
      <c r="C103" s="142" t="str">
        <f>IF('كشف النقاط'!C21&gt;0,'كشف النقاط'!C21," ")</f>
        <v>صبرينة</v>
      </c>
      <c r="D103" s="76" t="str">
        <f>IF('كشف النقاط'!D21&gt;0,'كشف النقاط'!D21," ")</f>
        <v> </v>
      </c>
      <c r="E103" s="661" t="str">
        <f>IF('كشف النقاط'!E369&gt;0,'كشف النقاط'!E369," ")</f>
        <v> </v>
      </c>
      <c r="F103" s="665"/>
      <c r="G103" s="95"/>
      <c r="H103" s="95"/>
      <c r="I103" s="95"/>
      <c r="J103" s="95"/>
      <c r="K103" s="95"/>
      <c r="M103" s="112"/>
      <c r="N103" s="113"/>
    </row>
    <row r="104" spans="1:14" ht="18.75" customHeight="1">
      <c r="A104" s="38">
        <v>15</v>
      </c>
      <c r="B104" s="142" t="str">
        <f>IF('كشف النقاط'!B22&gt;0,'كشف النقاط'!B22," ")</f>
        <v>قايدي </v>
      </c>
      <c r="C104" s="142" t="str">
        <f>IF('كشف النقاط'!C22&gt;0,'كشف النقاط'!C22," ")</f>
        <v>مريم</v>
      </c>
      <c r="D104" s="76" t="str">
        <f>IF('كشف النقاط'!D22&gt;0,'كشف النقاط'!D22," ")</f>
        <v> </v>
      </c>
      <c r="E104" s="661" t="str">
        <f>IF('كشف النقاط'!E370&gt;0,'كشف النقاط'!E370," ")</f>
        <v> </v>
      </c>
      <c r="F104" s="665"/>
      <c r="G104" s="95"/>
      <c r="H104" s="95"/>
      <c r="I104" s="95"/>
      <c r="J104" s="95"/>
      <c r="K104" s="95"/>
      <c r="M104" s="112"/>
      <c r="N104" s="113"/>
    </row>
    <row r="105" spans="1:14" ht="18.75" customHeight="1">
      <c r="A105" s="38">
        <v>16</v>
      </c>
      <c r="B105" s="142" t="str">
        <f>IF('كشف النقاط'!B23&gt;0,'كشف النقاط'!B23," ")</f>
        <v>قرايفية </v>
      </c>
      <c r="C105" s="142" t="str">
        <f>IF('كشف النقاط'!C23&gt;0,'كشف النقاط'!C23," ")</f>
        <v>فؤاد</v>
      </c>
      <c r="D105" s="76" t="str">
        <f>IF('كشف النقاط'!D23&gt;0,'كشف النقاط'!D23," ")</f>
        <v> </v>
      </c>
      <c r="E105" s="661" t="str">
        <f>IF('كشف النقاط'!E371&gt;0,'كشف النقاط'!E371," ")</f>
        <v> </v>
      </c>
      <c r="F105" s="665"/>
      <c r="G105" s="95"/>
      <c r="H105" s="95"/>
      <c r="I105" s="95"/>
      <c r="J105" s="95"/>
      <c r="K105" s="95"/>
      <c r="M105" s="112"/>
      <c r="N105" s="113"/>
    </row>
    <row r="106" spans="1:14" ht="18.75" customHeight="1">
      <c r="A106" s="38">
        <v>17</v>
      </c>
      <c r="B106" s="142" t="str">
        <f>IF('كشف النقاط'!B24&gt;0,'كشف النقاط'!B24," ")</f>
        <v>قوادرية</v>
      </c>
      <c r="C106" s="142" t="str">
        <f>IF('كشف النقاط'!C24&gt;0,'كشف النقاط'!C24," ")</f>
        <v>مريم</v>
      </c>
      <c r="D106" s="76" t="str">
        <f>IF('كشف النقاط'!D24&gt;0,'كشف النقاط'!D24," ")</f>
        <v> </v>
      </c>
      <c r="E106" s="661" t="str">
        <f>IF('كشف النقاط'!E372&gt;0,'كشف النقاط'!E372," ")</f>
        <v> </v>
      </c>
      <c r="F106" s="665"/>
      <c r="G106" s="95"/>
      <c r="H106" s="95"/>
      <c r="I106" s="95"/>
      <c r="J106" s="95"/>
      <c r="K106" s="95"/>
      <c r="M106" s="112"/>
      <c r="N106" s="113"/>
    </row>
    <row r="107" spans="1:14" ht="18.75" customHeight="1">
      <c r="A107" s="38">
        <v>18</v>
      </c>
      <c r="B107" s="142" t="str">
        <f>IF('كشف النقاط'!B25&gt;0,'كشف النقاط'!B25," ")</f>
        <v>محفوظ </v>
      </c>
      <c r="C107" s="142" t="str">
        <f>IF('كشف النقاط'!C25&gt;0,'كشف النقاط'!C25," ")</f>
        <v>بشرى</v>
      </c>
      <c r="D107" s="76" t="str">
        <f>IF('كشف النقاط'!D25&gt;0,'كشف النقاط'!D25," ")</f>
        <v> </v>
      </c>
      <c r="E107" s="661" t="str">
        <f>IF('كشف النقاط'!E373&gt;0,'كشف النقاط'!E373," ")</f>
        <v> </v>
      </c>
      <c r="F107" s="665"/>
      <c r="G107" s="95"/>
      <c r="H107" s="95"/>
      <c r="I107" s="95"/>
      <c r="J107" s="95"/>
      <c r="K107" s="95"/>
      <c r="M107" s="112"/>
      <c r="N107" s="113"/>
    </row>
    <row r="108" spans="1:14" ht="18.75" customHeight="1">
      <c r="A108" s="38">
        <v>19</v>
      </c>
      <c r="B108" s="142" t="str">
        <f>IF('كشف النقاط'!B26&gt;0,'كشف النقاط'!B26," ")</f>
        <v>مسطوري </v>
      </c>
      <c r="C108" s="142" t="str">
        <f>IF('كشف النقاط'!C26&gt;0,'كشف النقاط'!C26," ")</f>
        <v>سارة</v>
      </c>
      <c r="D108" s="76" t="str">
        <f>IF('كشف النقاط'!D26&gt;0,'كشف النقاط'!D26," ")</f>
        <v> </v>
      </c>
      <c r="E108" s="661" t="str">
        <f>IF('كشف النقاط'!E374&gt;0,'كشف النقاط'!E374," ")</f>
        <v> </v>
      </c>
      <c r="F108" s="665"/>
      <c r="G108" s="95"/>
      <c r="H108" s="95"/>
      <c r="I108" s="95"/>
      <c r="J108" s="95"/>
      <c r="K108" s="95"/>
      <c r="M108" s="112"/>
      <c r="N108" s="113"/>
    </row>
    <row r="109" spans="1:14" ht="18.75" customHeight="1">
      <c r="A109" s="38">
        <v>20</v>
      </c>
      <c r="B109" s="142" t="str">
        <f>IF('كشف النقاط'!B27&gt;0,'كشف النقاط'!B27," ")</f>
        <v>هداف </v>
      </c>
      <c r="C109" s="142" t="str">
        <f>IF('كشف النقاط'!C27&gt;0,'كشف النقاط'!C27," ")</f>
        <v>حياة</v>
      </c>
      <c r="D109" s="76" t="str">
        <f>IF('كشف النقاط'!D27&gt;0,'كشف النقاط'!D27," ")</f>
        <v> </v>
      </c>
      <c r="E109" s="661" t="str">
        <f>IF('كشف النقاط'!E375&gt;0,'كشف النقاط'!E375," ")</f>
        <v> </v>
      </c>
      <c r="F109" s="665"/>
      <c r="G109" s="95"/>
      <c r="H109" s="95"/>
      <c r="I109" s="95"/>
      <c r="J109" s="95"/>
      <c r="K109" s="95"/>
      <c r="M109" s="112"/>
      <c r="N109" s="113"/>
    </row>
    <row r="110" spans="1:14" ht="18.75" customHeight="1">
      <c r="A110" s="38">
        <v>21</v>
      </c>
      <c r="B110" s="142" t="str">
        <f>IF('كشف النقاط'!B28&gt;0,'كشف النقاط'!B28," ")</f>
        <v> </v>
      </c>
      <c r="C110" s="142" t="str">
        <f>IF('كشف النقاط'!C28&gt;0,'كشف النقاط'!C28," ")</f>
        <v> </v>
      </c>
      <c r="D110" s="76" t="str">
        <f>IF('كشف النقاط'!D28&gt;0,'كشف النقاط'!D28," ")</f>
        <v> </v>
      </c>
      <c r="E110" s="661" t="str">
        <f>IF('كشف النقاط'!E376&gt;0,'كشف النقاط'!E376," ")</f>
        <v> </v>
      </c>
      <c r="F110" s="665"/>
      <c r="G110" s="95"/>
      <c r="H110" s="95"/>
      <c r="I110" s="95"/>
      <c r="J110" s="95"/>
      <c r="K110" s="95"/>
      <c r="M110" s="112"/>
      <c r="N110" s="113"/>
    </row>
    <row r="111" spans="1:14" ht="17.25" customHeight="1">
      <c r="A111" s="38">
        <v>22</v>
      </c>
      <c r="B111" s="142" t="str">
        <f>IF('كشف النقاط'!B29&gt;0,'كشف النقاط'!B29," ")</f>
        <v> </v>
      </c>
      <c r="C111" s="142" t="str">
        <f>IF('كشف النقاط'!C29&gt;0,'كشف النقاط'!C29," ")</f>
        <v> </v>
      </c>
      <c r="D111" s="76" t="str">
        <f>IF('كشف النقاط'!D29&gt;0,'كشف النقاط'!D29," ")</f>
        <v> </v>
      </c>
      <c r="E111" s="661" t="str">
        <f>IF('كشف النقاط'!E377&gt;0,'كشف النقاط'!E377," ")</f>
        <v> </v>
      </c>
      <c r="F111" s="665"/>
      <c r="G111" s="95"/>
      <c r="H111" s="95"/>
      <c r="I111" s="95"/>
      <c r="J111" s="95"/>
      <c r="K111" s="95"/>
      <c r="M111" s="112"/>
      <c r="N111" s="113"/>
    </row>
    <row r="112" spans="1:14" ht="17.25" customHeight="1">
      <c r="A112" s="38">
        <v>23</v>
      </c>
      <c r="B112" s="142" t="str">
        <f>IF('كشف النقاط'!B30&gt;0,'كشف النقاط'!B30," ")</f>
        <v> </v>
      </c>
      <c r="C112" s="142" t="str">
        <f>IF('كشف النقاط'!C30&gt;0,'كشف النقاط'!C30," ")</f>
        <v> </v>
      </c>
      <c r="D112" s="76" t="str">
        <f>IF('كشف النقاط'!D30&gt;0,'كشف النقاط'!D30," ")</f>
        <v> </v>
      </c>
      <c r="E112" s="661" t="str">
        <f>IF('كشف النقاط'!E378&gt;0,'كشف النقاط'!E378," ")</f>
        <v> </v>
      </c>
      <c r="F112" s="665"/>
      <c r="G112" s="95"/>
      <c r="H112" s="95"/>
      <c r="I112" s="95"/>
      <c r="J112" s="95"/>
      <c r="K112" s="95"/>
      <c r="M112" s="112"/>
      <c r="N112" s="113"/>
    </row>
    <row r="113" spans="1:14" ht="17.25" customHeight="1">
      <c r="A113" s="38">
        <v>24</v>
      </c>
      <c r="B113" s="142" t="str">
        <f>IF('كشف النقاط'!B31&gt;0,'كشف النقاط'!B31," ")</f>
        <v> </v>
      </c>
      <c r="C113" s="142" t="str">
        <f>IF('كشف النقاط'!C31&gt;0,'كشف النقاط'!C31," ")</f>
        <v> </v>
      </c>
      <c r="D113" s="76" t="str">
        <f>IF('كشف النقاط'!D31&gt;0,'كشف النقاط'!D31," ")</f>
        <v> </v>
      </c>
      <c r="E113" s="661" t="str">
        <f>IF('كشف النقاط'!E379&gt;0,'كشف النقاط'!E379," ")</f>
        <v> </v>
      </c>
      <c r="F113" s="665"/>
      <c r="G113" s="95"/>
      <c r="H113" s="95"/>
      <c r="I113" s="95"/>
      <c r="J113" s="95"/>
      <c r="K113" s="95"/>
      <c r="M113" s="112"/>
      <c r="N113" s="113"/>
    </row>
    <row r="114" spans="1:14" ht="17.25" customHeight="1">
      <c r="A114" s="38">
        <v>25</v>
      </c>
      <c r="B114" s="142" t="str">
        <f>IF('كشف النقاط'!B32&gt;0,'كشف النقاط'!B32," ")</f>
        <v> </v>
      </c>
      <c r="C114" s="142" t="str">
        <f>IF('كشف النقاط'!C32&gt;0,'كشف النقاط'!C32," ")</f>
        <v> </v>
      </c>
      <c r="D114" s="76" t="str">
        <f>IF('كشف النقاط'!D32&gt;0,'كشف النقاط'!D32," ")</f>
        <v> </v>
      </c>
      <c r="E114" s="661" t="str">
        <f>IF('كشف النقاط'!E380&gt;0,'كشف النقاط'!E380," ")</f>
        <v> </v>
      </c>
      <c r="F114" s="665"/>
      <c r="G114" s="95"/>
      <c r="H114" s="95"/>
      <c r="I114" s="95"/>
      <c r="J114" s="95"/>
      <c r="K114" s="95"/>
      <c r="M114" s="112"/>
      <c r="N114" s="113"/>
    </row>
    <row r="115" spans="1:14" ht="17.25" customHeight="1">
      <c r="A115" s="38">
        <v>26</v>
      </c>
      <c r="B115" s="142" t="str">
        <f>IF('كشف النقاط'!B33&gt;0,'كشف النقاط'!B33," ")</f>
        <v> </v>
      </c>
      <c r="C115" s="142" t="str">
        <f>IF('كشف النقاط'!C33&gt;0,'كشف النقاط'!C33," ")</f>
        <v> </v>
      </c>
      <c r="D115" s="76" t="str">
        <f>IF('كشف النقاط'!D33&gt;0,'كشف النقاط'!D33," ")</f>
        <v> </v>
      </c>
      <c r="E115" s="661" t="str">
        <f>IF('كشف النقاط'!E381&gt;0,'كشف النقاط'!E381," ")</f>
        <v> </v>
      </c>
      <c r="F115" s="665"/>
      <c r="G115" s="95"/>
      <c r="H115" s="95"/>
      <c r="I115" s="95"/>
      <c r="J115" s="95"/>
      <c r="K115" s="95"/>
      <c r="M115" s="112"/>
      <c r="N115" s="113"/>
    </row>
    <row r="116" spans="1:11" ht="17.25" customHeight="1">
      <c r="A116" s="38">
        <v>27</v>
      </c>
      <c r="B116" s="142" t="str">
        <f>IF('كشف النقاط'!B34&gt;0,'كشف النقاط'!B34," ")</f>
        <v> </v>
      </c>
      <c r="C116" s="142" t="str">
        <f>IF('كشف النقاط'!C34&gt;0,'كشف النقاط'!C34," ")</f>
        <v> </v>
      </c>
      <c r="D116" s="76" t="str">
        <f>IF('كشف النقاط'!D34&gt;0,'كشف النقاط'!D34," ")</f>
        <v> </v>
      </c>
      <c r="E116" s="661" t="str">
        <f>IF('كشف النقاط'!E382&gt;0,'كشف النقاط'!E382," ")</f>
        <v> </v>
      </c>
      <c r="F116" s="665"/>
      <c r="G116" s="95"/>
      <c r="H116" s="95"/>
      <c r="I116" s="95"/>
      <c r="J116" s="95"/>
      <c r="K116" s="95"/>
    </row>
    <row r="117" spans="1:11" ht="17.25" customHeight="1">
      <c r="A117" s="38">
        <v>28</v>
      </c>
      <c r="B117" s="142" t="str">
        <f>IF('كشف النقاط'!B35&gt;0,'كشف النقاط'!B35," ")</f>
        <v> </v>
      </c>
      <c r="C117" s="142" t="str">
        <f>IF('كشف النقاط'!C35&gt;0,'كشف النقاط'!C35," ")</f>
        <v> </v>
      </c>
      <c r="D117" s="76" t="str">
        <f>IF('كشف النقاط'!D35&gt;0,'كشف النقاط'!D35," ")</f>
        <v> </v>
      </c>
      <c r="E117" s="661" t="str">
        <f>IF('كشف النقاط'!E383&gt;0,'كشف النقاط'!E383," ")</f>
        <v> </v>
      </c>
      <c r="F117" s="665"/>
      <c r="G117" s="95"/>
      <c r="H117" s="95"/>
      <c r="I117" s="95"/>
      <c r="J117" s="95"/>
      <c r="K117" s="95"/>
    </row>
    <row r="118" spans="1:11" ht="17.25" customHeight="1">
      <c r="A118" s="38">
        <v>29</v>
      </c>
      <c r="B118" s="142" t="str">
        <f>IF('كشف النقاط'!B36&gt;0,'كشف النقاط'!B36," ")</f>
        <v> </v>
      </c>
      <c r="C118" s="142" t="str">
        <f>IF('كشف النقاط'!C36&gt;0,'كشف النقاط'!C36," ")</f>
        <v> </v>
      </c>
      <c r="D118" s="76" t="str">
        <f>IF('كشف النقاط'!D36&gt;0,'كشف النقاط'!D36," ")</f>
        <v> </v>
      </c>
      <c r="E118" s="661" t="str">
        <f>IF('كشف النقاط'!E384&gt;0,'كشف النقاط'!E384," ")</f>
        <v> </v>
      </c>
      <c r="F118" s="665"/>
      <c r="G118" s="95"/>
      <c r="H118" s="95"/>
      <c r="I118" s="95"/>
      <c r="J118" s="95"/>
      <c r="K118" s="95"/>
    </row>
    <row r="119" spans="1:11" ht="17.25" customHeight="1">
      <c r="A119" s="38">
        <v>30</v>
      </c>
      <c r="B119" s="142" t="str">
        <f>IF('كشف النقاط'!B37&gt;0,'كشف النقاط'!B37," ")</f>
        <v> </v>
      </c>
      <c r="C119" s="142" t="str">
        <f>IF('كشف النقاط'!C37&gt;0,'كشف النقاط'!C37," ")</f>
        <v> </v>
      </c>
      <c r="D119" s="76" t="str">
        <f>IF('كشف النقاط'!D37&gt;0,'كشف النقاط'!D37," ")</f>
        <v> </v>
      </c>
      <c r="E119" s="661" t="str">
        <f>IF('كشف النقاط'!E385&gt;0,'كشف النقاط'!E385," ")</f>
        <v> </v>
      </c>
      <c r="F119" s="665"/>
      <c r="G119" s="95"/>
      <c r="H119" s="95"/>
      <c r="I119" s="95"/>
      <c r="J119" s="95"/>
      <c r="K119" s="95"/>
    </row>
    <row r="120" spans="1:11" ht="16.5" customHeight="1">
      <c r="A120" s="38">
        <v>31</v>
      </c>
      <c r="B120" s="142" t="str">
        <f>IF('كشف النقاط'!B38&gt;0,'كشف النقاط'!B38," ")</f>
        <v> </v>
      </c>
      <c r="C120" s="142" t="str">
        <f>IF('كشف النقاط'!C38&gt;0,'كشف النقاط'!C38," ")</f>
        <v> </v>
      </c>
      <c r="D120" s="76" t="str">
        <f>IF('كشف النقاط'!D38&gt;0,'كشف النقاط'!D38," ")</f>
        <v> </v>
      </c>
      <c r="E120" s="661" t="str">
        <f>IF('كشف النقاط'!E386&gt;0,'كشف النقاط'!E386," ")</f>
        <v> </v>
      </c>
      <c r="F120" s="665"/>
      <c r="G120" s="95"/>
      <c r="H120" s="95"/>
      <c r="I120" s="95"/>
      <c r="J120" s="95"/>
      <c r="K120" s="95"/>
    </row>
    <row r="121" spans="1:11" ht="14.25" customHeight="1">
      <c r="A121" s="38">
        <v>32</v>
      </c>
      <c r="B121" s="142" t="str">
        <f>IF('كشف النقاط'!B39&gt;0,'كشف النقاط'!B39," ")</f>
        <v> </v>
      </c>
      <c r="C121" s="142" t="str">
        <f>IF('كشف النقاط'!C39&gt;0,'كشف النقاط'!C39," ")</f>
        <v> </v>
      </c>
      <c r="D121" s="76" t="str">
        <f>IF('كشف النقاط'!D39&gt;0,'كشف النقاط'!D39," ")</f>
        <v> </v>
      </c>
      <c r="E121" s="661" t="str">
        <f>IF('كشف النقاط'!E387&gt;0,'كشف النقاط'!E387," ")</f>
        <v> </v>
      </c>
      <c r="F121" s="665"/>
      <c r="G121" s="95"/>
      <c r="H121" s="95"/>
      <c r="I121" s="95"/>
      <c r="J121" s="95"/>
      <c r="K121" s="95"/>
    </row>
    <row r="122" spans="1:11" ht="18">
      <c r="A122" s="80"/>
      <c r="B122" s="250"/>
      <c r="C122" s="250"/>
      <c r="D122" s="80"/>
      <c r="E122" s="80"/>
      <c r="F122" s="80"/>
      <c r="G122" s="80"/>
      <c r="H122" s="80"/>
      <c r="I122" s="80"/>
      <c r="J122" s="80"/>
      <c r="K122" s="80"/>
    </row>
    <row r="123" spans="2:3" ht="18">
      <c r="B123" s="693">
        <f ca="1">TODAY()</f>
        <v>43188</v>
      </c>
      <c r="C123" s="693"/>
    </row>
    <row r="124" spans="1:13" ht="18">
      <c r="A124" s="167" t="s">
        <v>19</v>
      </c>
      <c r="B124" s="251"/>
      <c r="C124" s="251"/>
      <c r="D124" s="63"/>
      <c r="E124" s="63"/>
      <c r="F124" s="63"/>
      <c r="G124" s="63"/>
      <c r="H124" s="63"/>
      <c r="I124" s="168" t="str">
        <f>I1</f>
        <v>السنة أولى ماستر إقتصاد نقدي وبنكي</v>
      </c>
      <c r="K124" s="63"/>
      <c r="L124" s="61"/>
      <c r="M124" s="61"/>
    </row>
    <row r="125" spans="1:11" ht="18">
      <c r="A125" s="167" t="s">
        <v>20</v>
      </c>
      <c r="B125" s="251"/>
      <c r="C125" s="251"/>
      <c r="D125" s="63"/>
      <c r="E125" s="63"/>
      <c r="F125" s="63"/>
      <c r="G125" s="63"/>
      <c r="H125" s="63"/>
      <c r="I125" s="167" t="str">
        <f>I2</f>
        <v>السداسي الأول</v>
      </c>
      <c r="K125" s="63"/>
    </row>
    <row r="126" spans="1:11" ht="18">
      <c r="A126" s="167" t="s">
        <v>4</v>
      </c>
      <c r="B126" s="251"/>
      <c r="C126" s="251"/>
      <c r="D126" s="63"/>
      <c r="E126" s="63"/>
      <c r="F126" s="63"/>
      <c r="G126" s="63"/>
      <c r="H126" s="63"/>
      <c r="I126" s="167"/>
      <c r="K126" s="63"/>
    </row>
    <row r="127" spans="1:11" ht="18">
      <c r="A127" s="63"/>
      <c r="B127" s="251"/>
      <c r="C127" s="251"/>
      <c r="D127" s="63"/>
      <c r="E127" s="63"/>
      <c r="F127" s="63"/>
      <c r="G127" s="63"/>
      <c r="H127" s="63"/>
      <c r="I127" s="197" t="str">
        <f>I4</f>
        <v>2018/2017</v>
      </c>
      <c r="K127" s="63"/>
    </row>
    <row r="128" spans="1:11" ht="18">
      <c r="A128" s="63"/>
      <c r="B128" s="19" t="s">
        <v>33</v>
      </c>
      <c r="C128" s="251"/>
      <c r="D128" s="63"/>
      <c r="E128" s="63"/>
      <c r="F128" s="63"/>
      <c r="G128" s="167" t="s">
        <v>76</v>
      </c>
      <c r="H128" s="168"/>
      <c r="I128" s="167"/>
      <c r="J128" s="168"/>
      <c r="K128" s="63"/>
    </row>
    <row r="129" spans="1:11" ht="18">
      <c r="A129" s="63"/>
      <c r="B129" s="251"/>
      <c r="C129" s="251"/>
      <c r="D129" s="63"/>
      <c r="E129" s="63"/>
      <c r="F129" s="63"/>
      <c r="G129" s="63"/>
      <c r="H129" s="63"/>
      <c r="I129" s="63"/>
      <c r="J129" s="63"/>
      <c r="K129" s="63"/>
    </row>
    <row r="130" spans="1:11" ht="45" customHeight="1">
      <c r="A130" s="169" t="s">
        <v>34</v>
      </c>
      <c r="B130" s="255" t="s">
        <v>163</v>
      </c>
      <c r="C130" s="255" t="s">
        <v>164</v>
      </c>
      <c r="D130" s="170"/>
      <c r="E130" s="257" t="str">
        <f aca="true" t="shared" si="2" ref="E130:K130">E8</f>
        <v>التدقيق البنكي</v>
      </c>
      <c r="F130" s="257" t="str">
        <f t="shared" si="2"/>
        <v>تسيير المحافظ المالية</v>
      </c>
      <c r="G130" s="257" t="str">
        <f t="shared" si="2"/>
        <v>جباية العمليات المصرفية</v>
      </c>
      <c r="H130" s="257" t="str">
        <f t="shared" si="2"/>
        <v>نظرية الإلعاب</v>
      </c>
      <c r="I130" s="257" t="str">
        <f t="shared" si="2"/>
        <v>منهجية</v>
      </c>
      <c r="J130" s="257" t="str">
        <f t="shared" si="2"/>
        <v>قانون المنازعات</v>
      </c>
      <c r="K130" s="257" t="str">
        <f t="shared" si="2"/>
        <v>لغة حية</v>
      </c>
    </row>
    <row r="131" spans="1:11" ht="18" customHeight="1">
      <c r="A131" s="198">
        <v>1</v>
      </c>
      <c r="B131" s="142" t="str">
        <f>IF('كشف النقاط'!B8&gt;0,'كشف النقاط'!B8," ")</f>
        <v>الحاج </v>
      </c>
      <c r="C131" s="142" t="str">
        <f>IF('كشف النقاط'!C8&gt;0,'كشف النقاط'!C8," ")</f>
        <v>مروة</v>
      </c>
      <c r="D131" s="76" t="str">
        <f>IF('كشف النقاط'!D8&gt;0,'كشف النقاط'!D8," ")</f>
        <v> </v>
      </c>
      <c r="E131" s="154">
        <f>IF('كشف النقاط'!J8&gt;0,'كشف النقاط'!J8,"")</f>
      </c>
      <c r="F131" s="154">
        <f>IF('كشف النقاط'!J51&gt;0,'كشف النقاط'!J51,"")</f>
      </c>
      <c r="G131" s="154">
        <f>IF('كشف النقاط'!J94&gt;0,'كشف النقاط'!J94,"")</f>
      </c>
      <c r="H131" s="154">
        <f>IF('كشف النقاط'!J138&gt;0,'كشف النقاط'!J138,"")</f>
      </c>
      <c r="I131" s="154">
        <f>IF('كشف النقاط'!J182&gt;0,'كشف النقاط'!J182,"")</f>
      </c>
      <c r="J131" s="154">
        <f>IF('كشف النقاط'!J226&gt;0,'كشف النقاط'!J226,"")</f>
      </c>
      <c r="K131" s="154">
        <f>IF('كشف النقاط'!J271&gt;0,'كشف النقاط'!J271,"")</f>
      </c>
    </row>
    <row r="132" spans="1:11" s="63" customFormat="1" ht="18" customHeight="1">
      <c r="A132" s="198">
        <v>2</v>
      </c>
      <c r="B132" s="142" t="str">
        <f>IF('كشف النقاط'!B9&gt;0,'كشف النقاط'!B9," ")</f>
        <v>العياشي </v>
      </c>
      <c r="C132" s="142" t="str">
        <f>IF('كشف النقاط'!C9&gt;0,'كشف النقاط'!C9," ")</f>
        <v>نوار</v>
      </c>
      <c r="D132" s="76" t="str">
        <f>IF('كشف النقاط'!D9&gt;0,'كشف النقاط'!D9," ")</f>
        <v> </v>
      </c>
      <c r="E132" s="154">
        <f>IF('كشف النقاط'!J9&gt;0,'كشف النقاط'!J9,"")</f>
      </c>
      <c r="F132" s="154">
        <f>IF('كشف النقاط'!J52&gt;0,'كشف النقاط'!J52,"")</f>
      </c>
      <c r="G132" s="154">
        <f>IF('كشف النقاط'!J95&gt;0,'كشف النقاط'!J95,"")</f>
      </c>
      <c r="H132" s="154">
        <f>IF('كشف النقاط'!J139&gt;0,'كشف النقاط'!J139,"")</f>
      </c>
      <c r="I132" s="154">
        <f>IF('كشف النقاط'!J183&gt;0,'كشف النقاط'!J183,"")</f>
      </c>
      <c r="J132" s="154">
        <f>IF('كشف النقاط'!J227&gt;0,'كشف النقاط'!J227,"")</f>
      </c>
      <c r="K132" s="154">
        <f>IF('كشف النقاط'!J272&gt;0,'كشف النقاط'!J272,"")</f>
      </c>
    </row>
    <row r="133" spans="1:11" s="63" customFormat="1" ht="18" customHeight="1">
      <c r="A133" s="198">
        <v>3</v>
      </c>
      <c r="B133" s="142" t="str">
        <f>IF('كشف النقاط'!B10&gt;0,'كشف النقاط'!B10," ")</f>
        <v>باطح </v>
      </c>
      <c r="C133" s="142" t="str">
        <f>IF('كشف النقاط'!C10&gt;0,'كشف النقاط'!C10," ")</f>
        <v>محمد لمين</v>
      </c>
      <c r="D133" s="76" t="str">
        <f>IF('كشف النقاط'!D10&gt;0,'كشف النقاط'!D10," ")</f>
        <v> </v>
      </c>
      <c r="E133" s="154">
        <f>IF('كشف النقاط'!J10&gt;0,'كشف النقاط'!J10,"")</f>
      </c>
      <c r="F133" s="154">
        <f>IF('كشف النقاط'!J53&gt;0,'كشف النقاط'!J53,"")</f>
      </c>
      <c r="G133" s="154">
        <f>IF('كشف النقاط'!J96&gt;0,'كشف النقاط'!J96,"")</f>
      </c>
      <c r="H133" s="154">
        <f>IF('كشف النقاط'!J140&gt;0,'كشف النقاط'!J140,"")</f>
      </c>
      <c r="I133" s="154">
        <f>IF('كشف النقاط'!J184&gt;0,'كشف النقاط'!J184,"")</f>
      </c>
      <c r="J133" s="154">
        <f>IF('كشف النقاط'!J228&gt;0,'كشف النقاط'!J228,"")</f>
      </c>
      <c r="K133" s="154">
        <f>IF('كشف النقاط'!J273&gt;0,'كشف النقاط'!J273,"")</f>
      </c>
    </row>
    <row r="134" spans="1:11" s="63" customFormat="1" ht="18" customHeight="1">
      <c r="A134" s="198">
        <v>4</v>
      </c>
      <c r="B134" s="142" t="str">
        <f>IF('كشف النقاط'!B11&gt;0,'كشف النقاط'!B11," ")</f>
        <v>بوساحة </v>
      </c>
      <c r="C134" s="142" t="str">
        <f>IF('كشف النقاط'!C11&gt;0,'كشف النقاط'!C11," ")</f>
        <v>حسام الدين</v>
      </c>
      <c r="D134" s="76" t="str">
        <f>IF('كشف النقاط'!D11&gt;0,'كشف النقاط'!D11," ")</f>
        <v> </v>
      </c>
      <c r="E134" s="154">
        <f>IF('كشف النقاط'!J11&gt;0,'كشف النقاط'!J11,"")</f>
      </c>
      <c r="F134" s="154">
        <f>IF('كشف النقاط'!J54&gt;0,'كشف النقاط'!J54,"")</f>
      </c>
      <c r="G134" s="154">
        <f>IF('كشف النقاط'!J97&gt;0,'كشف النقاط'!J97,"")</f>
      </c>
      <c r="H134" s="154">
        <f>IF('كشف النقاط'!J141&gt;0,'كشف النقاط'!J141,"")</f>
      </c>
      <c r="I134" s="154">
        <f>IF('كشف النقاط'!J185&gt;0,'كشف النقاط'!J185,"")</f>
      </c>
      <c r="J134" s="154">
        <f>IF('كشف النقاط'!J229&gt;0,'كشف النقاط'!J229,"")</f>
      </c>
      <c r="K134" s="154">
        <f>IF('كشف النقاط'!J274&gt;0,'كشف النقاط'!J274,"")</f>
      </c>
    </row>
    <row r="135" spans="1:11" s="52" customFormat="1" ht="18" customHeight="1">
      <c r="A135" s="198">
        <v>5</v>
      </c>
      <c r="B135" s="142" t="str">
        <f>IF('كشف النقاط'!B12&gt;0,'كشف النقاط'!B12," ")</f>
        <v>بوسالم </v>
      </c>
      <c r="C135" s="142" t="str">
        <f>IF('كشف النقاط'!C12&gt;0,'كشف النقاط'!C12," ")</f>
        <v>محمد وليد</v>
      </c>
      <c r="D135" s="76" t="str">
        <f>IF('كشف النقاط'!D12&gt;0,'كشف النقاط'!D12," ")</f>
        <v> </v>
      </c>
      <c r="E135" s="154">
        <f>IF('كشف النقاط'!J12&gt;0,'كشف النقاط'!J12,"")</f>
      </c>
      <c r="F135" s="154">
        <f>IF('كشف النقاط'!J55&gt;0,'كشف النقاط'!J55,"")</f>
      </c>
      <c r="G135" s="154">
        <f>IF('كشف النقاط'!J98&gt;0,'كشف النقاط'!J98,"")</f>
      </c>
      <c r="H135" s="154">
        <f>IF('كشف النقاط'!J142&gt;0,'كشف النقاط'!J142,"")</f>
      </c>
      <c r="I135" s="154">
        <f>IF('كشف النقاط'!J186&gt;0,'كشف النقاط'!J186,"")</f>
      </c>
      <c r="J135" s="154">
        <f>IF('كشف النقاط'!J230&gt;0,'كشف النقاط'!J230,"")</f>
      </c>
      <c r="K135" s="154">
        <f>IF('كشف النقاط'!J275&gt;0,'كشف النقاط'!J275,"")</f>
      </c>
    </row>
    <row r="136" spans="1:11" s="52" customFormat="1" ht="18" customHeight="1">
      <c r="A136" s="198">
        <v>6</v>
      </c>
      <c r="B136" s="142" t="str">
        <f>IF('كشف النقاط'!B13&gt;0,'كشف النقاط'!B13," ")</f>
        <v>بوعروج </v>
      </c>
      <c r="C136" s="142" t="str">
        <f>IF('كشف النقاط'!C13&gt;0,'كشف النقاط'!C13," ")</f>
        <v>نسيمة</v>
      </c>
      <c r="D136" s="76" t="str">
        <f>IF('كشف النقاط'!D13&gt;0,'كشف النقاط'!D13," ")</f>
        <v> </v>
      </c>
      <c r="E136" s="154">
        <f>IF('كشف النقاط'!J13&gt;0,'كشف النقاط'!J13,"")</f>
      </c>
      <c r="F136" s="154">
        <f>IF('كشف النقاط'!J56&gt;0,'كشف النقاط'!J56,"")</f>
      </c>
      <c r="G136" s="154">
        <f>IF('كشف النقاط'!J99&gt;0,'كشف النقاط'!J99,"")</f>
      </c>
      <c r="H136" s="154">
        <f>IF('كشف النقاط'!J143&gt;0,'كشف النقاط'!J143,"")</f>
      </c>
      <c r="I136" s="154">
        <f>IF('كشف النقاط'!J187&gt;0,'كشف النقاط'!J187,"")</f>
      </c>
      <c r="J136" s="154">
        <f>IF('كشف النقاط'!J231&gt;0,'كشف النقاط'!J231,"")</f>
      </c>
      <c r="K136" s="154">
        <f>IF('كشف النقاط'!J276&gt;0,'كشف النقاط'!J276,"")</f>
      </c>
    </row>
    <row r="137" spans="1:11" s="52" customFormat="1" ht="18" customHeight="1">
      <c r="A137" s="198">
        <v>7</v>
      </c>
      <c r="B137" s="142" t="str">
        <f>IF('كشف النقاط'!B14&gt;0,'كشف النقاط'!B14," ")</f>
        <v>بولعيد </v>
      </c>
      <c r="C137" s="142" t="str">
        <f>IF('كشف النقاط'!C14&gt;0,'كشف النقاط'!C14," ")</f>
        <v>مريم</v>
      </c>
      <c r="D137" s="76" t="str">
        <f>IF('كشف النقاط'!D14&gt;0,'كشف النقاط'!D14," ")</f>
        <v> </v>
      </c>
      <c r="E137" s="154">
        <f>IF('كشف النقاط'!J14&gt;0,'كشف النقاط'!J14,"")</f>
      </c>
      <c r="F137" s="154">
        <f>IF('كشف النقاط'!J57&gt;0,'كشف النقاط'!J57,"")</f>
      </c>
      <c r="G137" s="154">
        <f>IF('كشف النقاط'!J100&gt;0,'كشف النقاط'!J100,"")</f>
      </c>
      <c r="H137" s="154">
        <f>IF('كشف النقاط'!J144&gt;0,'كشف النقاط'!J144,"")</f>
      </c>
      <c r="I137" s="154">
        <f>IF('كشف النقاط'!J188&gt;0,'كشف النقاط'!J188,"")</f>
      </c>
      <c r="J137" s="154">
        <f>IF('كشف النقاط'!J232&gt;0,'كشف النقاط'!J232,"")</f>
      </c>
      <c r="K137" s="154">
        <f>IF('كشف النقاط'!J277&gt;0,'كشف النقاط'!J277,"")</f>
      </c>
    </row>
    <row r="138" spans="1:11" s="63" customFormat="1" ht="18" customHeight="1">
      <c r="A138" s="198">
        <v>8</v>
      </c>
      <c r="B138" s="142" t="str">
        <f>IF('كشف النقاط'!B15&gt;0,'كشف النقاط'!B15," ")</f>
        <v>خاوة </v>
      </c>
      <c r="C138" s="142" t="str">
        <f>IF('كشف النقاط'!C15&gt;0,'كشف النقاط'!C15," ")</f>
        <v>أسماء</v>
      </c>
      <c r="D138" s="76" t="str">
        <f>IF('كشف النقاط'!D15&gt;0,'كشف النقاط'!D15," ")</f>
        <v> </v>
      </c>
      <c r="E138" s="154">
        <f>IF('كشف النقاط'!J15&gt;0,'كشف النقاط'!J15,"")</f>
      </c>
      <c r="F138" s="154">
        <f>IF('كشف النقاط'!J58&gt;0,'كشف النقاط'!J58,"")</f>
      </c>
      <c r="G138" s="154">
        <f>IF('كشف النقاط'!J101&gt;0,'كشف النقاط'!J101,"")</f>
      </c>
      <c r="H138" s="154">
        <f>IF('كشف النقاط'!J145&gt;0,'كشف النقاط'!J145,"")</f>
      </c>
      <c r="I138" s="154">
        <f>IF('كشف النقاط'!J189&gt;0,'كشف النقاط'!J189,"")</f>
      </c>
      <c r="J138" s="154">
        <f>IF('كشف النقاط'!J233&gt;0,'كشف النقاط'!J233,"")</f>
      </c>
      <c r="K138" s="154">
        <f>IF('كشف النقاط'!J278&gt;0,'كشف النقاط'!J278,"")</f>
      </c>
    </row>
    <row r="139" spans="1:11" s="63" customFormat="1" ht="18" customHeight="1">
      <c r="A139" s="198">
        <v>9</v>
      </c>
      <c r="B139" s="142" t="str">
        <f>IF('كشف النقاط'!B16&gt;0,'كشف النقاط'!B16," ")</f>
        <v>زغلاني </v>
      </c>
      <c r="C139" s="142" t="str">
        <f>IF('كشف النقاط'!C16&gt;0,'كشف النقاط'!C16," ")</f>
        <v>ساعد</v>
      </c>
      <c r="D139" s="76" t="str">
        <f>IF('كشف النقاط'!D16&gt;0,'كشف النقاط'!D16," ")</f>
        <v> </v>
      </c>
      <c r="E139" s="154">
        <f>IF('كشف النقاط'!J16&gt;0,'كشف النقاط'!J16,"")</f>
      </c>
      <c r="F139" s="154">
        <f>IF('كشف النقاط'!J59&gt;0,'كشف النقاط'!J59,"")</f>
      </c>
      <c r="G139" s="154">
        <f>IF('كشف النقاط'!J102&gt;0,'كشف النقاط'!J102,"")</f>
      </c>
      <c r="H139" s="154">
        <f>IF('كشف النقاط'!J146&gt;0,'كشف النقاط'!J146,"")</f>
      </c>
      <c r="I139" s="154">
        <f>IF('كشف النقاط'!J190&gt;0,'كشف النقاط'!J190,"")</f>
      </c>
      <c r="J139" s="154">
        <f>IF('كشف النقاط'!J234&gt;0,'كشف النقاط'!J234,"")</f>
      </c>
      <c r="K139" s="154">
        <f>IF('كشف النقاط'!J279&gt;0,'كشف النقاط'!J279,"")</f>
      </c>
    </row>
    <row r="140" spans="1:11" s="63" customFormat="1" ht="18" customHeight="1">
      <c r="A140" s="198">
        <v>10</v>
      </c>
      <c r="B140" s="142" t="str">
        <f>IF('كشف النقاط'!B17&gt;0,'كشف النقاط'!B17," ")</f>
        <v>زياني </v>
      </c>
      <c r="C140" s="142" t="str">
        <f>IF('كشف النقاط'!C17&gt;0,'كشف النقاط'!C17," ")</f>
        <v>أميرة</v>
      </c>
      <c r="D140" s="76" t="str">
        <f>IF('كشف النقاط'!D17&gt;0,'كشف النقاط'!D17," ")</f>
        <v> </v>
      </c>
      <c r="E140" s="154">
        <f>IF('كشف النقاط'!J17&gt;0,'كشف النقاط'!J17,"")</f>
      </c>
      <c r="F140" s="154">
        <f>IF('كشف النقاط'!J60&gt;0,'كشف النقاط'!J60,"")</f>
      </c>
      <c r="G140" s="154">
        <f>IF('كشف النقاط'!J103&gt;0,'كشف النقاط'!J103,"")</f>
      </c>
      <c r="H140" s="154">
        <f>IF('كشف النقاط'!J147&gt;0,'كشف النقاط'!J147,"")</f>
      </c>
      <c r="I140" s="154">
        <f>IF('كشف النقاط'!J191&gt;0,'كشف النقاط'!J191,"")</f>
      </c>
      <c r="J140" s="154">
        <f>IF('كشف النقاط'!J235&gt;0,'كشف النقاط'!J235,"")</f>
      </c>
      <c r="K140" s="154">
        <f>IF('كشف النقاط'!J280&gt;0,'كشف النقاط'!J280,"")</f>
      </c>
    </row>
    <row r="141" spans="1:11" s="63" customFormat="1" ht="18" customHeight="1">
      <c r="A141" s="198">
        <v>11</v>
      </c>
      <c r="B141" s="142" t="str">
        <f>IF('كشف النقاط'!B18&gt;0,'كشف النقاط'!B18," ")</f>
        <v>شلابي </v>
      </c>
      <c r="C141" s="142" t="str">
        <f>IF('كشف النقاط'!C18&gt;0,'كشف النقاط'!C18," ")</f>
        <v>هاجر</v>
      </c>
      <c r="D141" s="76" t="str">
        <f>IF('كشف النقاط'!D18&gt;0,'كشف النقاط'!D18," ")</f>
        <v> </v>
      </c>
      <c r="E141" s="154">
        <f>IF('كشف النقاط'!J18&gt;0,'كشف النقاط'!J18,"")</f>
      </c>
      <c r="F141" s="154">
        <f>IF('كشف النقاط'!J61&gt;0,'كشف النقاط'!J61,"")</f>
      </c>
      <c r="G141" s="154">
        <f>IF('كشف النقاط'!J104&gt;0,'كشف النقاط'!J104,"")</f>
      </c>
      <c r="H141" s="154">
        <f>IF('كشف النقاط'!J148&gt;0,'كشف النقاط'!J148,"")</f>
      </c>
      <c r="I141" s="154">
        <f>IF('كشف النقاط'!J192&gt;0,'كشف النقاط'!J192,"")</f>
      </c>
      <c r="J141" s="154">
        <f>IF('كشف النقاط'!J236&gt;0,'كشف النقاط'!J236,"")</f>
      </c>
      <c r="K141" s="154">
        <f>IF('كشف النقاط'!J281&gt;0,'كشف النقاط'!J281,"")</f>
      </c>
    </row>
    <row r="142" spans="1:11" s="63" customFormat="1" ht="18" customHeight="1">
      <c r="A142" s="198">
        <v>12</v>
      </c>
      <c r="B142" s="142" t="str">
        <f>IF('كشف النقاط'!B19&gt;0,'كشف النقاط'!B19," ")</f>
        <v>صولي </v>
      </c>
      <c r="C142" s="142" t="str">
        <f>IF('كشف النقاط'!C19&gt;0,'كشف النقاط'!C19," ")</f>
        <v>هشام</v>
      </c>
      <c r="D142" s="76" t="str">
        <f>IF('كشف النقاط'!D19&gt;0,'كشف النقاط'!D19," ")</f>
        <v> </v>
      </c>
      <c r="E142" s="154">
        <f>IF('كشف النقاط'!J19&gt;0,'كشف النقاط'!J19,"")</f>
      </c>
      <c r="F142" s="154">
        <f>IF('كشف النقاط'!J62&gt;0,'كشف النقاط'!J62,"")</f>
      </c>
      <c r="G142" s="154">
        <f>IF('كشف النقاط'!J105&gt;0,'كشف النقاط'!J105,"")</f>
      </c>
      <c r="H142" s="154">
        <f>IF('كشف النقاط'!J149&gt;0,'كشف النقاط'!J149,"")</f>
      </c>
      <c r="I142" s="154">
        <f>IF('كشف النقاط'!J193&gt;0,'كشف النقاط'!J193,"")</f>
      </c>
      <c r="J142" s="154">
        <f>IF('كشف النقاط'!J237&gt;0,'كشف النقاط'!J237,"")</f>
      </c>
      <c r="K142" s="154">
        <f>IF('كشف النقاط'!J282&gt;0,'كشف النقاط'!J282,"")</f>
      </c>
    </row>
    <row r="143" spans="1:11" s="63" customFormat="1" ht="18" customHeight="1">
      <c r="A143" s="198">
        <v>13</v>
      </c>
      <c r="B143" s="142" t="str">
        <f>IF('كشف النقاط'!B20&gt;0,'كشف النقاط'!B20," ")</f>
        <v>عطيل</v>
      </c>
      <c r="C143" s="142" t="str">
        <f>IF('كشف النقاط'!C20&gt;0,'كشف النقاط'!C20," ")</f>
        <v>آسيا</v>
      </c>
      <c r="D143" s="76" t="str">
        <f>IF('كشف النقاط'!D20&gt;0,'كشف النقاط'!D20," ")</f>
        <v> </v>
      </c>
      <c r="E143" s="154">
        <f>IF('كشف النقاط'!J20&gt;0,'كشف النقاط'!J20,"")</f>
      </c>
      <c r="F143" s="154">
        <f>IF('كشف النقاط'!J63&gt;0,'كشف النقاط'!J63,"")</f>
      </c>
      <c r="G143" s="154">
        <f>IF('كشف النقاط'!J106&gt;0,'كشف النقاط'!J106,"")</f>
      </c>
      <c r="H143" s="154">
        <f>IF('كشف النقاط'!J150&gt;0,'كشف النقاط'!J150,"")</f>
      </c>
      <c r="I143" s="154">
        <f>IF('كشف النقاط'!J194&gt;0,'كشف النقاط'!J194,"")</f>
      </c>
      <c r="J143" s="154">
        <f>IF('كشف النقاط'!J238&gt;0,'كشف النقاط'!J238,"")</f>
      </c>
      <c r="K143" s="154">
        <f>IF('كشف النقاط'!J283&gt;0,'كشف النقاط'!J283,"")</f>
      </c>
    </row>
    <row r="144" spans="1:11" s="63" customFormat="1" ht="18" customHeight="1">
      <c r="A144" s="198">
        <v>14</v>
      </c>
      <c r="B144" s="142" t="str">
        <f>IF('كشف النقاط'!B21&gt;0,'كشف النقاط'!B21," ")</f>
        <v>عيدود </v>
      </c>
      <c r="C144" s="142" t="str">
        <f>IF('كشف النقاط'!C21&gt;0,'كشف النقاط'!C21," ")</f>
        <v>صبرينة</v>
      </c>
      <c r="D144" s="76" t="str">
        <f>IF('كشف النقاط'!D21&gt;0,'كشف النقاط'!D21," ")</f>
        <v> </v>
      </c>
      <c r="E144" s="154">
        <f>IF('كشف النقاط'!J21&gt;0,'كشف النقاط'!J21,"")</f>
      </c>
      <c r="F144" s="154">
        <f>IF('كشف النقاط'!J64&gt;0,'كشف النقاط'!J64,"")</f>
      </c>
      <c r="G144" s="154">
        <f>IF('كشف النقاط'!J107&gt;0,'كشف النقاط'!J107,"")</f>
      </c>
      <c r="H144" s="154">
        <f>IF('كشف النقاط'!J151&gt;0,'كشف النقاط'!J151,"")</f>
      </c>
      <c r="I144" s="154">
        <f>IF('كشف النقاط'!J195&gt;0,'كشف النقاط'!J195,"")</f>
      </c>
      <c r="J144" s="154">
        <f>IF('كشف النقاط'!J239&gt;0,'كشف النقاط'!J239,"")</f>
      </c>
      <c r="K144" s="154">
        <f>IF('كشف النقاط'!J284&gt;0,'كشف النقاط'!J284,"")</f>
      </c>
    </row>
    <row r="145" spans="1:11" s="63" customFormat="1" ht="18" customHeight="1">
      <c r="A145" s="198">
        <v>15</v>
      </c>
      <c r="B145" s="142" t="str">
        <f>IF('كشف النقاط'!B22&gt;0,'كشف النقاط'!B22," ")</f>
        <v>قايدي </v>
      </c>
      <c r="C145" s="142" t="str">
        <f>IF('كشف النقاط'!C22&gt;0,'كشف النقاط'!C22," ")</f>
        <v>مريم</v>
      </c>
      <c r="D145" s="76" t="str">
        <f>IF('كشف النقاط'!D22&gt;0,'كشف النقاط'!D22," ")</f>
        <v> </v>
      </c>
      <c r="E145" s="154">
        <f>IF('كشف النقاط'!J22&gt;0,'كشف النقاط'!J22,"")</f>
      </c>
      <c r="F145" s="154">
        <f>IF('كشف النقاط'!J65&gt;0,'كشف النقاط'!J65,"")</f>
      </c>
      <c r="G145" s="154">
        <f>IF('كشف النقاط'!J108&gt;0,'كشف النقاط'!J108,"")</f>
      </c>
      <c r="H145" s="154">
        <f>IF('كشف النقاط'!J152&gt;0,'كشف النقاط'!J152,"")</f>
      </c>
      <c r="I145" s="154">
        <f>IF('كشف النقاط'!J196&gt;0,'كشف النقاط'!J196,"")</f>
      </c>
      <c r="J145" s="154">
        <f>IF('كشف النقاط'!J240&gt;0,'كشف النقاط'!J240,"")</f>
      </c>
      <c r="K145" s="154">
        <f>IF('كشف النقاط'!J285&gt;0,'كشف النقاط'!J285,"")</f>
      </c>
    </row>
    <row r="146" spans="1:11" s="52" customFormat="1" ht="18" customHeight="1">
      <c r="A146" s="198">
        <v>16</v>
      </c>
      <c r="B146" s="142" t="str">
        <f>IF('كشف النقاط'!B23&gt;0,'كشف النقاط'!B23," ")</f>
        <v>قرايفية </v>
      </c>
      <c r="C146" s="142" t="str">
        <f>IF('كشف النقاط'!C23&gt;0,'كشف النقاط'!C23," ")</f>
        <v>فؤاد</v>
      </c>
      <c r="D146" s="76" t="str">
        <f>IF('كشف النقاط'!D23&gt;0,'كشف النقاط'!D23," ")</f>
        <v> </v>
      </c>
      <c r="E146" s="154">
        <f>IF('كشف النقاط'!J23&gt;0,'كشف النقاط'!J23,"")</f>
      </c>
      <c r="F146" s="154">
        <f>IF('كشف النقاط'!J66&gt;0,'كشف النقاط'!J66,"")</f>
      </c>
      <c r="G146" s="154">
        <f>IF('كشف النقاط'!J109&gt;0,'كشف النقاط'!J109,"")</f>
      </c>
      <c r="H146" s="154">
        <f>IF('كشف النقاط'!J153&gt;0,'كشف النقاط'!J153,"")</f>
      </c>
      <c r="I146" s="154">
        <f>IF('كشف النقاط'!J197&gt;0,'كشف النقاط'!J197,"")</f>
      </c>
      <c r="J146" s="154">
        <f>IF('كشف النقاط'!J241&gt;0,'كشف النقاط'!J241,"")</f>
      </c>
      <c r="K146" s="154">
        <f>IF('كشف النقاط'!J286&gt;0,'كشف النقاط'!J286,"")</f>
      </c>
    </row>
    <row r="147" spans="1:11" s="52" customFormat="1" ht="18" customHeight="1">
      <c r="A147" s="198">
        <v>17</v>
      </c>
      <c r="B147" s="142" t="str">
        <f>IF('كشف النقاط'!B24&gt;0,'كشف النقاط'!B24," ")</f>
        <v>قوادرية</v>
      </c>
      <c r="C147" s="142" t="str">
        <f>IF('كشف النقاط'!C24&gt;0,'كشف النقاط'!C24," ")</f>
        <v>مريم</v>
      </c>
      <c r="D147" s="76" t="str">
        <f>IF('كشف النقاط'!D24&gt;0,'كشف النقاط'!D24," ")</f>
        <v> </v>
      </c>
      <c r="E147" s="154">
        <f>IF('كشف النقاط'!J24&gt;0,'كشف النقاط'!J24,"")</f>
      </c>
      <c r="F147" s="154">
        <f>IF('كشف النقاط'!J67&gt;0,'كشف النقاط'!J67,"")</f>
      </c>
      <c r="G147" s="154">
        <f>IF('كشف النقاط'!J110&gt;0,'كشف النقاط'!J110,"")</f>
      </c>
      <c r="H147" s="154">
        <f>IF('كشف النقاط'!J154&gt;0,'كشف النقاط'!J154,"")</f>
      </c>
      <c r="I147" s="154">
        <f>IF('كشف النقاط'!J198&gt;0,'كشف النقاط'!J198,"")</f>
      </c>
      <c r="J147" s="154">
        <f>IF('كشف النقاط'!J242&gt;0,'كشف النقاط'!J242,"")</f>
      </c>
      <c r="K147" s="154">
        <f>IF('كشف النقاط'!J287&gt;0,'كشف النقاط'!J287,"")</f>
      </c>
    </row>
    <row r="148" spans="1:11" s="52" customFormat="1" ht="18" customHeight="1">
      <c r="A148" s="198">
        <v>18</v>
      </c>
      <c r="B148" s="142" t="str">
        <f>IF('كشف النقاط'!B25&gt;0,'كشف النقاط'!B25," ")</f>
        <v>محفوظ </v>
      </c>
      <c r="C148" s="142" t="str">
        <f>IF('كشف النقاط'!C25&gt;0,'كشف النقاط'!C25," ")</f>
        <v>بشرى</v>
      </c>
      <c r="D148" s="76" t="str">
        <f>IF('كشف النقاط'!D25&gt;0,'كشف النقاط'!D25," ")</f>
        <v> </v>
      </c>
      <c r="E148" s="154">
        <f>IF('كشف النقاط'!J25&gt;0,'كشف النقاط'!J25,"")</f>
      </c>
      <c r="F148" s="154">
        <f>IF('كشف النقاط'!J68&gt;0,'كشف النقاط'!J68,"")</f>
      </c>
      <c r="G148" s="154">
        <f>IF('كشف النقاط'!J111&gt;0,'كشف النقاط'!J111,"")</f>
      </c>
      <c r="H148" s="154">
        <f>IF('كشف النقاط'!J155&gt;0,'كشف النقاط'!J155,"")</f>
      </c>
      <c r="I148" s="154">
        <f>IF('كشف النقاط'!J199&gt;0,'كشف النقاط'!J199,"")</f>
      </c>
      <c r="J148" s="154">
        <f>IF('كشف النقاط'!J243&gt;0,'كشف النقاط'!J243,"")</f>
      </c>
      <c r="K148" s="154">
        <f>IF('كشف النقاط'!J288&gt;0,'كشف النقاط'!J288,"")</f>
      </c>
    </row>
    <row r="149" spans="1:11" s="52" customFormat="1" ht="18" customHeight="1">
      <c r="A149" s="198">
        <v>19</v>
      </c>
      <c r="B149" s="142" t="str">
        <f>IF('كشف النقاط'!B26&gt;0,'كشف النقاط'!B26," ")</f>
        <v>مسطوري </v>
      </c>
      <c r="C149" s="142" t="str">
        <f>IF('كشف النقاط'!C26&gt;0,'كشف النقاط'!C26," ")</f>
        <v>سارة</v>
      </c>
      <c r="D149" s="76" t="str">
        <f>IF('كشف النقاط'!D26&gt;0,'كشف النقاط'!D26," ")</f>
        <v> </v>
      </c>
      <c r="E149" s="154">
        <f>IF('كشف النقاط'!J26&gt;0,'كشف النقاط'!J26,"")</f>
      </c>
      <c r="F149" s="154">
        <f>IF('كشف النقاط'!J69&gt;0,'كشف النقاط'!J69,"")</f>
      </c>
      <c r="G149" s="154">
        <f>IF('كشف النقاط'!J112&gt;0,'كشف النقاط'!J112,"")</f>
      </c>
      <c r="H149" s="154">
        <f>IF('كشف النقاط'!J156&gt;0,'كشف النقاط'!J156,"")</f>
      </c>
      <c r="I149" s="154">
        <f>IF('كشف النقاط'!J200&gt;0,'كشف النقاط'!J200,"")</f>
      </c>
      <c r="J149" s="154">
        <f>IF('كشف النقاط'!J244&gt;0,'كشف النقاط'!J244,"")</f>
      </c>
      <c r="K149" s="154">
        <f>IF('كشف النقاط'!J289&gt;0,'كشف النقاط'!J289,"")</f>
      </c>
    </row>
    <row r="150" spans="1:11" s="52" customFormat="1" ht="18" customHeight="1">
      <c r="A150" s="198">
        <v>20</v>
      </c>
      <c r="B150" s="142" t="str">
        <f>IF('كشف النقاط'!B27&gt;0,'كشف النقاط'!B27," ")</f>
        <v>هداف </v>
      </c>
      <c r="C150" s="142" t="str">
        <f>IF('كشف النقاط'!C27&gt;0,'كشف النقاط'!C27," ")</f>
        <v>حياة</v>
      </c>
      <c r="D150" s="76" t="str">
        <f>IF('كشف النقاط'!D27&gt;0,'كشف النقاط'!D27," ")</f>
        <v> </v>
      </c>
      <c r="E150" s="154">
        <f>IF('كشف النقاط'!J27&gt;0,'كشف النقاط'!J27,"")</f>
      </c>
      <c r="F150" s="154">
        <f>IF('كشف النقاط'!J70&gt;0,'كشف النقاط'!J70,"")</f>
      </c>
      <c r="G150" s="154">
        <f>IF('كشف النقاط'!J113&gt;0,'كشف النقاط'!J113,"")</f>
      </c>
      <c r="H150" s="154">
        <f>IF('كشف النقاط'!J157&gt;0,'كشف النقاط'!J157,"")</f>
      </c>
      <c r="I150" s="154">
        <f>IF('كشف النقاط'!J201&gt;0,'كشف النقاط'!J201,"")</f>
      </c>
      <c r="J150" s="154">
        <f>IF('كشف النقاط'!J245&gt;0,'كشف النقاط'!J245,"")</f>
      </c>
      <c r="K150" s="154">
        <f>IF('كشف النقاط'!J290&gt;0,'كشف النقاط'!J290,"")</f>
      </c>
    </row>
    <row r="151" spans="1:11" s="52" customFormat="1" ht="18" customHeight="1">
      <c r="A151" s="198">
        <v>21</v>
      </c>
      <c r="B151" s="142" t="str">
        <f>IF('كشف النقاط'!B28&gt;0,'كشف النقاط'!B28," ")</f>
        <v> </v>
      </c>
      <c r="C151" s="142" t="str">
        <f>IF('كشف النقاط'!C28&gt;0,'كشف النقاط'!C28," ")</f>
        <v> </v>
      </c>
      <c r="D151" s="76" t="str">
        <f>IF('كشف النقاط'!D28&gt;0,'كشف النقاط'!D28," ")</f>
        <v> </v>
      </c>
      <c r="E151" s="154">
        <f>IF('كشف النقاط'!J28&gt;0,'كشف النقاط'!J28,"")</f>
      </c>
      <c r="F151" s="154">
        <f>IF('كشف النقاط'!J71&gt;0,'كشف النقاط'!J71,"")</f>
      </c>
      <c r="G151" s="154">
        <f>IF('كشف النقاط'!J114&gt;0,'كشف النقاط'!J114,"")</f>
      </c>
      <c r="H151" s="154">
        <f>IF('كشف النقاط'!J158&gt;0,'كشف النقاط'!J158,"")</f>
      </c>
      <c r="I151" s="154">
        <f>IF('كشف النقاط'!J202&gt;0,'كشف النقاط'!J202,"")</f>
      </c>
      <c r="J151" s="154">
        <f>IF('كشف النقاط'!J246&gt;0,'كشف النقاط'!J246,"")</f>
      </c>
      <c r="K151" s="154">
        <f>IF('كشف النقاط'!J291&gt;0,'كشف النقاط'!J291,"")</f>
      </c>
    </row>
    <row r="152" spans="1:11" s="52" customFormat="1" ht="16.5" customHeight="1">
      <c r="A152" s="198">
        <v>22</v>
      </c>
      <c r="B152" s="142" t="str">
        <f>IF('كشف النقاط'!B29&gt;0,'كشف النقاط'!B29," ")</f>
        <v> </v>
      </c>
      <c r="C152" s="142" t="str">
        <f>IF('كشف النقاط'!C29&gt;0,'كشف النقاط'!C29," ")</f>
        <v> </v>
      </c>
      <c r="D152" s="76" t="str">
        <f>IF('كشف النقاط'!D29&gt;0,'كشف النقاط'!D29," ")</f>
        <v> </v>
      </c>
      <c r="E152" s="154">
        <f>IF('كشف النقاط'!J29&gt;0,'كشف النقاط'!J29,"")</f>
      </c>
      <c r="F152" s="154">
        <f>IF('كشف النقاط'!J72&gt;0,'كشف النقاط'!J72,"")</f>
      </c>
      <c r="G152" s="154">
        <f>IF('كشف النقاط'!J115&gt;0,'كشف النقاط'!J115,"")</f>
      </c>
      <c r="H152" s="154">
        <f>IF('كشف النقاط'!J159&gt;0,'كشف النقاط'!J159,"")</f>
      </c>
      <c r="I152" s="154">
        <f>IF('كشف النقاط'!J203&gt;0,'كشف النقاط'!J203,"")</f>
      </c>
      <c r="J152" s="154">
        <f>IF('كشف النقاط'!J247&gt;0,'كشف النقاط'!J247,"")</f>
      </c>
      <c r="K152" s="154">
        <f>IF('كشف النقاط'!J292&gt;0,'كشف النقاط'!J292,"")</f>
      </c>
    </row>
    <row r="153" spans="1:11" s="63" customFormat="1" ht="16.5" customHeight="1">
      <c r="A153" s="198">
        <v>23</v>
      </c>
      <c r="B153" s="142" t="str">
        <f>IF('كشف النقاط'!B30&gt;0,'كشف النقاط'!B30," ")</f>
        <v> </v>
      </c>
      <c r="C153" s="142" t="str">
        <f>IF('كشف النقاط'!C30&gt;0,'كشف النقاط'!C30," ")</f>
        <v> </v>
      </c>
      <c r="D153" s="76" t="str">
        <f>IF('كشف النقاط'!D30&gt;0,'كشف النقاط'!D30," ")</f>
        <v> </v>
      </c>
      <c r="E153" s="154">
        <f>IF('كشف النقاط'!J30&gt;0,'كشف النقاط'!J30,"")</f>
      </c>
      <c r="F153" s="154">
        <f>IF('كشف النقاط'!J73&gt;0,'كشف النقاط'!J73,"")</f>
      </c>
      <c r="G153" s="154">
        <f>IF('كشف النقاط'!J116&gt;0,'كشف النقاط'!J116,"")</f>
      </c>
      <c r="H153" s="154">
        <f>IF('كشف النقاط'!J160&gt;0,'كشف النقاط'!J160,"")</f>
      </c>
      <c r="I153" s="154">
        <f>IF('كشف النقاط'!J204&gt;0,'كشف النقاط'!J204,"")</f>
      </c>
      <c r="J153" s="154">
        <f>IF('كشف النقاط'!J248&gt;0,'كشف النقاط'!J248,"")</f>
      </c>
      <c r="K153" s="154">
        <f>IF('كشف النقاط'!J293&gt;0,'كشف النقاط'!J293,"")</f>
      </c>
    </row>
    <row r="154" spans="1:11" s="63" customFormat="1" ht="16.5" customHeight="1">
      <c r="A154" s="198">
        <v>24</v>
      </c>
      <c r="B154" s="142" t="str">
        <f>IF('كشف النقاط'!B31&gt;0,'كشف النقاط'!B31," ")</f>
        <v> </v>
      </c>
      <c r="C154" s="142" t="str">
        <f>IF('كشف النقاط'!C31&gt;0,'كشف النقاط'!C31," ")</f>
        <v> </v>
      </c>
      <c r="D154" s="76" t="str">
        <f>IF('كشف النقاط'!D31&gt;0,'كشف النقاط'!D31," ")</f>
        <v> </v>
      </c>
      <c r="E154" s="154">
        <f>IF('كشف النقاط'!J31&gt;0,'كشف النقاط'!J31,"")</f>
      </c>
      <c r="F154" s="154">
        <f>IF('كشف النقاط'!J74&gt;0,'كشف النقاط'!J74,"")</f>
      </c>
      <c r="G154" s="154">
        <f>IF('كشف النقاط'!J117&gt;0,'كشف النقاط'!J117,"")</f>
      </c>
      <c r="H154" s="154">
        <f>IF('كشف النقاط'!J161&gt;0,'كشف النقاط'!J161,"")</f>
      </c>
      <c r="I154" s="154">
        <f>IF('كشف النقاط'!J205&gt;0,'كشف النقاط'!J205,"")</f>
      </c>
      <c r="J154" s="154">
        <f>IF('كشف النقاط'!J249&gt;0,'كشف النقاط'!J249,"")</f>
      </c>
      <c r="K154" s="154">
        <f>IF('كشف النقاط'!J294&gt;0,'كشف النقاط'!J294,"")</f>
      </c>
    </row>
    <row r="155" spans="1:11" s="63" customFormat="1" ht="16.5" customHeight="1">
      <c r="A155" s="198">
        <v>25</v>
      </c>
      <c r="B155" s="142" t="str">
        <f>IF('كشف النقاط'!B32&gt;0,'كشف النقاط'!B32," ")</f>
        <v> </v>
      </c>
      <c r="C155" s="142" t="str">
        <f>IF('كشف النقاط'!C32&gt;0,'كشف النقاط'!C32," ")</f>
        <v> </v>
      </c>
      <c r="D155" s="76" t="str">
        <f>IF('كشف النقاط'!D32&gt;0,'كشف النقاط'!D32," ")</f>
        <v> </v>
      </c>
      <c r="E155" s="154">
        <f>IF('كشف النقاط'!J32&gt;0,'كشف النقاط'!J32,"")</f>
      </c>
      <c r="F155" s="154">
        <f>IF('كشف النقاط'!J75&gt;0,'كشف النقاط'!J75,"")</f>
      </c>
      <c r="G155" s="154">
        <f>IF('كشف النقاط'!J118&gt;0,'كشف النقاط'!J118,"")</f>
      </c>
      <c r="H155" s="154">
        <f>IF('كشف النقاط'!J162&gt;0,'كشف النقاط'!J162,"")</f>
      </c>
      <c r="I155" s="154">
        <f>IF('كشف النقاط'!J206&gt;0,'كشف النقاط'!J206,"")</f>
      </c>
      <c r="J155" s="154">
        <f>IF('كشف النقاط'!J250&gt;0,'كشف النقاط'!J250,"")</f>
      </c>
      <c r="K155" s="154">
        <f>IF('كشف النقاط'!J295&gt;0,'كشف النقاط'!J295,"")</f>
      </c>
    </row>
    <row r="156" spans="1:11" s="63" customFormat="1" ht="16.5" customHeight="1">
      <c r="A156" s="198">
        <v>26</v>
      </c>
      <c r="B156" s="142" t="str">
        <f>IF('كشف النقاط'!B33&gt;0,'كشف النقاط'!B33," ")</f>
        <v> </v>
      </c>
      <c r="C156" s="142" t="str">
        <f>IF('كشف النقاط'!C33&gt;0,'كشف النقاط'!C33," ")</f>
        <v> </v>
      </c>
      <c r="D156" s="76" t="str">
        <f>IF('كشف النقاط'!D33&gt;0,'كشف النقاط'!D33," ")</f>
        <v> </v>
      </c>
      <c r="E156" s="154">
        <f>IF('كشف النقاط'!J33&gt;0,'كشف النقاط'!J33,"")</f>
      </c>
      <c r="F156" s="154">
        <f>IF('كشف النقاط'!J76&gt;0,'كشف النقاط'!J76,"")</f>
      </c>
      <c r="G156" s="154">
        <f>IF('كشف النقاط'!J119&gt;0,'كشف النقاط'!J119,"")</f>
      </c>
      <c r="H156" s="154">
        <f>IF('كشف النقاط'!J163&gt;0,'كشف النقاط'!J163,"")</f>
      </c>
      <c r="I156" s="154">
        <f>IF('كشف النقاط'!J207&gt;0,'كشف النقاط'!J207,"")</f>
      </c>
      <c r="J156" s="154">
        <f>IF('كشف النقاط'!J251&gt;0,'كشف النقاط'!J251,"")</f>
      </c>
      <c r="K156" s="154">
        <f>IF('كشف النقاط'!J296&gt;0,'كشف النقاط'!J296,"")</f>
      </c>
    </row>
    <row r="157" spans="1:11" s="63" customFormat="1" ht="16.5" customHeight="1">
      <c r="A157" s="198">
        <v>27</v>
      </c>
      <c r="B157" s="142" t="str">
        <f>IF('كشف النقاط'!B34&gt;0,'كشف النقاط'!B34," ")</f>
        <v> </v>
      </c>
      <c r="C157" s="142" t="str">
        <f>IF('كشف النقاط'!C34&gt;0,'كشف النقاط'!C34," ")</f>
        <v> </v>
      </c>
      <c r="D157" s="76" t="str">
        <f>IF('كشف النقاط'!D34&gt;0,'كشف النقاط'!D34," ")</f>
        <v> </v>
      </c>
      <c r="E157" s="154">
        <f>IF('كشف النقاط'!J34&gt;0,'كشف النقاط'!J34,"")</f>
      </c>
      <c r="F157" s="154">
        <f>IF('كشف النقاط'!J77&gt;0,'كشف النقاط'!J77,"")</f>
      </c>
      <c r="G157" s="154">
        <f>IF('كشف النقاط'!J120&gt;0,'كشف النقاط'!J120,"")</f>
      </c>
      <c r="H157" s="154">
        <f>IF('كشف النقاط'!J164&gt;0,'كشف النقاط'!J164,"")</f>
      </c>
      <c r="I157" s="154">
        <f>IF('كشف النقاط'!J208&gt;0,'كشف النقاط'!J208,"")</f>
      </c>
      <c r="J157" s="154">
        <f>IF('كشف النقاط'!J252&gt;0,'كشف النقاط'!J252,"")</f>
      </c>
      <c r="K157" s="154">
        <f>IF('كشف النقاط'!J297&gt;0,'كشف النقاط'!J297,"")</f>
      </c>
    </row>
    <row r="158" spans="1:11" s="63" customFormat="1" ht="15" customHeight="1">
      <c r="A158" s="198">
        <v>28</v>
      </c>
      <c r="B158" s="142" t="str">
        <f>IF('كشف النقاط'!B35&gt;0,'كشف النقاط'!B35," ")</f>
        <v> </v>
      </c>
      <c r="C158" s="142" t="str">
        <f>IF('كشف النقاط'!C35&gt;0,'كشف النقاط'!C35," ")</f>
        <v> </v>
      </c>
      <c r="D158" s="76" t="str">
        <f>IF('كشف النقاط'!D35&gt;0,'كشف النقاط'!D35," ")</f>
        <v> </v>
      </c>
      <c r="E158" s="154">
        <f>IF('كشف النقاط'!J35&gt;0,'كشف النقاط'!J35,"")</f>
      </c>
      <c r="F158" s="154">
        <f>IF('كشف النقاط'!J78&gt;0,'كشف النقاط'!J78,"")</f>
      </c>
      <c r="G158" s="154">
        <f>IF('كشف النقاط'!J121&gt;0,'كشف النقاط'!J121,"")</f>
      </c>
      <c r="H158" s="154">
        <f>IF('كشف النقاط'!J165&gt;0,'كشف النقاط'!J165,"")</f>
      </c>
      <c r="I158" s="154">
        <f>IF('كشف النقاط'!J209&gt;0,'كشف النقاط'!J209,"")</f>
      </c>
      <c r="J158" s="154">
        <f>IF('كشف النقاط'!J253&gt;0,'كشف النقاط'!J253,"")</f>
      </c>
      <c r="K158" s="154">
        <f>IF('كشف النقاط'!J298&gt;0,'كشف النقاط'!J298,"")</f>
      </c>
    </row>
    <row r="159" spans="1:11" s="63" customFormat="1" ht="15" customHeight="1">
      <c r="A159" s="198">
        <v>29</v>
      </c>
      <c r="B159" s="142" t="str">
        <f>IF('كشف النقاط'!B36&gt;0,'كشف النقاط'!B36," ")</f>
        <v> </v>
      </c>
      <c r="C159" s="142" t="str">
        <f>IF('كشف النقاط'!C36&gt;0,'كشف النقاط'!C36," ")</f>
        <v> </v>
      </c>
      <c r="D159" s="76" t="str">
        <f>IF('كشف النقاط'!D36&gt;0,'كشف النقاط'!D36," ")</f>
        <v> </v>
      </c>
      <c r="E159" s="154">
        <f>IF('كشف النقاط'!J36&gt;0,'كشف النقاط'!J36,"")</f>
      </c>
      <c r="F159" s="154">
        <f>IF('كشف النقاط'!J79&gt;0,'كشف النقاط'!J79,"")</f>
      </c>
      <c r="G159" s="154">
        <f>IF('كشف النقاط'!J122&gt;0,'كشف النقاط'!J122,"")</f>
      </c>
      <c r="H159" s="154">
        <f>IF('كشف النقاط'!J166&gt;0,'كشف النقاط'!J166,"")</f>
      </c>
      <c r="I159" s="154">
        <f>IF('كشف النقاط'!J210&gt;0,'كشف النقاط'!J210,"")</f>
      </c>
      <c r="J159" s="154">
        <f>IF('كشف النقاط'!J254&gt;0,'كشف النقاط'!J254,"")</f>
      </c>
      <c r="K159" s="154">
        <f>IF('كشف النقاط'!J299&gt;0,'كشف النقاط'!J299,"")</f>
      </c>
    </row>
    <row r="160" spans="1:11" s="63" customFormat="1" ht="15" customHeight="1">
      <c r="A160" s="198">
        <v>30</v>
      </c>
      <c r="B160" s="142" t="str">
        <f>IF('كشف النقاط'!B37&gt;0,'كشف النقاط'!B37," ")</f>
        <v> </v>
      </c>
      <c r="C160" s="142" t="str">
        <f>IF('كشف النقاط'!C37&gt;0,'كشف النقاط'!C37," ")</f>
        <v> </v>
      </c>
      <c r="D160" s="76" t="str">
        <f>IF('كشف النقاط'!D37&gt;0,'كشف النقاط'!D37," ")</f>
        <v> </v>
      </c>
      <c r="E160" s="154">
        <f>IF('كشف النقاط'!J37&gt;0,'كشف النقاط'!J37,"")</f>
      </c>
      <c r="F160" s="154">
        <f>IF('كشف النقاط'!J80&gt;0,'كشف النقاط'!J80,"")</f>
      </c>
      <c r="G160" s="154">
        <f>IF('كشف النقاط'!J123&gt;0,'كشف النقاط'!J123,"")</f>
      </c>
      <c r="H160" s="154">
        <f>IF('كشف النقاط'!J167&gt;0,'كشف النقاط'!J167,"")</f>
      </c>
      <c r="I160" s="154">
        <f>IF('كشف النقاط'!J211&gt;0,'كشف النقاط'!J211,"")</f>
      </c>
      <c r="J160" s="154">
        <f>IF('كشف النقاط'!J255&gt;0,'كشف النقاط'!J255,"")</f>
      </c>
      <c r="K160" s="154">
        <f>IF('كشف النقاط'!J300&gt;0,'كشف النقاط'!J300,"")</f>
      </c>
    </row>
    <row r="161" spans="1:11" ht="15" customHeight="1">
      <c r="A161" s="198">
        <v>31</v>
      </c>
      <c r="B161" s="142" t="str">
        <f>IF('كشف النقاط'!B38&gt;0,'كشف النقاط'!B38," ")</f>
        <v> </v>
      </c>
      <c r="C161" s="142" t="str">
        <f>IF('كشف النقاط'!C38&gt;0,'كشف النقاط'!C38," ")</f>
        <v> </v>
      </c>
      <c r="D161" s="76" t="str">
        <f>IF('كشف النقاط'!D38&gt;0,'كشف النقاط'!D38," ")</f>
        <v> </v>
      </c>
      <c r="E161" s="154">
        <f>IF('كشف النقاط'!J38&gt;0,'كشف النقاط'!J38,"")</f>
      </c>
      <c r="F161" s="154">
        <f>IF('كشف النقاط'!J81&gt;0,'كشف النقاط'!J81,"")</f>
      </c>
      <c r="G161" s="154">
        <f>IF('كشف النقاط'!J124&gt;0,'كشف النقاط'!J124,"")</f>
      </c>
      <c r="H161" s="154">
        <f>IF('كشف النقاط'!J168&gt;0,'كشف النقاط'!J168,"")</f>
      </c>
      <c r="I161" s="154">
        <f>IF('كشف النقاط'!J212&gt;0,'كشف النقاط'!J212,"")</f>
      </c>
      <c r="J161" s="154">
        <f>IF('كشف النقاط'!J256&gt;0,'كشف النقاط'!J256,"")</f>
      </c>
      <c r="K161" s="154">
        <f>IF('كشف النقاط'!J301&gt;0,'كشف النقاط'!J301,"")</f>
      </c>
    </row>
    <row r="162" spans="1:11" ht="15" customHeight="1">
      <c r="A162" s="198">
        <v>32</v>
      </c>
      <c r="B162" s="142" t="str">
        <f>IF('كشف النقاط'!B39&gt;0,'كشف النقاط'!B39," ")</f>
        <v> </v>
      </c>
      <c r="C162" s="142" t="str">
        <f>IF('كشف النقاط'!C39&gt;0,'كشف النقاط'!C39," ")</f>
        <v> </v>
      </c>
      <c r="D162" s="76" t="str">
        <f>IF('كشف النقاط'!D39&gt;0,'كشف النقاط'!D39," ")</f>
        <v> </v>
      </c>
      <c r="E162" s="154">
        <f>IF('كشف النقاط'!J39&gt;0,'كشف النقاط'!J39,"")</f>
      </c>
      <c r="F162" s="154">
        <f>IF('كشف النقاط'!J82&gt;0,'كشف النقاط'!J82,"")</f>
      </c>
      <c r="G162" s="154">
        <f>IF('كشف النقاط'!J125&gt;0,'كشف النقاط'!J125,"")</f>
      </c>
      <c r="H162" s="154">
        <f>IF('كشف النقاط'!J169&gt;0,'كشف النقاط'!J169,"")</f>
      </c>
      <c r="I162" s="154">
        <f>IF('كشف النقاط'!J213&gt;0,'كشف النقاط'!J213,"")</f>
      </c>
      <c r="J162" s="154">
        <f>IF('كشف النقاط'!J257&gt;0,'كشف النقاط'!J257,"")</f>
      </c>
      <c r="K162" s="154">
        <f>IF('كشف النقاط'!J302&gt;0,'كشف النقاط'!J302,"")</f>
      </c>
    </row>
    <row r="163" spans="1:11" ht="18">
      <c r="A163" s="198">
        <v>33</v>
      </c>
      <c r="B163" s="142" t="str">
        <f>IF('كشف النقاط'!B40&gt;0,'كشف النقاط'!B40," ")</f>
        <v> </v>
      </c>
      <c r="C163" s="142" t="str">
        <f>IF('كشف النقاط'!C40&gt;0,'كشف النقاط'!C40," ")</f>
        <v> </v>
      </c>
      <c r="D163" s="76" t="str">
        <f>IF('كشف النقاط'!D40&gt;0,'كشف النقاط'!D40," ")</f>
        <v> </v>
      </c>
      <c r="E163" s="154">
        <f>IF('كشف النقاط'!J40&gt;0,'كشف النقاط'!J40,"")</f>
      </c>
      <c r="F163" s="154">
        <f>IF('كشف النقاط'!J83&gt;0,'كشف النقاط'!J83,"")</f>
      </c>
      <c r="G163" s="154">
        <f>IF('كشف النقاط'!J126&gt;0,'كشف النقاط'!J126,"")</f>
      </c>
      <c r="H163" s="154">
        <f>IF('كشف النقاط'!J170&gt;0,'كشف النقاط'!J170,"")</f>
      </c>
      <c r="I163" s="154">
        <f>IF('كشف النقاط'!J214&gt;0,'كشف النقاط'!J214,"")</f>
      </c>
      <c r="J163" s="154">
        <f>IF('كشف النقاط'!J258&gt;0,'كشف النقاط'!J258,"")</f>
      </c>
      <c r="K163" s="154">
        <f>IF('كشف النقاط'!J303&gt;0,'كشف النقاط'!J303,"")</f>
      </c>
    </row>
    <row r="164" spans="1:11" ht="18">
      <c r="A164" s="63"/>
      <c r="B164" s="256"/>
      <c r="C164" s="256"/>
      <c r="D164" s="63"/>
      <c r="E164" s="63"/>
      <c r="F164" s="63"/>
      <c r="G164" s="63"/>
      <c r="H164" s="63"/>
      <c r="I164" s="63"/>
      <c r="J164" s="63"/>
      <c r="K164" s="63"/>
    </row>
    <row r="165" spans="1:11" ht="18">
      <c r="A165" s="63"/>
      <c r="B165" s="251"/>
      <c r="C165" s="251"/>
      <c r="D165" s="63"/>
      <c r="E165" s="63"/>
      <c r="F165" s="63"/>
      <c r="G165" s="63"/>
      <c r="H165" s="63"/>
      <c r="I165" s="63"/>
      <c r="J165" s="63"/>
      <c r="K165" s="63"/>
    </row>
    <row r="166" spans="1:11" ht="18">
      <c r="A166" s="63"/>
      <c r="B166" s="693">
        <f ca="1">TODAY()</f>
        <v>43188</v>
      </c>
      <c r="C166" s="693"/>
      <c r="D166" s="63"/>
      <c r="E166" s="63"/>
      <c r="F166" s="63"/>
      <c r="G166" s="63"/>
      <c r="H166" s="63"/>
      <c r="I166" s="63"/>
      <c r="J166" s="63"/>
      <c r="K166" s="63"/>
    </row>
    <row r="167" spans="1:13" ht="18">
      <c r="A167" s="10" t="s">
        <v>19</v>
      </c>
      <c r="I167" s="19" t="str">
        <f>I1</f>
        <v>السنة أولى ماستر إقتصاد نقدي وبنكي</v>
      </c>
      <c r="K167" s="19"/>
      <c r="L167" s="62"/>
      <c r="M167" s="61"/>
    </row>
    <row r="168" spans="1:11" ht="18">
      <c r="A168" s="10" t="s">
        <v>20</v>
      </c>
      <c r="I168" s="19" t="e">
        <f>#REF!</f>
        <v>#REF!</v>
      </c>
      <c r="K168" s="19"/>
    </row>
    <row r="169" spans="1:11" ht="18">
      <c r="A169" s="10" t="s">
        <v>4</v>
      </c>
      <c r="I169" s="10"/>
      <c r="K169" s="19"/>
    </row>
    <row r="170" spans="9:11" ht="18">
      <c r="I170" s="192" t="str">
        <f>I4</f>
        <v>2018/2017</v>
      </c>
      <c r="K170" s="19"/>
    </row>
    <row r="171" spans="2:10" ht="18">
      <c r="B171" s="19" t="s">
        <v>33</v>
      </c>
      <c r="G171" s="10" t="s">
        <v>77</v>
      </c>
      <c r="H171" s="19"/>
      <c r="I171" s="10"/>
      <c r="J171" s="61"/>
    </row>
    <row r="173" spans="1:14" ht="48" customHeight="1">
      <c r="A173" s="65" t="s">
        <v>34</v>
      </c>
      <c r="B173" s="255" t="s">
        <v>163</v>
      </c>
      <c r="C173" s="255" t="s">
        <v>164</v>
      </c>
      <c r="D173" s="67"/>
      <c r="E173" s="253" t="str">
        <f aca="true" t="shared" si="3" ref="E173:K173">E89</f>
        <v>الإندماج الإقتصادي الدولي</v>
      </c>
      <c r="F173" s="253">
        <f t="shared" si="3"/>
        <v>0</v>
      </c>
      <c r="G173" s="253">
        <f t="shared" si="3"/>
        <v>0</v>
      </c>
      <c r="H173" s="254">
        <f t="shared" si="3"/>
        <v>0</v>
      </c>
      <c r="I173" s="253">
        <f t="shared" si="3"/>
        <v>0</v>
      </c>
      <c r="J173" s="253">
        <f t="shared" si="3"/>
        <v>0</v>
      </c>
      <c r="K173" s="253">
        <f t="shared" si="3"/>
        <v>0</v>
      </c>
      <c r="M173" s="111"/>
      <c r="N173" s="111"/>
    </row>
    <row r="174" spans="1:14" ht="18.75" customHeight="1">
      <c r="A174" s="47">
        <v>1</v>
      </c>
      <c r="B174" s="142" t="str">
        <f>IF('كشف النقاط'!B8&gt;0,'كشف النقاط'!B8," ")</f>
        <v>الحاج </v>
      </c>
      <c r="C174" s="142" t="str">
        <f>IF('كشف النقاط'!C8&gt;0,'كشف النقاط'!C8," ")</f>
        <v>مروة</v>
      </c>
      <c r="D174" s="76" t="str">
        <f>IF('كشف النقاط'!D8&gt;0,'كشف النقاط'!D8," ")</f>
        <v> </v>
      </c>
      <c r="E174" s="69">
        <f>IF('كشف النقاط'!J356&gt;0,'كشف النقاط'!J356,"")</f>
      </c>
      <c r="F174" s="69" t="e">
        <f>IF('كشف النقاط'!#REF!&gt;0,'كشف النقاط'!#REF!,"")</f>
        <v>#REF!</v>
      </c>
      <c r="G174" s="69" t="e">
        <f>IF('كشف النقاط'!#REF!&gt;0,'كشف النقاط'!#REF!,"")</f>
        <v>#REF!</v>
      </c>
      <c r="H174" s="69" t="e">
        <f>IF('كشف النقاط'!#REF!&gt;0,'كشف النقاط'!#REF!,"")</f>
        <v>#REF!</v>
      </c>
      <c r="I174" s="69" t="e">
        <f>IF('كشف النقاط'!#REF!&gt;0,'كشف النقاط'!#REF!,"")</f>
        <v>#REF!</v>
      </c>
      <c r="J174" s="69" t="e">
        <f>IF('كشف النقاط'!#REF!&gt;0,'كشف النقاط'!#REF!,"")</f>
        <v>#REF!</v>
      </c>
      <c r="K174" s="69" t="e">
        <f>IF('كشف النقاط'!#REF!&gt;0,'كشف النقاط'!#REF!,"")</f>
        <v>#REF!</v>
      </c>
      <c r="M174" s="95"/>
      <c r="N174" s="95"/>
    </row>
    <row r="175" spans="1:14" ht="18.75" customHeight="1">
      <c r="A175" s="47">
        <v>2</v>
      </c>
      <c r="B175" s="142" t="str">
        <f>IF('كشف النقاط'!B9&gt;0,'كشف النقاط'!B9," ")</f>
        <v>العياشي </v>
      </c>
      <c r="C175" s="142" t="str">
        <f>IF('كشف النقاط'!C9&gt;0,'كشف النقاط'!C9," ")</f>
        <v>نوار</v>
      </c>
      <c r="D175" s="76" t="str">
        <f>IF('كشف النقاط'!D9&gt;0,'كشف النقاط'!D9," ")</f>
        <v> </v>
      </c>
      <c r="E175" s="69">
        <f>IF('كشف النقاط'!J357&gt;0,'كشف النقاط'!J357,"")</f>
      </c>
      <c r="F175" s="69" t="e">
        <f>IF('كشف النقاط'!#REF!&gt;0,'كشف النقاط'!#REF!,"")</f>
        <v>#REF!</v>
      </c>
      <c r="G175" s="69" t="e">
        <f>IF('كشف النقاط'!#REF!&gt;0,'كشف النقاط'!#REF!,"")</f>
        <v>#REF!</v>
      </c>
      <c r="H175" s="69" t="e">
        <f>IF('كشف النقاط'!#REF!&gt;0,'كشف النقاط'!#REF!,"")</f>
        <v>#REF!</v>
      </c>
      <c r="I175" s="69" t="e">
        <f>IF('كشف النقاط'!#REF!&gt;0,'كشف النقاط'!#REF!,"")</f>
        <v>#REF!</v>
      </c>
      <c r="J175" s="69" t="e">
        <f>IF('كشف النقاط'!#REF!&gt;0,'كشف النقاط'!#REF!,"")</f>
        <v>#REF!</v>
      </c>
      <c r="K175" s="69" t="e">
        <f>IF('كشف النقاط'!#REF!&gt;0,'كشف النقاط'!#REF!,"")</f>
        <v>#REF!</v>
      </c>
      <c r="M175" s="95"/>
      <c r="N175" s="95"/>
    </row>
    <row r="176" spans="1:14" s="63" customFormat="1" ht="18.75" customHeight="1">
      <c r="A176" s="47">
        <v>3</v>
      </c>
      <c r="B176" s="142" t="str">
        <f>IF('كشف النقاط'!B10&gt;0,'كشف النقاط'!B10," ")</f>
        <v>باطح </v>
      </c>
      <c r="C176" s="142" t="str">
        <f>IF('كشف النقاط'!C10&gt;0,'كشف النقاط'!C10," ")</f>
        <v>محمد لمين</v>
      </c>
      <c r="D176" s="76" t="str">
        <f>IF('كشف النقاط'!D10&gt;0,'كشف النقاط'!D10," ")</f>
        <v> </v>
      </c>
      <c r="E176" s="69">
        <f>IF('كشف النقاط'!J358&gt;0,'كشف النقاط'!J358,"")</f>
      </c>
      <c r="F176" s="69" t="e">
        <f>IF('كشف النقاط'!#REF!&gt;0,'كشف النقاط'!#REF!,"")</f>
        <v>#REF!</v>
      </c>
      <c r="G176" s="69" t="e">
        <f>IF('كشف النقاط'!#REF!&gt;0,'كشف النقاط'!#REF!,"")</f>
        <v>#REF!</v>
      </c>
      <c r="H176" s="69" t="e">
        <f>IF('كشف النقاط'!#REF!&gt;0,'كشف النقاط'!#REF!,"")</f>
        <v>#REF!</v>
      </c>
      <c r="I176" s="69" t="e">
        <f>IF('كشف النقاط'!#REF!&gt;0,'كشف النقاط'!#REF!,"")</f>
        <v>#REF!</v>
      </c>
      <c r="J176" s="69" t="e">
        <f>IF('كشف النقاط'!#REF!&gt;0,'كشف النقاط'!#REF!,"")</f>
        <v>#REF!</v>
      </c>
      <c r="K176" s="69" t="e">
        <f>IF('كشف النقاط'!#REF!&gt;0,'كشف النقاط'!#REF!,"")</f>
        <v>#REF!</v>
      </c>
      <c r="M176" s="95"/>
      <c r="N176" s="95"/>
    </row>
    <row r="177" spans="1:14" s="63" customFormat="1" ht="18.75" customHeight="1">
      <c r="A177" s="47">
        <v>4</v>
      </c>
      <c r="B177" s="142" t="str">
        <f>IF('كشف النقاط'!B11&gt;0,'كشف النقاط'!B11," ")</f>
        <v>بوساحة </v>
      </c>
      <c r="C177" s="142" t="str">
        <f>IF('كشف النقاط'!C11&gt;0,'كشف النقاط'!C11," ")</f>
        <v>حسام الدين</v>
      </c>
      <c r="D177" s="76" t="str">
        <f>IF('كشف النقاط'!D11&gt;0,'كشف النقاط'!D11," ")</f>
        <v> </v>
      </c>
      <c r="E177" s="69">
        <f>IF('كشف النقاط'!J359&gt;0,'كشف النقاط'!J359,"")</f>
      </c>
      <c r="F177" s="69" t="e">
        <f>IF('كشف النقاط'!#REF!&gt;0,'كشف النقاط'!#REF!,"")</f>
        <v>#REF!</v>
      </c>
      <c r="G177" s="69" t="e">
        <f>IF('كشف النقاط'!#REF!&gt;0,'كشف النقاط'!#REF!,"")</f>
        <v>#REF!</v>
      </c>
      <c r="H177" s="69" t="e">
        <f>IF('كشف النقاط'!#REF!&gt;0,'كشف النقاط'!#REF!,"")</f>
        <v>#REF!</v>
      </c>
      <c r="I177" s="69" t="e">
        <f>IF('كشف النقاط'!#REF!&gt;0,'كشف النقاط'!#REF!,"")</f>
        <v>#REF!</v>
      </c>
      <c r="J177" s="69" t="e">
        <f>IF('كشف النقاط'!#REF!&gt;0,'كشف النقاط'!#REF!,"")</f>
        <v>#REF!</v>
      </c>
      <c r="K177" s="69" t="e">
        <f>IF('كشف النقاط'!#REF!&gt;0,'كشف النقاط'!#REF!,"")</f>
        <v>#REF!</v>
      </c>
      <c r="M177" s="95"/>
      <c r="N177" s="95"/>
    </row>
    <row r="178" spans="1:14" s="63" customFormat="1" ht="18.75" customHeight="1">
      <c r="A178" s="47">
        <v>5</v>
      </c>
      <c r="B178" s="142" t="str">
        <f>IF('كشف النقاط'!B12&gt;0,'كشف النقاط'!B12," ")</f>
        <v>بوسالم </v>
      </c>
      <c r="C178" s="142" t="str">
        <f>IF('كشف النقاط'!C12&gt;0,'كشف النقاط'!C12," ")</f>
        <v>محمد وليد</v>
      </c>
      <c r="D178" s="76" t="str">
        <f>IF('كشف النقاط'!D12&gt;0,'كشف النقاط'!D12," ")</f>
        <v> </v>
      </c>
      <c r="E178" s="69">
        <f>IF('كشف النقاط'!J360&gt;0,'كشف النقاط'!J360,"")</f>
      </c>
      <c r="F178" s="69" t="e">
        <f>IF('كشف النقاط'!#REF!&gt;0,'كشف النقاط'!#REF!,"")</f>
        <v>#REF!</v>
      </c>
      <c r="G178" s="69" t="e">
        <f>IF('كشف النقاط'!#REF!&gt;0,'كشف النقاط'!#REF!,"")</f>
        <v>#REF!</v>
      </c>
      <c r="H178" s="69" t="e">
        <f>IF('كشف النقاط'!#REF!&gt;0,'كشف النقاط'!#REF!,"")</f>
        <v>#REF!</v>
      </c>
      <c r="I178" s="69" t="e">
        <f>IF('كشف النقاط'!#REF!&gt;0,'كشف النقاط'!#REF!,"")</f>
        <v>#REF!</v>
      </c>
      <c r="J178" s="69" t="e">
        <f>IF('كشف النقاط'!#REF!&gt;0,'كشف النقاط'!#REF!,"")</f>
        <v>#REF!</v>
      </c>
      <c r="K178" s="69" t="e">
        <f>IF('كشف النقاط'!#REF!&gt;0,'كشف النقاط'!#REF!,"")</f>
        <v>#REF!</v>
      </c>
      <c r="M178" s="95"/>
      <c r="N178" s="95"/>
    </row>
    <row r="179" spans="1:14" s="63" customFormat="1" ht="18.75" customHeight="1">
      <c r="A179" s="47">
        <v>6</v>
      </c>
      <c r="B179" s="142" t="str">
        <f>IF('كشف النقاط'!B13&gt;0,'كشف النقاط'!B13," ")</f>
        <v>بوعروج </v>
      </c>
      <c r="C179" s="142" t="str">
        <f>IF('كشف النقاط'!C13&gt;0,'كشف النقاط'!C13," ")</f>
        <v>نسيمة</v>
      </c>
      <c r="D179" s="76" t="str">
        <f>IF('كشف النقاط'!D13&gt;0,'كشف النقاط'!D13," ")</f>
        <v> </v>
      </c>
      <c r="E179" s="69">
        <f>IF('كشف النقاط'!J361&gt;0,'كشف النقاط'!J361,"")</f>
      </c>
      <c r="F179" s="69" t="e">
        <f>IF('كشف النقاط'!#REF!&gt;0,'كشف النقاط'!#REF!,"")</f>
        <v>#REF!</v>
      </c>
      <c r="G179" s="69" t="e">
        <f>IF('كشف النقاط'!#REF!&gt;0,'كشف النقاط'!#REF!,"")</f>
        <v>#REF!</v>
      </c>
      <c r="H179" s="69" t="e">
        <f>IF('كشف النقاط'!#REF!&gt;0,'كشف النقاط'!#REF!,"")</f>
        <v>#REF!</v>
      </c>
      <c r="I179" s="69" t="e">
        <f>IF('كشف النقاط'!#REF!&gt;0,'كشف النقاط'!#REF!,"")</f>
        <v>#REF!</v>
      </c>
      <c r="J179" s="69" t="e">
        <f>IF('كشف النقاط'!#REF!&gt;0,'كشف النقاط'!#REF!,"")</f>
        <v>#REF!</v>
      </c>
      <c r="K179" s="69" t="e">
        <f>IF('كشف النقاط'!#REF!&gt;0,'كشف النقاط'!#REF!,"")</f>
        <v>#REF!</v>
      </c>
      <c r="M179" s="95"/>
      <c r="N179" s="95"/>
    </row>
    <row r="180" spans="1:14" s="63" customFormat="1" ht="18.75" customHeight="1">
      <c r="A180" s="47">
        <v>7</v>
      </c>
      <c r="B180" s="142" t="str">
        <f>IF('كشف النقاط'!B14&gt;0,'كشف النقاط'!B14," ")</f>
        <v>بولعيد </v>
      </c>
      <c r="C180" s="142" t="str">
        <f>IF('كشف النقاط'!C14&gt;0,'كشف النقاط'!C14," ")</f>
        <v>مريم</v>
      </c>
      <c r="D180" s="76" t="str">
        <f>IF('كشف النقاط'!D14&gt;0,'كشف النقاط'!D14," ")</f>
        <v> </v>
      </c>
      <c r="E180" s="69">
        <f>IF('كشف النقاط'!J362&gt;0,'كشف النقاط'!J362,"")</f>
      </c>
      <c r="F180" s="69" t="e">
        <f>IF('كشف النقاط'!#REF!&gt;0,'كشف النقاط'!#REF!,"")</f>
        <v>#REF!</v>
      </c>
      <c r="G180" s="69" t="e">
        <f>IF('كشف النقاط'!#REF!&gt;0,'كشف النقاط'!#REF!,"")</f>
        <v>#REF!</v>
      </c>
      <c r="H180" s="69" t="e">
        <f>IF('كشف النقاط'!#REF!&gt;0,'كشف النقاط'!#REF!,"")</f>
        <v>#REF!</v>
      </c>
      <c r="I180" s="69" t="e">
        <f>IF('كشف النقاط'!#REF!&gt;0,'كشف النقاط'!#REF!,"")</f>
        <v>#REF!</v>
      </c>
      <c r="J180" s="69" t="e">
        <f>IF('كشف النقاط'!#REF!&gt;0,'كشف النقاط'!#REF!,"")</f>
        <v>#REF!</v>
      </c>
      <c r="K180" s="69" t="e">
        <f>IF('كشف النقاط'!#REF!&gt;0,'كشف النقاط'!#REF!,"")</f>
        <v>#REF!</v>
      </c>
      <c r="M180" s="95"/>
      <c r="N180" s="95"/>
    </row>
    <row r="181" spans="1:14" s="63" customFormat="1" ht="18.75" customHeight="1">
      <c r="A181" s="47">
        <v>8</v>
      </c>
      <c r="B181" s="142" t="str">
        <f>IF('كشف النقاط'!B15&gt;0,'كشف النقاط'!B15," ")</f>
        <v>خاوة </v>
      </c>
      <c r="C181" s="142" t="str">
        <f>IF('كشف النقاط'!C15&gt;0,'كشف النقاط'!C15," ")</f>
        <v>أسماء</v>
      </c>
      <c r="D181" s="76" t="str">
        <f>IF('كشف النقاط'!D15&gt;0,'كشف النقاط'!D15," ")</f>
        <v> </v>
      </c>
      <c r="E181" s="69">
        <f>IF('كشف النقاط'!J363&gt;0,'كشف النقاط'!J363,"")</f>
      </c>
      <c r="F181" s="69" t="e">
        <f>IF('كشف النقاط'!#REF!&gt;0,'كشف النقاط'!#REF!,"")</f>
        <v>#REF!</v>
      </c>
      <c r="G181" s="69" t="e">
        <f>IF('كشف النقاط'!#REF!&gt;0,'كشف النقاط'!#REF!,"")</f>
        <v>#REF!</v>
      </c>
      <c r="H181" s="69" t="e">
        <f>IF('كشف النقاط'!#REF!&gt;0,'كشف النقاط'!#REF!,"")</f>
        <v>#REF!</v>
      </c>
      <c r="I181" s="69" t="e">
        <f>IF('كشف النقاط'!#REF!&gt;0,'كشف النقاط'!#REF!,"")</f>
        <v>#REF!</v>
      </c>
      <c r="J181" s="69" t="e">
        <f>IF('كشف النقاط'!#REF!&gt;0,'كشف النقاط'!#REF!,"")</f>
        <v>#REF!</v>
      </c>
      <c r="K181" s="69" t="e">
        <f>IF('كشف النقاط'!#REF!&gt;0,'كشف النقاط'!#REF!,"")</f>
        <v>#REF!</v>
      </c>
      <c r="M181" s="95"/>
      <c r="N181" s="95"/>
    </row>
    <row r="182" spans="1:14" s="63" customFormat="1" ht="18.75" customHeight="1">
      <c r="A182" s="47">
        <v>9</v>
      </c>
      <c r="B182" s="142" t="str">
        <f>IF('كشف النقاط'!B16&gt;0,'كشف النقاط'!B16," ")</f>
        <v>زغلاني </v>
      </c>
      <c r="C182" s="142" t="str">
        <f>IF('كشف النقاط'!C16&gt;0,'كشف النقاط'!C16," ")</f>
        <v>ساعد</v>
      </c>
      <c r="D182" s="76" t="str">
        <f>IF('كشف النقاط'!D16&gt;0,'كشف النقاط'!D16," ")</f>
        <v> </v>
      </c>
      <c r="E182" s="69">
        <f>IF('كشف النقاط'!J364&gt;0,'كشف النقاط'!J364,"")</f>
      </c>
      <c r="F182" s="69" t="e">
        <f>IF('كشف النقاط'!#REF!&gt;0,'كشف النقاط'!#REF!,"")</f>
        <v>#REF!</v>
      </c>
      <c r="G182" s="69" t="e">
        <f>IF('كشف النقاط'!#REF!&gt;0,'كشف النقاط'!#REF!,"")</f>
        <v>#REF!</v>
      </c>
      <c r="H182" s="69" t="e">
        <f>IF('كشف النقاط'!#REF!&gt;0,'كشف النقاط'!#REF!,"")</f>
        <v>#REF!</v>
      </c>
      <c r="I182" s="69" t="e">
        <f>IF('كشف النقاط'!#REF!&gt;0,'كشف النقاط'!#REF!,"")</f>
        <v>#REF!</v>
      </c>
      <c r="J182" s="69" t="e">
        <f>IF('كشف النقاط'!#REF!&gt;0,'كشف النقاط'!#REF!,"")</f>
        <v>#REF!</v>
      </c>
      <c r="K182" s="69" t="e">
        <f>IF('كشف النقاط'!#REF!&gt;0,'كشف النقاط'!#REF!,"")</f>
        <v>#REF!</v>
      </c>
      <c r="M182" s="95"/>
      <c r="N182" s="95"/>
    </row>
    <row r="183" spans="1:14" s="63" customFormat="1" ht="18.75" customHeight="1">
      <c r="A183" s="47">
        <v>10</v>
      </c>
      <c r="B183" s="142" t="str">
        <f>IF('كشف النقاط'!B17&gt;0,'كشف النقاط'!B17," ")</f>
        <v>زياني </v>
      </c>
      <c r="C183" s="142" t="str">
        <f>IF('كشف النقاط'!C17&gt;0,'كشف النقاط'!C17," ")</f>
        <v>أميرة</v>
      </c>
      <c r="D183" s="76" t="str">
        <f>IF('كشف النقاط'!D17&gt;0,'كشف النقاط'!D17," ")</f>
        <v> </v>
      </c>
      <c r="E183" s="69">
        <f>IF('كشف النقاط'!J365&gt;0,'كشف النقاط'!J365,"")</f>
      </c>
      <c r="F183" s="69" t="e">
        <f>IF('كشف النقاط'!#REF!&gt;0,'كشف النقاط'!#REF!,"")</f>
        <v>#REF!</v>
      </c>
      <c r="G183" s="69" t="e">
        <f>IF('كشف النقاط'!#REF!&gt;0,'كشف النقاط'!#REF!,"")</f>
        <v>#REF!</v>
      </c>
      <c r="H183" s="69" t="e">
        <f>IF('كشف النقاط'!#REF!&gt;0,'كشف النقاط'!#REF!,"")</f>
        <v>#REF!</v>
      </c>
      <c r="I183" s="69" t="e">
        <f>IF('كشف النقاط'!#REF!&gt;0,'كشف النقاط'!#REF!,"")</f>
        <v>#REF!</v>
      </c>
      <c r="J183" s="69" t="e">
        <f>IF('كشف النقاط'!#REF!&gt;0,'كشف النقاط'!#REF!,"")</f>
        <v>#REF!</v>
      </c>
      <c r="K183" s="69" t="e">
        <f>IF('كشف النقاط'!#REF!&gt;0,'كشف النقاط'!#REF!,"")</f>
        <v>#REF!</v>
      </c>
      <c r="M183" s="95"/>
      <c r="N183" s="95"/>
    </row>
    <row r="184" spans="1:14" s="63" customFormat="1" ht="18.75" customHeight="1">
      <c r="A184" s="47">
        <v>11</v>
      </c>
      <c r="B184" s="142" t="str">
        <f>IF('كشف النقاط'!B18&gt;0,'كشف النقاط'!B18," ")</f>
        <v>شلابي </v>
      </c>
      <c r="C184" s="142" t="str">
        <f>IF('كشف النقاط'!C18&gt;0,'كشف النقاط'!C18," ")</f>
        <v>هاجر</v>
      </c>
      <c r="D184" s="76" t="str">
        <f>IF('كشف النقاط'!D18&gt;0,'كشف النقاط'!D18," ")</f>
        <v> </v>
      </c>
      <c r="E184" s="69">
        <f>IF('كشف النقاط'!J366&gt;0,'كشف النقاط'!J366,"")</f>
      </c>
      <c r="F184" s="69" t="e">
        <f>IF('كشف النقاط'!#REF!&gt;0,'كشف النقاط'!#REF!,"")</f>
        <v>#REF!</v>
      </c>
      <c r="G184" s="69" t="e">
        <f>IF('كشف النقاط'!#REF!&gt;0,'كشف النقاط'!#REF!,"")</f>
        <v>#REF!</v>
      </c>
      <c r="H184" s="69" t="e">
        <f>IF('كشف النقاط'!#REF!&gt;0,'كشف النقاط'!#REF!,"")</f>
        <v>#REF!</v>
      </c>
      <c r="I184" s="69" t="e">
        <f>IF('كشف النقاط'!#REF!&gt;0,'كشف النقاط'!#REF!,"")</f>
        <v>#REF!</v>
      </c>
      <c r="J184" s="69" t="e">
        <f>IF('كشف النقاط'!#REF!&gt;0,'كشف النقاط'!#REF!,"")</f>
        <v>#REF!</v>
      </c>
      <c r="K184" s="69" t="e">
        <f>IF('كشف النقاط'!#REF!&gt;0,'كشف النقاط'!#REF!,"")</f>
        <v>#REF!</v>
      </c>
      <c r="M184" s="95"/>
      <c r="N184" s="95"/>
    </row>
    <row r="185" spans="1:14" s="63" customFormat="1" ht="18.75" customHeight="1">
      <c r="A185" s="47">
        <v>12</v>
      </c>
      <c r="B185" s="142" t="str">
        <f>IF('كشف النقاط'!B19&gt;0,'كشف النقاط'!B19," ")</f>
        <v>صولي </v>
      </c>
      <c r="C185" s="142" t="str">
        <f>IF('كشف النقاط'!C19&gt;0,'كشف النقاط'!C19," ")</f>
        <v>هشام</v>
      </c>
      <c r="D185" s="76" t="str">
        <f>IF('كشف النقاط'!D19&gt;0,'كشف النقاط'!D19," ")</f>
        <v> </v>
      </c>
      <c r="E185" s="69">
        <f>IF('كشف النقاط'!J367&gt;0,'كشف النقاط'!J367,"")</f>
      </c>
      <c r="F185" s="69" t="e">
        <f>IF('كشف النقاط'!#REF!&gt;0,'كشف النقاط'!#REF!,"")</f>
        <v>#REF!</v>
      </c>
      <c r="G185" s="69" t="e">
        <f>IF('كشف النقاط'!#REF!&gt;0,'كشف النقاط'!#REF!,"")</f>
        <v>#REF!</v>
      </c>
      <c r="H185" s="69" t="e">
        <f>IF('كشف النقاط'!#REF!&gt;0,'كشف النقاط'!#REF!,"")</f>
        <v>#REF!</v>
      </c>
      <c r="I185" s="69" t="e">
        <f>IF('كشف النقاط'!#REF!&gt;0,'كشف النقاط'!#REF!,"")</f>
        <v>#REF!</v>
      </c>
      <c r="J185" s="69" t="e">
        <f>IF('كشف النقاط'!#REF!&gt;0,'كشف النقاط'!#REF!,"")</f>
        <v>#REF!</v>
      </c>
      <c r="K185" s="69" t="e">
        <f>IF('كشف النقاط'!#REF!&gt;0,'كشف النقاط'!#REF!,"")</f>
        <v>#REF!</v>
      </c>
      <c r="M185" s="95"/>
      <c r="N185" s="95"/>
    </row>
    <row r="186" spans="1:14" s="63" customFormat="1" ht="18.75" customHeight="1">
      <c r="A186" s="47">
        <v>13</v>
      </c>
      <c r="B186" s="142" t="str">
        <f>IF('كشف النقاط'!B20&gt;0,'كشف النقاط'!B20," ")</f>
        <v>عطيل</v>
      </c>
      <c r="C186" s="142" t="str">
        <f>IF('كشف النقاط'!C20&gt;0,'كشف النقاط'!C20," ")</f>
        <v>آسيا</v>
      </c>
      <c r="D186" s="76" t="str">
        <f>IF('كشف النقاط'!D20&gt;0,'كشف النقاط'!D20," ")</f>
        <v> </v>
      </c>
      <c r="E186" s="69">
        <f>IF('كشف النقاط'!J368&gt;0,'كشف النقاط'!J368,"")</f>
      </c>
      <c r="F186" s="69" t="e">
        <f>IF('كشف النقاط'!#REF!&gt;0,'كشف النقاط'!#REF!,"")</f>
        <v>#REF!</v>
      </c>
      <c r="G186" s="69" t="e">
        <f>IF('كشف النقاط'!#REF!&gt;0,'كشف النقاط'!#REF!,"")</f>
        <v>#REF!</v>
      </c>
      <c r="H186" s="69" t="e">
        <f>IF('كشف النقاط'!#REF!&gt;0,'كشف النقاط'!#REF!,"")</f>
        <v>#REF!</v>
      </c>
      <c r="I186" s="69" t="e">
        <f>IF('كشف النقاط'!#REF!&gt;0,'كشف النقاط'!#REF!,"")</f>
        <v>#REF!</v>
      </c>
      <c r="J186" s="69" t="e">
        <f>IF('كشف النقاط'!#REF!&gt;0,'كشف النقاط'!#REF!,"")</f>
        <v>#REF!</v>
      </c>
      <c r="K186" s="69" t="e">
        <f>IF('كشف النقاط'!#REF!&gt;0,'كشف النقاط'!#REF!,"")</f>
        <v>#REF!</v>
      </c>
      <c r="M186" s="95"/>
      <c r="N186" s="95"/>
    </row>
    <row r="187" spans="1:14" s="63" customFormat="1" ht="18.75" customHeight="1">
      <c r="A187" s="47">
        <v>14</v>
      </c>
      <c r="B187" s="142" t="str">
        <f>IF('كشف النقاط'!B21&gt;0,'كشف النقاط'!B21," ")</f>
        <v>عيدود </v>
      </c>
      <c r="C187" s="142" t="str">
        <f>IF('كشف النقاط'!C21&gt;0,'كشف النقاط'!C21," ")</f>
        <v>صبرينة</v>
      </c>
      <c r="D187" s="76" t="str">
        <f>IF('كشف النقاط'!D21&gt;0,'كشف النقاط'!D21," ")</f>
        <v> </v>
      </c>
      <c r="E187" s="69">
        <f>IF('كشف النقاط'!J369&gt;0,'كشف النقاط'!J369,"")</f>
      </c>
      <c r="F187" s="69" t="e">
        <f>IF('كشف النقاط'!#REF!&gt;0,'كشف النقاط'!#REF!,"")</f>
        <v>#REF!</v>
      </c>
      <c r="G187" s="69" t="e">
        <f>IF('كشف النقاط'!#REF!&gt;0,'كشف النقاط'!#REF!,"")</f>
        <v>#REF!</v>
      </c>
      <c r="H187" s="69" t="e">
        <f>IF('كشف النقاط'!#REF!&gt;0,'كشف النقاط'!#REF!,"")</f>
        <v>#REF!</v>
      </c>
      <c r="I187" s="69" t="e">
        <f>IF('كشف النقاط'!#REF!&gt;0,'كشف النقاط'!#REF!,"")</f>
        <v>#REF!</v>
      </c>
      <c r="J187" s="69" t="e">
        <f>IF('كشف النقاط'!#REF!&gt;0,'كشف النقاط'!#REF!,"")</f>
        <v>#REF!</v>
      </c>
      <c r="K187" s="69" t="e">
        <f>IF('كشف النقاط'!#REF!&gt;0,'كشف النقاط'!#REF!,"")</f>
        <v>#REF!</v>
      </c>
      <c r="M187" s="95"/>
      <c r="N187" s="95"/>
    </row>
    <row r="188" spans="1:14" s="63" customFormat="1" ht="18.75" customHeight="1">
      <c r="A188" s="47">
        <v>15</v>
      </c>
      <c r="B188" s="142" t="str">
        <f>IF('كشف النقاط'!B22&gt;0,'كشف النقاط'!B22," ")</f>
        <v>قايدي </v>
      </c>
      <c r="C188" s="142" t="str">
        <f>IF('كشف النقاط'!C22&gt;0,'كشف النقاط'!C22," ")</f>
        <v>مريم</v>
      </c>
      <c r="D188" s="76" t="str">
        <f>IF('كشف النقاط'!D22&gt;0,'كشف النقاط'!D22," ")</f>
        <v> </v>
      </c>
      <c r="E188" s="69">
        <f>IF('كشف النقاط'!J370&gt;0,'كشف النقاط'!J370,"")</f>
      </c>
      <c r="F188" s="69" t="e">
        <f>IF('كشف النقاط'!#REF!&gt;0,'كشف النقاط'!#REF!,"")</f>
        <v>#REF!</v>
      </c>
      <c r="G188" s="69" t="e">
        <f>IF('كشف النقاط'!#REF!&gt;0,'كشف النقاط'!#REF!,"")</f>
        <v>#REF!</v>
      </c>
      <c r="H188" s="69" t="e">
        <f>IF('كشف النقاط'!#REF!&gt;0,'كشف النقاط'!#REF!,"")</f>
        <v>#REF!</v>
      </c>
      <c r="I188" s="69" t="e">
        <f>IF('كشف النقاط'!#REF!&gt;0,'كشف النقاط'!#REF!,"")</f>
        <v>#REF!</v>
      </c>
      <c r="J188" s="69" t="e">
        <f>IF('كشف النقاط'!#REF!&gt;0,'كشف النقاط'!#REF!,"")</f>
        <v>#REF!</v>
      </c>
      <c r="K188" s="69" t="e">
        <f>IF('كشف النقاط'!#REF!&gt;0,'كشف النقاط'!#REF!,"")</f>
        <v>#REF!</v>
      </c>
      <c r="M188" s="95"/>
      <c r="N188" s="95"/>
    </row>
    <row r="189" spans="1:14" s="63" customFormat="1" ht="18.75" customHeight="1">
      <c r="A189" s="47">
        <v>16</v>
      </c>
      <c r="B189" s="142" t="str">
        <f>IF('كشف النقاط'!B23&gt;0,'كشف النقاط'!B23," ")</f>
        <v>قرايفية </v>
      </c>
      <c r="C189" s="142" t="str">
        <f>IF('كشف النقاط'!C23&gt;0,'كشف النقاط'!C23," ")</f>
        <v>فؤاد</v>
      </c>
      <c r="D189" s="76" t="str">
        <f>IF('كشف النقاط'!D23&gt;0,'كشف النقاط'!D23," ")</f>
        <v> </v>
      </c>
      <c r="E189" s="69">
        <f>IF('كشف النقاط'!J371&gt;0,'كشف النقاط'!J371,"")</f>
      </c>
      <c r="F189" s="69" t="e">
        <f>IF('كشف النقاط'!#REF!&gt;0,'كشف النقاط'!#REF!,"")</f>
        <v>#REF!</v>
      </c>
      <c r="G189" s="69" t="e">
        <f>IF('كشف النقاط'!#REF!&gt;0,'كشف النقاط'!#REF!,"")</f>
        <v>#REF!</v>
      </c>
      <c r="H189" s="69" t="e">
        <f>IF('كشف النقاط'!#REF!&gt;0,'كشف النقاط'!#REF!,"")</f>
        <v>#REF!</v>
      </c>
      <c r="I189" s="69" t="e">
        <f>IF('كشف النقاط'!#REF!&gt;0,'كشف النقاط'!#REF!,"")</f>
        <v>#REF!</v>
      </c>
      <c r="J189" s="69" t="e">
        <f>IF('كشف النقاط'!#REF!&gt;0,'كشف النقاط'!#REF!,"")</f>
        <v>#REF!</v>
      </c>
      <c r="K189" s="69" t="e">
        <f>IF('كشف النقاط'!#REF!&gt;0,'كشف النقاط'!#REF!,"")</f>
        <v>#REF!</v>
      </c>
      <c r="M189" s="95"/>
      <c r="N189" s="95"/>
    </row>
    <row r="190" spans="1:14" s="63" customFormat="1" ht="18.75" customHeight="1">
      <c r="A190" s="47">
        <v>17</v>
      </c>
      <c r="B190" s="142" t="str">
        <f>IF('كشف النقاط'!B24&gt;0,'كشف النقاط'!B24," ")</f>
        <v>قوادرية</v>
      </c>
      <c r="C190" s="142" t="str">
        <f>IF('كشف النقاط'!C24&gt;0,'كشف النقاط'!C24," ")</f>
        <v>مريم</v>
      </c>
      <c r="D190" s="76" t="str">
        <f>IF('كشف النقاط'!D24&gt;0,'كشف النقاط'!D24," ")</f>
        <v> </v>
      </c>
      <c r="E190" s="69">
        <f>IF('كشف النقاط'!J372&gt;0,'كشف النقاط'!J372,"")</f>
      </c>
      <c r="F190" s="69" t="e">
        <f>IF('كشف النقاط'!#REF!&gt;0,'كشف النقاط'!#REF!,"")</f>
        <v>#REF!</v>
      </c>
      <c r="G190" s="69" t="e">
        <f>IF('كشف النقاط'!#REF!&gt;0,'كشف النقاط'!#REF!,"")</f>
        <v>#REF!</v>
      </c>
      <c r="H190" s="69" t="e">
        <f>IF('كشف النقاط'!#REF!&gt;0,'كشف النقاط'!#REF!,"")</f>
        <v>#REF!</v>
      </c>
      <c r="I190" s="69" t="e">
        <f>IF('كشف النقاط'!#REF!&gt;0,'كشف النقاط'!#REF!,"")</f>
        <v>#REF!</v>
      </c>
      <c r="J190" s="69" t="e">
        <f>IF('كشف النقاط'!#REF!&gt;0,'كشف النقاط'!#REF!,"")</f>
        <v>#REF!</v>
      </c>
      <c r="K190" s="69" t="e">
        <f>IF('كشف النقاط'!#REF!&gt;0,'كشف النقاط'!#REF!,"")</f>
        <v>#REF!</v>
      </c>
      <c r="M190" s="95"/>
      <c r="N190" s="95"/>
    </row>
    <row r="191" spans="1:14" s="63" customFormat="1" ht="18.75" customHeight="1">
      <c r="A191" s="47">
        <v>18</v>
      </c>
      <c r="B191" s="142" t="str">
        <f>IF('كشف النقاط'!B25&gt;0,'كشف النقاط'!B25," ")</f>
        <v>محفوظ </v>
      </c>
      <c r="C191" s="142" t="str">
        <f>IF('كشف النقاط'!C25&gt;0,'كشف النقاط'!C25," ")</f>
        <v>بشرى</v>
      </c>
      <c r="D191" s="76" t="str">
        <f>IF('كشف النقاط'!D25&gt;0,'كشف النقاط'!D25," ")</f>
        <v> </v>
      </c>
      <c r="E191" s="69">
        <f>IF('كشف النقاط'!J373&gt;0,'كشف النقاط'!J373,"")</f>
      </c>
      <c r="F191" s="69" t="e">
        <f>IF('كشف النقاط'!#REF!&gt;0,'كشف النقاط'!#REF!,"")</f>
        <v>#REF!</v>
      </c>
      <c r="G191" s="69" t="e">
        <f>IF('كشف النقاط'!#REF!&gt;0,'كشف النقاط'!#REF!,"")</f>
        <v>#REF!</v>
      </c>
      <c r="H191" s="69" t="e">
        <f>IF('كشف النقاط'!#REF!&gt;0,'كشف النقاط'!#REF!,"")</f>
        <v>#REF!</v>
      </c>
      <c r="I191" s="69" t="e">
        <f>IF('كشف النقاط'!#REF!&gt;0,'كشف النقاط'!#REF!,"")</f>
        <v>#REF!</v>
      </c>
      <c r="J191" s="69" t="e">
        <f>IF('كشف النقاط'!#REF!&gt;0,'كشف النقاط'!#REF!,"")</f>
        <v>#REF!</v>
      </c>
      <c r="K191" s="69" t="e">
        <f>IF('كشف النقاط'!#REF!&gt;0,'كشف النقاط'!#REF!,"")</f>
        <v>#REF!</v>
      </c>
      <c r="M191" s="95"/>
      <c r="N191" s="95"/>
    </row>
    <row r="192" spans="1:14" s="63" customFormat="1" ht="18.75" customHeight="1">
      <c r="A192" s="47">
        <v>19</v>
      </c>
      <c r="B192" s="142" t="str">
        <f>IF('كشف النقاط'!B26&gt;0,'كشف النقاط'!B26," ")</f>
        <v>مسطوري </v>
      </c>
      <c r="C192" s="142" t="str">
        <f>IF('كشف النقاط'!C26&gt;0,'كشف النقاط'!C26," ")</f>
        <v>سارة</v>
      </c>
      <c r="D192" s="76" t="str">
        <f>IF('كشف النقاط'!D26&gt;0,'كشف النقاط'!D26," ")</f>
        <v> </v>
      </c>
      <c r="E192" s="69">
        <f>IF('كشف النقاط'!J374&gt;0,'كشف النقاط'!J374,"")</f>
      </c>
      <c r="F192" s="69" t="e">
        <f>IF('كشف النقاط'!#REF!&gt;0,'كشف النقاط'!#REF!,"")</f>
        <v>#REF!</v>
      </c>
      <c r="G192" s="69" t="e">
        <f>IF('كشف النقاط'!#REF!&gt;0,'كشف النقاط'!#REF!,"")</f>
        <v>#REF!</v>
      </c>
      <c r="H192" s="69" t="e">
        <f>IF('كشف النقاط'!#REF!&gt;0,'كشف النقاط'!#REF!,"")</f>
        <v>#REF!</v>
      </c>
      <c r="I192" s="69" t="e">
        <f>IF('كشف النقاط'!#REF!&gt;0,'كشف النقاط'!#REF!,"")</f>
        <v>#REF!</v>
      </c>
      <c r="J192" s="69" t="e">
        <f>IF('كشف النقاط'!#REF!&gt;0,'كشف النقاط'!#REF!,"")</f>
        <v>#REF!</v>
      </c>
      <c r="K192" s="69" t="e">
        <f>IF('كشف النقاط'!#REF!&gt;0,'كشف النقاط'!#REF!,"")</f>
        <v>#REF!</v>
      </c>
      <c r="M192" s="95"/>
      <c r="N192" s="95"/>
    </row>
    <row r="193" spans="1:14" s="63" customFormat="1" ht="18.75" customHeight="1">
      <c r="A193" s="47">
        <v>20</v>
      </c>
      <c r="B193" s="142" t="str">
        <f>IF('كشف النقاط'!B27&gt;0,'كشف النقاط'!B27," ")</f>
        <v>هداف </v>
      </c>
      <c r="C193" s="142" t="str">
        <f>IF('كشف النقاط'!C27&gt;0,'كشف النقاط'!C27," ")</f>
        <v>حياة</v>
      </c>
      <c r="D193" s="76" t="str">
        <f>IF('كشف النقاط'!D27&gt;0,'كشف النقاط'!D27," ")</f>
        <v> </v>
      </c>
      <c r="E193" s="69">
        <f>IF('كشف النقاط'!J375&gt;0,'كشف النقاط'!J375,"")</f>
      </c>
      <c r="F193" s="69" t="e">
        <f>IF('كشف النقاط'!#REF!&gt;0,'كشف النقاط'!#REF!,"")</f>
        <v>#REF!</v>
      </c>
      <c r="G193" s="69" t="e">
        <f>IF('كشف النقاط'!#REF!&gt;0,'كشف النقاط'!#REF!,"")</f>
        <v>#REF!</v>
      </c>
      <c r="H193" s="69" t="e">
        <f>IF('كشف النقاط'!#REF!&gt;0,'كشف النقاط'!#REF!,"")</f>
        <v>#REF!</v>
      </c>
      <c r="I193" s="69" t="e">
        <f>IF('كشف النقاط'!#REF!&gt;0,'كشف النقاط'!#REF!,"")</f>
        <v>#REF!</v>
      </c>
      <c r="J193" s="69" t="e">
        <f>IF('كشف النقاط'!#REF!&gt;0,'كشف النقاط'!#REF!,"")</f>
        <v>#REF!</v>
      </c>
      <c r="K193" s="69" t="e">
        <f>IF('كشف النقاط'!#REF!&gt;0,'كشف النقاط'!#REF!,"")</f>
        <v>#REF!</v>
      </c>
      <c r="M193" s="95"/>
      <c r="N193" s="95"/>
    </row>
    <row r="194" spans="1:14" s="63" customFormat="1" ht="18.75" customHeight="1">
      <c r="A194" s="47">
        <v>21</v>
      </c>
      <c r="B194" s="142" t="str">
        <f>IF('كشف النقاط'!B28&gt;0,'كشف النقاط'!B28," ")</f>
        <v> </v>
      </c>
      <c r="C194" s="142" t="str">
        <f>IF('كشف النقاط'!C28&gt;0,'كشف النقاط'!C28," ")</f>
        <v> </v>
      </c>
      <c r="D194" s="76" t="str">
        <f>IF('كشف النقاط'!D28&gt;0,'كشف النقاط'!D28," ")</f>
        <v> </v>
      </c>
      <c r="E194" s="69">
        <f>IF('كشف النقاط'!J376&gt;0,'كشف النقاط'!J376,"")</f>
      </c>
      <c r="F194" s="69" t="e">
        <f>IF('كشف النقاط'!#REF!&gt;0,'كشف النقاط'!#REF!,"")</f>
        <v>#REF!</v>
      </c>
      <c r="G194" s="69" t="e">
        <f>IF('كشف النقاط'!#REF!&gt;0,'كشف النقاط'!#REF!,"")</f>
        <v>#REF!</v>
      </c>
      <c r="H194" s="69" t="e">
        <f>IF('كشف النقاط'!#REF!&gt;0,'كشف النقاط'!#REF!,"")</f>
        <v>#REF!</v>
      </c>
      <c r="I194" s="69" t="e">
        <f>IF('كشف النقاط'!#REF!&gt;0,'كشف النقاط'!#REF!,"")</f>
        <v>#REF!</v>
      </c>
      <c r="J194" s="69" t="e">
        <f>IF('كشف النقاط'!#REF!&gt;0,'كشف النقاط'!#REF!,"")</f>
        <v>#REF!</v>
      </c>
      <c r="K194" s="69" t="e">
        <f>IF('كشف النقاط'!#REF!&gt;0,'كشف النقاط'!#REF!,"")</f>
        <v>#REF!</v>
      </c>
      <c r="M194" s="95"/>
      <c r="N194" s="95"/>
    </row>
    <row r="195" spans="1:14" s="63" customFormat="1" ht="17.25" customHeight="1">
      <c r="A195" s="47">
        <v>22</v>
      </c>
      <c r="B195" s="142" t="str">
        <f>IF('كشف النقاط'!B29&gt;0,'كشف النقاط'!B29," ")</f>
        <v> </v>
      </c>
      <c r="C195" s="142" t="str">
        <f>IF('كشف النقاط'!C29&gt;0,'كشف النقاط'!C29," ")</f>
        <v> </v>
      </c>
      <c r="D195" s="76" t="str">
        <f>IF('كشف النقاط'!D29&gt;0,'كشف النقاط'!D29," ")</f>
        <v> </v>
      </c>
      <c r="E195" s="69">
        <f>IF('كشف النقاط'!J377&gt;0,'كشف النقاط'!J377,"")</f>
      </c>
      <c r="F195" s="69" t="e">
        <f>IF('كشف النقاط'!#REF!&gt;0,'كشف النقاط'!#REF!,"")</f>
        <v>#REF!</v>
      </c>
      <c r="G195" s="69" t="e">
        <f>IF('كشف النقاط'!#REF!&gt;0,'كشف النقاط'!#REF!,"")</f>
        <v>#REF!</v>
      </c>
      <c r="H195" s="69" t="e">
        <f>IF('كشف النقاط'!#REF!&gt;0,'كشف النقاط'!#REF!,"")</f>
        <v>#REF!</v>
      </c>
      <c r="I195" s="69" t="e">
        <f>IF('كشف النقاط'!#REF!&gt;0,'كشف النقاط'!#REF!,"")</f>
        <v>#REF!</v>
      </c>
      <c r="J195" s="69" t="e">
        <f>IF('كشف النقاط'!#REF!&gt;0,'كشف النقاط'!#REF!,"")</f>
        <v>#REF!</v>
      </c>
      <c r="K195" s="69" t="e">
        <f>IF('كشف النقاط'!#REF!&gt;0,'كشف النقاط'!#REF!,"")</f>
        <v>#REF!</v>
      </c>
      <c r="M195" s="95"/>
      <c r="N195" s="95"/>
    </row>
    <row r="196" spans="1:14" s="63" customFormat="1" ht="17.25" customHeight="1">
      <c r="A196" s="47">
        <v>23</v>
      </c>
      <c r="B196" s="142" t="str">
        <f>IF('كشف النقاط'!B30&gt;0,'كشف النقاط'!B30," ")</f>
        <v> </v>
      </c>
      <c r="C196" s="142" t="str">
        <f>IF('كشف النقاط'!C30&gt;0,'كشف النقاط'!C30," ")</f>
        <v> </v>
      </c>
      <c r="D196" s="76" t="str">
        <f>IF('كشف النقاط'!D30&gt;0,'كشف النقاط'!D30," ")</f>
        <v> </v>
      </c>
      <c r="E196" s="69">
        <f>IF('كشف النقاط'!J378&gt;0,'كشف النقاط'!J378,"")</f>
      </c>
      <c r="F196" s="69" t="e">
        <f>IF('كشف النقاط'!#REF!&gt;0,'كشف النقاط'!#REF!,"")</f>
        <v>#REF!</v>
      </c>
      <c r="G196" s="69" t="e">
        <f>IF('كشف النقاط'!#REF!&gt;0,'كشف النقاط'!#REF!,"")</f>
        <v>#REF!</v>
      </c>
      <c r="H196" s="69" t="e">
        <f>IF('كشف النقاط'!#REF!&gt;0,'كشف النقاط'!#REF!,"")</f>
        <v>#REF!</v>
      </c>
      <c r="I196" s="69" t="e">
        <f>IF('كشف النقاط'!#REF!&gt;0,'كشف النقاط'!#REF!,"")</f>
        <v>#REF!</v>
      </c>
      <c r="J196" s="69" t="e">
        <f>IF('كشف النقاط'!#REF!&gt;0,'كشف النقاط'!#REF!,"")</f>
        <v>#REF!</v>
      </c>
      <c r="K196" s="69" t="e">
        <f>IF('كشف النقاط'!#REF!&gt;0,'كشف النقاط'!#REF!,"")</f>
        <v>#REF!</v>
      </c>
      <c r="M196" s="95"/>
      <c r="N196" s="95"/>
    </row>
    <row r="197" spans="1:14" s="63" customFormat="1" ht="17.25" customHeight="1">
      <c r="A197" s="47">
        <v>24</v>
      </c>
      <c r="B197" s="142" t="str">
        <f>IF('كشف النقاط'!B31&gt;0,'كشف النقاط'!B31," ")</f>
        <v> </v>
      </c>
      <c r="C197" s="142" t="str">
        <f>IF('كشف النقاط'!C31&gt;0,'كشف النقاط'!C31," ")</f>
        <v> </v>
      </c>
      <c r="D197" s="76" t="str">
        <f>IF('كشف النقاط'!D31&gt;0,'كشف النقاط'!D31," ")</f>
        <v> </v>
      </c>
      <c r="E197" s="69">
        <f>IF('كشف النقاط'!J379&gt;0,'كشف النقاط'!J379,"")</f>
      </c>
      <c r="F197" s="69" t="e">
        <f>IF('كشف النقاط'!#REF!&gt;0,'كشف النقاط'!#REF!,"")</f>
        <v>#REF!</v>
      </c>
      <c r="G197" s="69" t="e">
        <f>IF('كشف النقاط'!#REF!&gt;0,'كشف النقاط'!#REF!,"")</f>
        <v>#REF!</v>
      </c>
      <c r="H197" s="69" t="e">
        <f>IF('كشف النقاط'!#REF!&gt;0,'كشف النقاط'!#REF!,"")</f>
        <v>#REF!</v>
      </c>
      <c r="I197" s="69" t="e">
        <f>IF('كشف النقاط'!#REF!&gt;0,'كشف النقاط'!#REF!,"")</f>
        <v>#REF!</v>
      </c>
      <c r="J197" s="69" t="e">
        <f>IF('كشف النقاط'!#REF!&gt;0,'كشف النقاط'!#REF!,"")</f>
        <v>#REF!</v>
      </c>
      <c r="K197" s="69" t="e">
        <f>IF('كشف النقاط'!#REF!&gt;0,'كشف النقاط'!#REF!,"")</f>
        <v>#REF!</v>
      </c>
      <c r="M197" s="95"/>
      <c r="N197" s="95"/>
    </row>
    <row r="198" spans="1:14" s="63" customFormat="1" ht="17.25" customHeight="1">
      <c r="A198" s="47">
        <v>25</v>
      </c>
      <c r="B198" s="142" t="str">
        <f>IF('كشف النقاط'!B32&gt;0,'كشف النقاط'!B32," ")</f>
        <v> </v>
      </c>
      <c r="C198" s="142" t="str">
        <f>IF('كشف النقاط'!C32&gt;0,'كشف النقاط'!C32," ")</f>
        <v> </v>
      </c>
      <c r="D198" s="76" t="str">
        <f>IF('كشف النقاط'!D32&gt;0,'كشف النقاط'!D32," ")</f>
        <v> </v>
      </c>
      <c r="E198" s="69">
        <f>IF('كشف النقاط'!J380&gt;0,'كشف النقاط'!J380,"")</f>
      </c>
      <c r="F198" s="69" t="e">
        <f>IF('كشف النقاط'!#REF!&gt;0,'كشف النقاط'!#REF!,"")</f>
        <v>#REF!</v>
      </c>
      <c r="G198" s="69" t="e">
        <f>IF('كشف النقاط'!#REF!&gt;0,'كشف النقاط'!#REF!,"")</f>
        <v>#REF!</v>
      </c>
      <c r="H198" s="69" t="e">
        <f>IF('كشف النقاط'!#REF!&gt;0,'كشف النقاط'!#REF!,"")</f>
        <v>#REF!</v>
      </c>
      <c r="I198" s="69" t="e">
        <f>IF('كشف النقاط'!#REF!&gt;0,'كشف النقاط'!#REF!,"")</f>
        <v>#REF!</v>
      </c>
      <c r="J198" s="69" t="e">
        <f>IF('كشف النقاط'!#REF!&gt;0,'كشف النقاط'!#REF!,"")</f>
        <v>#REF!</v>
      </c>
      <c r="K198" s="69" t="e">
        <f>IF('كشف النقاط'!#REF!&gt;0,'كشف النقاط'!#REF!,"")</f>
        <v>#REF!</v>
      </c>
      <c r="M198" s="95"/>
      <c r="N198" s="95"/>
    </row>
    <row r="199" spans="1:14" s="63" customFormat="1" ht="17.25" customHeight="1">
      <c r="A199" s="47">
        <v>26</v>
      </c>
      <c r="B199" s="142" t="str">
        <f>IF('كشف النقاط'!B33&gt;0,'كشف النقاط'!B33," ")</f>
        <v> </v>
      </c>
      <c r="C199" s="142" t="str">
        <f>IF('كشف النقاط'!C33&gt;0,'كشف النقاط'!C33," ")</f>
        <v> </v>
      </c>
      <c r="D199" s="76" t="str">
        <f>IF('كشف النقاط'!D33&gt;0,'كشف النقاط'!D33," ")</f>
        <v> </v>
      </c>
      <c r="E199" s="69">
        <f>IF('كشف النقاط'!J381&gt;0,'كشف النقاط'!J381,"")</f>
      </c>
      <c r="F199" s="69" t="e">
        <f>IF('كشف النقاط'!#REF!&gt;0,'كشف النقاط'!#REF!,"")</f>
        <v>#REF!</v>
      </c>
      <c r="G199" s="69" t="e">
        <f>IF('كشف النقاط'!#REF!&gt;0,'كشف النقاط'!#REF!,"")</f>
        <v>#REF!</v>
      </c>
      <c r="H199" s="69" t="e">
        <f>IF('كشف النقاط'!#REF!&gt;0,'كشف النقاط'!#REF!,"")</f>
        <v>#REF!</v>
      </c>
      <c r="I199" s="69" t="e">
        <f>IF('كشف النقاط'!#REF!&gt;0,'كشف النقاط'!#REF!,"")</f>
        <v>#REF!</v>
      </c>
      <c r="J199" s="69" t="e">
        <f>IF('كشف النقاط'!#REF!&gt;0,'كشف النقاط'!#REF!,"")</f>
        <v>#REF!</v>
      </c>
      <c r="K199" s="69" t="e">
        <f>IF('كشف النقاط'!#REF!&gt;0,'كشف النقاط'!#REF!,"")</f>
        <v>#REF!</v>
      </c>
      <c r="M199" s="95"/>
      <c r="N199" s="95"/>
    </row>
    <row r="200" spans="1:14" s="63" customFormat="1" ht="17.25" customHeight="1">
      <c r="A200" s="47">
        <v>27</v>
      </c>
      <c r="B200" s="142" t="str">
        <f>IF('كشف النقاط'!B34&gt;0,'كشف النقاط'!B34," ")</f>
        <v> </v>
      </c>
      <c r="C200" s="142" t="str">
        <f>IF('كشف النقاط'!C34&gt;0,'كشف النقاط'!C34," ")</f>
        <v> </v>
      </c>
      <c r="D200" s="76" t="str">
        <f>IF('كشف النقاط'!D34&gt;0,'كشف النقاط'!D34," ")</f>
        <v> </v>
      </c>
      <c r="E200" s="69">
        <f>IF('كشف النقاط'!J382&gt;0,'كشف النقاط'!J382,"")</f>
      </c>
      <c r="F200" s="69" t="e">
        <f>IF('كشف النقاط'!#REF!&gt;0,'كشف النقاط'!#REF!,"")</f>
        <v>#REF!</v>
      </c>
      <c r="G200" s="69" t="e">
        <f>IF('كشف النقاط'!#REF!&gt;0,'كشف النقاط'!#REF!,"")</f>
        <v>#REF!</v>
      </c>
      <c r="H200" s="69" t="e">
        <f>IF('كشف النقاط'!#REF!&gt;0,'كشف النقاط'!#REF!,"")</f>
        <v>#REF!</v>
      </c>
      <c r="I200" s="69" t="e">
        <f>IF('كشف النقاط'!#REF!&gt;0,'كشف النقاط'!#REF!,"")</f>
        <v>#REF!</v>
      </c>
      <c r="J200" s="69" t="e">
        <f>IF('كشف النقاط'!#REF!&gt;0,'كشف النقاط'!#REF!,"")</f>
        <v>#REF!</v>
      </c>
      <c r="K200" s="69" t="e">
        <f>IF('كشف النقاط'!#REF!&gt;0,'كشف النقاط'!#REF!,"")</f>
        <v>#REF!</v>
      </c>
      <c r="M200" s="95"/>
      <c r="N200" s="95"/>
    </row>
    <row r="201" spans="1:14" s="63" customFormat="1" ht="17.25" customHeight="1">
      <c r="A201" s="47">
        <v>28</v>
      </c>
      <c r="B201" s="142" t="str">
        <f>IF('كشف النقاط'!B35&gt;0,'كشف النقاط'!B35," ")</f>
        <v> </v>
      </c>
      <c r="C201" s="142" t="str">
        <f>IF('كشف النقاط'!C35&gt;0,'كشف النقاط'!C35," ")</f>
        <v> </v>
      </c>
      <c r="D201" s="76" t="str">
        <f>IF('كشف النقاط'!D35&gt;0,'كشف النقاط'!D35," ")</f>
        <v> </v>
      </c>
      <c r="E201" s="69">
        <f>IF('كشف النقاط'!J383&gt;0,'كشف النقاط'!J383,"")</f>
      </c>
      <c r="F201" s="69" t="e">
        <f>IF('كشف النقاط'!#REF!&gt;0,'كشف النقاط'!#REF!,"")</f>
        <v>#REF!</v>
      </c>
      <c r="G201" s="69" t="e">
        <f>IF('كشف النقاط'!#REF!&gt;0,'كشف النقاط'!#REF!,"")</f>
        <v>#REF!</v>
      </c>
      <c r="H201" s="69" t="e">
        <f>IF('كشف النقاط'!#REF!&gt;0,'كشف النقاط'!#REF!,"")</f>
        <v>#REF!</v>
      </c>
      <c r="I201" s="69" t="e">
        <f>IF('كشف النقاط'!#REF!&gt;0,'كشف النقاط'!#REF!,"")</f>
        <v>#REF!</v>
      </c>
      <c r="J201" s="69" t="e">
        <f>IF('كشف النقاط'!#REF!&gt;0,'كشف النقاط'!#REF!,"")</f>
        <v>#REF!</v>
      </c>
      <c r="K201" s="69" t="e">
        <f>IF('كشف النقاط'!#REF!&gt;0,'كشف النقاط'!#REF!,"")</f>
        <v>#REF!</v>
      </c>
      <c r="M201" s="95"/>
      <c r="N201" s="95"/>
    </row>
    <row r="202" spans="1:14" s="63" customFormat="1" ht="17.25" customHeight="1">
      <c r="A202" s="47">
        <v>29</v>
      </c>
      <c r="B202" s="142" t="str">
        <f>IF('كشف النقاط'!B36&gt;0,'كشف النقاط'!B36," ")</f>
        <v> </v>
      </c>
      <c r="C202" s="142" t="str">
        <f>IF('كشف النقاط'!C36&gt;0,'كشف النقاط'!C36," ")</f>
        <v> </v>
      </c>
      <c r="D202" s="76" t="str">
        <f>IF('كشف النقاط'!D36&gt;0,'كشف النقاط'!D36," ")</f>
        <v> </v>
      </c>
      <c r="E202" s="69">
        <f>IF('كشف النقاط'!J384&gt;0,'كشف النقاط'!J384,"")</f>
      </c>
      <c r="F202" s="69" t="e">
        <f>IF('كشف النقاط'!#REF!&gt;0,'كشف النقاط'!#REF!,"")</f>
        <v>#REF!</v>
      </c>
      <c r="G202" s="69" t="e">
        <f>IF('كشف النقاط'!#REF!&gt;0,'كشف النقاط'!#REF!,"")</f>
        <v>#REF!</v>
      </c>
      <c r="H202" s="69" t="e">
        <f>IF('كشف النقاط'!#REF!&gt;0,'كشف النقاط'!#REF!,"")</f>
        <v>#REF!</v>
      </c>
      <c r="I202" s="69" t="e">
        <f>IF('كشف النقاط'!#REF!&gt;0,'كشف النقاط'!#REF!,"")</f>
        <v>#REF!</v>
      </c>
      <c r="J202" s="69" t="e">
        <f>IF('كشف النقاط'!#REF!&gt;0,'كشف النقاط'!#REF!,"")</f>
        <v>#REF!</v>
      </c>
      <c r="K202" s="69" t="e">
        <f>IF('كشف النقاط'!#REF!&gt;0,'كشف النقاط'!#REF!,"")</f>
        <v>#REF!</v>
      </c>
      <c r="M202" s="95"/>
      <c r="N202" s="95"/>
    </row>
    <row r="203" spans="1:14" s="63" customFormat="1" ht="17.25" customHeight="1">
      <c r="A203" s="47">
        <v>30</v>
      </c>
      <c r="B203" s="142" t="str">
        <f>IF('كشف النقاط'!B37&gt;0,'كشف النقاط'!B37," ")</f>
        <v> </v>
      </c>
      <c r="C203" s="142" t="str">
        <f>IF('كشف النقاط'!C37&gt;0,'كشف النقاط'!C37," ")</f>
        <v> </v>
      </c>
      <c r="D203" s="76" t="str">
        <f>IF('كشف النقاط'!D37&gt;0,'كشف النقاط'!D37," ")</f>
        <v> </v>
      </c>
      <c r="E203" s="69">
        <f>IF('كشف النقاط'!J385&gt;0,'كشف النقاط'!J385,"")</f>
      </c>
      <c r="F203" s="69" t="e">
        <f>IF('كشف النقاط'!#REF!&gt;0,'كشف النقاط'!#REF!,"")</f>
        <v>#REF!</v>
      </c>
      <c r="G203" s="69" t="e">
        <f>IF('كشف النقاط'!#REF!&gt;0,'كشف النقاط'!#REF!,"")</f>
        <v>#REF!</v>
      </c>
      <c r="H203" s="69" t="e">
        <f>IF('كشف النقاط'!#REF!&gt;0,'كشف النقاط'!#REF!,"")</f>
        <v>#REF!</v>
      </c>
      <c r="I203" s="69" t="e">
        <f>IF('كشف النقاط'!#REF!&gt;0,'كشف النقاط'!#REF!,"")</f>
        <v>#REF!</v>
      </c>
      <c r="J203" s="69" t="e">
        <f>IF('كشف النقاط'!#REF!&gt;0,'كشف النقاط'!#REF!,"")</f>
        <v>#REF!</v>
      </c>
      <c r="K203" s="69" t="e">
        <f>IF('كشف النقاط'!#REF!&gt;0,'كشف النقاط'!#REF!,"")</f>
        <v>#REF!</v>
      </c>
      <c r="M203" s="95"/>
      <c r="N203" s="95"/>
    </row>
    <row r="204" spans="1:14" s="63" customFormat="1" ht="17.25" customHeight="1">
      <c r="A204" s="47">
        <v>31</v>
      </c>
      <c r="B204" s="142" t="str">
        <f>IF('كشف النقاط'!B38&gt;0,'كشف النقاط'!B38," ")</f>
        <v> </v>
      </c>
      <c r="C204" s="142" t="str">
        <f>IF('كشف النقاط'!C38&gt;0,'كشف النقاط'!C38," ")</f>
        <v> </v>
      </c>
      <c r="D204" s="76" t="str">
        <f>IF('كشف النقاط'!D38&gt;0,'كشف النقاط'!D38," ")</f>
        <v> </v>
      </c>
      <c r="E204" s="69">
        <f>IF('كشف النقاط'!J386&gt;0,'كشف النقاط'!J386,"")</f>
      </c>
      <c r="F204" s="69" t="e">
        <f>IF('كشف النقاط'!#REF!&gt;0,'كشف النقاط'!#REF!,"")</f>
        <v>#REF!</v>
      </c>
      <c r="G204" s="69" t="e">
        <f>IF('كشف النقاط'!#REF!&gt;0,'كشف النقاط'!#REF!,"")</f>
        <v>#REF!</v>
      </c>
      <c r="H204" s="69" t="e">
        <f>IF('كشف النقاط'!#REF!&gt;0,'كشف النقاط'!#REF!,"")</f>
        <v>#REF!</v>
      </c>
      <c r="I204" s="69" t="e">
        <f>IF('كشف النقاط'!#REF!&gt;0,'كشف النقاط'!#REF!,"")</f>
        <v>#REF!</v>
      </c>
      <c r="J204" s="69" t="e">
        <f>IF('كشف النقاط'!#REF!&gt;0,'كشف النقاط'!#REF!,"")</f>
        <v>#REF!</v>
      </c>
      <c r="K204" s="69" t="e">
        <f>IF('كشف النقاط'!#REF!&gt;0,'كشف النقاط'!#REF!,"")</f>
        <v>#REF!</v>
      </c>
      <c r="M204" s="95"/>
      <c r="N204" s="95"/>
    </row>
    <row r="205" spans="1:11" ht="15.75" customHeight="1">
      <c r="A205" s="47">
        <v>32</v>
      </c>
      <c r="B205" s="142" t="str">
        <f>IF('كشف النقاط'!B39&gt;0,'كشف النقاط'!B39," ")</f>
        <v> </v>
      </c>
      <c r="C205" s="142" t="str">
        <f>IF('كشف النقاط'!C39&gt;0,'كشف النقاط'!C39," ")</f>
        <v> </v>
      </c>
      <c r="D205" s="76" t="str">
        <f>IF('كشف النقاط'!D39&gt;0,'كشف النقاط'!D39," ")</f>
        <v> </v>
      </c>
      <c r="E205" s="69">
        <f>IF('كشف النقاط'!J387&gt;0,'كشف النقاط'!J387,"")</f>
      </c>
      <c r="F205" s="69" t="e">
        <f>IF('كشف النقاط'!#REF!&gt;0,'كشف النقاط'!#REF!,"")</f>
        <v>#REF!</v>
      </c>
      <c r="G205" s="69" t="e">
        <f>IF('كشف النقاط'!#REF!&gt;0,'كشف النقاط'!#REF!,"")</f>
        <v>#REF!</v>
      </c>
      <c r="H205" s="69" t="e">
        <f>IF('كشف النقاط'!#REF!&gt;0,'كشف النقاط'!#REF!,"")</f>
        <v>#REF!</v>
      </c>
      <c r="I205" s="69" t="e">
        <f>IF('كشف النقاط'!#REF!&gt;0,'كشف النقاط'!#REF!,"")</f>
        <v>#REF!</v>
      </c>
      <c r="J205" s="69" t="e">
        <f>IF('كشف النقاط'!#REF!&gt;0,'كشف النقاط'!#REF!,"")</f>
        <v>#REF!</v>
      </c>
      <c r="K205" s="69" t="e">
        <f>IF('كشف النقاط'!#REF!&gt;0,'كشف النقاط'!#REF!,"")</f>
        <v>#REF!</v>
      </c>
    </row>
    <row r="208" spans="2:3" ht="18">
      <c r="B208" s="693">
        <f ca="1">TODAY()</f>
        <v>43188</v>
      </c>
      <c r="C208" s="693"/>
    </row>
  </sheetData>
  <sheetProtection/>
  <mergeCells count="15">
    <mergeCell ref="B166:C166"/>
    <mergeCell ref="B208:C208"/>
    <mergeCell ref="A48:A49"/>
    <mergeCell ref="B48:B49"/>
    <mergeCell ref="C48:C49"/>
    <mergeCell ref="B39:C39"/>
    <mergeCell ref="B81:C81"/>
    <mergeCell ref="B123:C123"/>
    <mergeCell ref="I48:I49"/>
    <mergeCell ref="J48:J49"/>
    <mergeCell ref="K48:K49"/>
    <mergeCell ref="E48:E49"/>
    <mergeCell ref="F48:F49"/>
    <mergeCell ref="G48:G49"/>
    <mergeCell ref="H48:H49"/>
  </mergeCells>
  <printOptions/>
  <pageMargins left="0"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178"/>
  <sheetViews>
    <sheetView rightToLeft="1" view="pageBreakPreview" zoomScale="96" zoomScaleSheetLayoutView="96" zoomScalePageLayoutView="0" workbookViewId="0" topLeftCell="A1">
      <selection activeCell="I1" sqref="I1"/>
    </sheetView>
  </sheetViews>
  <sheetFormatPr defaultColWidth="11.421875" defaultRowHeight="12.75"/>
  <cols>
    <col min="1" max="1" width="10.140625" style="0" customWidth="1"/>
    <col min="2" max="2" width="11.00390625" style="0" customWidth="1"/>
    <col min="3" max="3" width="14.57421875" style="0" customWidth="1"/>
    <col min="4" max="4" width="4.57421875" style="0" customWidth="1"/>
    <col min="5" max="5" width="14.7109375" style="0" customWidth="1"/>
    <col min="6" max="6" width="17.57421875" style="0" customWidth="1"/>
    <col min="7" max="7" width="16.28125" style="0" customWidth="1"/>
    <col min="8" max="8" width="10.421875" style="0" customWidth="1"/>
    <col min="10" max="10" width="16.28125" style="0" customWidth="1"/>
    <col min="11" max="11" width="7.421875" style="0" customWidth="1"/>
    <col min="12" max="12" width="13.7109375" style="0" customWidth="1"/>
    <col min="13" max="13" width="14.28125" style="0" customWidth="1"/>
    <col min="14" max="14" width="14.7109375" style="0" customWidth="1"/>
  </cols>
  <sheetData>
    <row r="1" spans="1:14" ht="18">
      <c r="A1" s="211" t="s">
        <v>45</v>
      </c>
      <c r="B1" s="212"/>
      <c r="C1" s="212"/>
      <c r="D1" s="212"/>
      <c r="E1" s="212"/>
      <c r="F1" s="212"/>
      <c r="G1" s="212"/>
      <c r="H1" s="211" t="s">
        <v>45</v>
      </c>
      <c r="I1" s="212"/>
      <c r="J1" s="212"/>
      <c r="K1" s="212"/>
      <c r="L1" s="212"/>
      <c r="M1" s="212"/>
      <c r="N1" s="212"/>
    </row>
    <row r="2" spans="1:14" ht="18">
      <c r="A2" s="213" t="s">
        <v>46</v>
      </c>
      <c r="B2" s="212"/>
      <c r="C2" s="212"/>
      <c r="D2" s="212"/>
      <c r="E2" s="212"/>
      <c r="F2" s="212"/>
      <c r="G2" s="212"/>
      <c r="H2" s="213" t="s">
        <v>46</v>
      </c>
      <c r="I2" s="212"/>
      <c r="J2" s="212"/>
      <c r="K2" s="212"/>
      <c r="L2" s="212"/>
      <c r="M2" s="212"/>
      <c r="N2" s="212"/>
    </row>
    <row r="3" spans="1:14" ht="18">
      <c r="A3" s="213"/>
      <c r="B3" s="212"/>
      <c r="C3" s="212"/>
      <c r="D3" s="212"/>
      <c r="E3" s="212"/>
      <c r="F3" s="212"/>
      <c r="G3" s="212"/>
      <c r="H3" s="213"/>
      <c r="I3" s="212"/>
      <c r="J3" s="212"/>
      <c r="K3" s="212"/>
      <c r="L3" s="212"/>
      <c r="M3" s="212"/>
      <c r="N3" s="212"/>
    </row>
    <row r="4" spans="1:14" ht="18">
      <c r="A4" s="213"/>
      <c r="B4" s="212"/>
      <c r="C4" s="212"/>
      <c r="D4" s="212"/>
      <c r="E4" s="212"/>
      <c r="F4" s="212"/>
      <c r="G4" s="212"/>
      <c r="H4" s="213"/>
      <c r="I4" s="212"/>
      <c r="J4" s="212"/>
      <c r="K4" s="212"/>
      <c r="L4" s="212"/>
      <c r="M4" s="212"/>
      <c r="N4" s="212"/>
    </row>
    <row r="5" spans="3:14" ht="18">
      <c r="C5" s="214" t="s">
        <v>47</v>
      </c>
      <c r="D5" s="214" t="s">
        <v>175</v>
      </c>
      <c r="E5" s="215"/>
      <c r="F5" s="216"/>
      <c r="G5" s="217"/>
      <c r="J5" s="214" t="s">
        <v>47</v>
      </c>
      <c r="K5" s="214" t="s">
        <v>175</v>
      </c>
      <c r="L5" s="215"/>
      <c r="M5" s="216"/>
      <c r="N5" s="217"/>
    </row>
    <row r="6" spans="3:14" ht="18">
      <c r="C6" s="214" t="s">
        <v>48</v>
      </c>
      <c r="D6" s="214" t="s">
        <v>49</v>
      </c>
      <c r="E6" s="215"/>
      <c r="F6" s="216"/>
      <c r="G6" s="217"/>
      <c r="J6" s="214" t="s">
        <v>48</v>
      </c>
      <c r="K6" s="214" t="s">
        <v>49</v>
      </c>
      <c r="L6" s="215"/>
      <c r="M6" s="216"/>
      <c r="N6" s="217"/>
    </row>
    <row r="7" spans="3:14" ht="18">
      <c r="C7" s="214" t="s">
        <v>50</v>
      </c>
      <c r="D7" s="214" t="s">
        <v>51</v>
      </c>
      <c r="E7" s="215"/>
      <c r="F7" s="216"/>
      <c r="G7" s="217"/>
      <c r="J7" s="214" t="s">
        <v>50</v>
      </c>
      <c r="K7" s="214" t="s">
        <v>51</v>
      </c>
      <c r="L7" s="215"/>
      <c r="M7" s="216"/>
      <c r="N7" s="217"/>
    </row>
    <row r="8" spans="3:14" ht="18">
      <c r="C8" s="214"/>
      <c r="D8" s="214"/>
      <c r="E8" s="215"/>
      <c r="F8" s="216"/>
      <c r="G8" s="217"/>
      <c r="J8" s="214"/>
      <c r="K8" s="214"/>
      <c r="L8" s="215"/>
      <c r="M8" s="216"/>
      <c r="N8" s="217"/>
    </row>
    <row r="10" spans="3:13" ht="12.75">
      <c r="C10" s="218"/>
      <c r="D10" s="218"/>
      <c r="E10" s="218"/>
      <c r="F10" s="218"/>
      <c r="J10" s="218"/>
      <c r="K10" s="218"/>
      <c r="L10" s="218"/>
      <c r="M10" s="218"/>
    </row>
    <row r="11" spans="4:11" ht="33.75">
      <c r="D11" s="219" t="s">
        <v>176</v>
      </c>
      <c r="K11" s="219" t="s">
        <v>176</v>
      </c>
    </row>
    <row r="12" spans="3:13" ht="12.75">
      <c r="C12" s="218"/>
      <c r="D12" s="218"/>
      <c r="E12" s="218"/>
      <c r="F12" s="218"/>
      <c r="J12" s="218"/>
      <c r="K12" s="218"/>
      <c r="L12" s="218"/>
      <c r="M12" s="218"/>
    </row>
    <row r="16" spans="3:14" ht="18">
      <c r="C16" s="216"/>
      <c r="D16" s="216"/>
      <c r="E16" s="216"/>
      <c r="F16" s="216"/>
      <c r="G16" s="216"/>
      <c r="J16" s="216"/>
      <c r="K16" s="216"/>
      <c r="L16" s="216"/>
      <c r="M16" s="216"/>
      <c r="N16" s="216"/>
    </row>
    <row r="17" spans="1:14" ht="18">
      <c r="A17" s="216"/>
      <c r="B17" s="216"/>
      <c r="C17" s="216"/>
      <c r="D17" s="220"/>
      <c r="E17" s="216"/>
      <c r="F17" s="216"/>
      <c r="G17" s="216"/>
      <c r="H17" s="216"/>
      <c r="I17" s="216"/>
      <c r="J17" s="216"/>
      <c r="K17" s="220"/>
      <c r="L17" s="216"/>
      <c r="M17" s="216"/>
      <c r="N17" s="216"/>
    </row>
    <row r="18" spans="1:14" ht="20.25">
      <c r="A18" s="221" t="s">
        <v>177</v>
      </c>
      <c r="B18" s="221"/>
      <c r="C18" s="221"/>
      <c r="D18" s="222"/>
      <c r="E18" s="221"/>
      <c r="F18" s="221"/>
      <c r="G18" s="216"/>
      <c r="H18" s="221" t="s">
        <v>177</v>
      </c>
      <c r="I18" s="221"/>
      <c r="J18" s="221"/>
      <c r="K18" s="222"/>
      <c r="L18" s="221"/>
      <c r="M18" s="221"/>
      <c r="N18" s="216"/>
    </row>
    <row r="19" spans="1:14" ht="20.25">
      <c r="A19" s="221"/>
      <c r="B19" s="221"/>
      <c r="C19" s="221"/>
      <c r="D19" s="222"/>
      <c r="E19" s="221"/>
      <c r="F19" s="221"/>
      <c r="G19" s="216"/>
      <c r="H19" s="221"/>
      <c r="I19" s="221"/>
      <c r="J19" s="221"/>
      <c r="K19" s="222"/>
      <c r="L19" s="221"/>
      <c r="M19" s="221"/>
      <c r="N19" s="216"/>
    </row>
    <row r="20" spans="1:14" ht="18">
      <c r="A20" s="216" t="s">
        <v>178</v>
      </c>
      <c r="B20" s="223" t="str">
        <f>LOOKUP("r",'دورة1 دورة2'!A:A,'دورة1 دورة2'!D:D)</f>
        <v>عيدود </v>
      </c>
      <c r="C20" s="224" t="str">
        <f>LOOKUP("r",'دورة1 دورة2'!A:A,'دورة1 دورة2'!E:E)</f>
        <v>صبرينة</v>
      </c>
      <c r="D20" s="216"/>
      <c r="E20" s="225" t="s">
        <v>179</v>
      </c>
      <c r="F20" s="224">
        <f>LOOKUP("r",'دورة1 دورة2'!A:A,'دورة1 دورة2'!F:F)</f>
        <v>0</v>
      </c>
      <c r="G20" s="216"/>
      <c r="H20" s="216" t="s">
        <v>178</v>
      </c>
      <c r="I20" s="586" t="str">
        <f>LOOKUP("r",'دورة1 دورة2'!A:A,'دورة1 دورة2'!D:D)</f>
        <v>عيدود </v>
      </c>
      <c r="J20" s="587" t="str">
        <f>LOOKUP("r",'دورة1 دورة2'!A:A,'دورة1 دورة2'!E:E)</f>
        <v>صبرينة</v>
      </c>
      <c r="K20" s="216"/>
      <c r="L20" s="225" t="s">
        <v>179</v>
      </c>
      <c r="M20" s="224">
        <f>LOOKUP("r",'دورة1 دورة2'!A:A,'دورة1 دورة2'!F:F)</f>
        <v>0</v>
      </c>
      <c r="N20" s="216"/>
    </row>
    <row r="21" spans="1:14" ht="18">
      <c r="A21" s="216" t="s">
        <v>180</v>
      </c>
      <c r="B21" s="216"/>
      <c r="C21" s="226">
        <f>LOOKUP("r",'دورة1 دورة2'!A:A,'دورة1 دورة2'!G:G)</f>
        <v>0</v>
      </c>
      <c r="D21" s="225" t="s">
        <v>181</v>
      </c>
      <c r="E21" s="224" t="str">
        <f>LOOKUP("r",'دورة1 دورة2'!A:A,'دورة1 دورة2'!H:H)</f>
        <v>عنابه</v>
      </c>
      <c r="F21" s="225" t="s">
        <v>54</v>
      </c>
      <c r="G21" s="224" t="str">
        <f>LOOKUP("r",'دورة1 دورة2'!A:A,'دورة1 دورة2'!I:I)</f>
        <v>عنابه</v>
      </c>
      <c r="H21" s="216" t="s">
        <v>180</v>
      </c>
      <c r="I21" s="216"/>
      <c r="J21" s="226">
        <f>LOOKUP("r",'دورة1 دورة2'!A:A,'دورة1 دورة2'!G:G)</f>
        <v>0</v>
      </c>
      <c r="K21" s="225" t="s">
        <v>181</v>
      </c>
      <c r="L21" s="224" t="str">
        <f>LOOKUP("r",'دورة1 دورة2'!A:A,'دورة1 دورة2'!H:H)</f>
        <v>عنابه</v>
      </c>
      <c r="M21" s="225" t="s">
        <v>54</v>
      </c>
      <c r="N21" s="224" t="str">
        <f>LOOKUP("r",'دورة1 دورة2'!A:A,'دورة1 دورة2'!I:I)</f>
        <v>عنابه</v>
      </c>
    </row>
    <row r="22" spans="1:14" ht="20.25">
      <c r="A22" s="221"/>
      <c r="B22" s="221"/>
      <c r="C22" s="221"/>
      <c r="D22" s="221"/>
      <c r="E22" s="221"/>
      <c r="F22" s="221"/>
      <c r="G22" s="216"/>
      <c r="H22" s="221"/>
      <c r="I22" s="221"/>
      <c r="J22" s="221"/>
      <c r="K22" s="221"/>
      <c r="L22" s="221"/>
      <c r="M22" s="221"/>
      <c r="N22" s="216"/>
    </row>
    <row r="23" spans="1:14" ht="20.25">
      <c r="A23" s="221" t="s">
        <v>520</v>
      </c>
      <c r="B23" s="221"/>
      <c r="C23" s="227"/>
      <c r="D23" s="228"/>
      <c r="E23" s="221"/>
      <c r="F23" s="221"/>
      <c r="G23" s="216"/>
      <c r="H23" s="221" t="s">
        <v>523</v>
      </c>
      <c r="I23" s="221"/>
      <c r="J23" s="227"/>
      <c r="K23" s="228"/>
      <c r="L23" s="221"/>
      <c r="M23" s="221"/>
      <c r="N23" s="216"/>
    </row>
    <row r="24" spans="1:14" ht="20.25">
      <c r="A24" s="221" t="s">
        <v>182</v>
      </c>
      <c r="B24" s="228" t="s">
        <v>183</v>
      </c>
      <c r="C24" s="221" t="s">
        <v>202</v>
      </c>
      <c r="D24" s="221"/>
      <c r="E24" s="221"/>
      <c r="F24" s="221"/>
      <c r="G24" s="216"/>
      <c r="H24" s="221" t="s">
        <v>182</v>
      </c>
      <c r="I24" s="228" t="s">
        <v>183</v>
      </c>
      <c r="J24" s="221" t="s">
        <v>202</v>
      </c>
      <c r="K24" s="221"/>
      <c r="L24" s="221"/>
      <c r="M24" s="221"/>
      <c r="N24" s="216"/>
    </row>
    <row r="25" spans="1:14" ht="20.25">
      <c r="A25" s="221"/>
      <c r="B25" s="221"/>
      <c r="C25" s="227"/>
      <c r="D25" s="228"/>
      <c r="E25" s="221"/>
      <c r="F25" s="221"/>
      <c r="G25" s="216"/>
      <c r="H25" s="221"/>
      <c r="I25" s="221"/>
      <c r="J25" s="227"/>
      <c r="K25" s="228"/>
      <c r="L25" s="221"/>
      <c r="M25" s="221"/>
      <c r="N25" s="216"/>
    </row>
    <row r="26" spans="1:14" ht="20.25">
      <c r="A26" s="221"/>
      <c r="B26" s="228"/>
      <c r="C26" s="221"/>
      <c r="D26" s="228"/>
      <c r="E26" s="221"/>
      <c r="F26" s="221"/>
      <c r="G26" s="216"/>
      <c r="H26" s="221"/>
      <c r="I26" s="228"/>
      <c r="J26" s="221"/>
      <c r="K26" s="228"/>
      <c r="L26" s="221"/>
      <c r="M26" s="221"/>
      <c r="N26" s="216"/>
    </row>
    <row r="27" spans="1:14" ht="20.25">
      <c r="A27" s="221"/>
      <c r="B27" s="228"/>
      <c r="C27" s="221"/>
      <c r="D27" s="228"/>
      <c r="E27" s="221"/>
      <c r="F27" s="221"/>
      <c r="G27" s="216"/>
      <c r="H27" s="221"/>
      <c r="I27" s="228"/>
      <c r="J27" s="221"/>
      <c r="K27" s="228"/>
      <c r="L27" s="221"/>
      <c r="M27" s="221"/>
      <c r="N27" s="216"/>
    </row>
    <row r="28" spans="1:13" ht="20.25">
      <c r="A28" s="228" t="s">
        <v>479</v>
      </c>
      <c r="B28" s="816">
        <f ca="1">TODAY()</f>
        <v>43188</v>
      </c>
      <c r="C28" s="817"/>
      <c r="D28" s="221"/>
      <c r="E28" s="221"/>
      <c r="F28" s="221"/>
      <c r="H28" s="228" t="s">
        <v>479</v>
      </c>
      <c r="I28" s="816">
        <f ca="1">TODAY()</f>
        <v>43188</v>
      </c>
      <c r="J28" s="817"/>
      <c r="K28" s="221"/>
      <c r="L28" s="221"/>
      <c r="M28" s="221"/>
    </row>
    <row r="29" spans="1:13" ht="20.25">
      <c r="A29" s="221"/>
      <c r="B29" s="221"/>
      <c r="C29" s="221"/>
      <c r="D29" s="221"/>
      <c r="E29" s="221"/>
      <c r="F29" s="221"/>
      <c r="H29" s="221"/>
      <c r="I29" s="221"/>
      <c r="J29" s="221"/>
      <c r="K29" s="221"/>
      <c r="L29" s="221"/>
      <c r="M29" s="221"/>
    </row>
    <row r="37" spans="6:13" ht="20.25">
      <c r="F37" s="229" t="s">
        <v>29</v>
      </c>
      <c r="M37" s="229" t="s">
        <v>29</v>
      </c>
    </row>
    <row r="44" spans="1:12" ht="18">
      <c r="A44" s="230" t="s">
        <v>185</v>
      </c>
      <c r="B44" s="230"/>
      <c r="C44" s="230"/>
      <c r="D44" s="230"/>
      <c r="E44" s="231"/>
      <c r="H44" s="230" t="s">
        <v>185</v>
      </c>
      <c r="I44" s="230"/>
      <c r="J44" s="230"/>
      <c r="K44" s="230"/>
      <c r="L44" s="231"/>
    </row>
    <row r="47" spans="1:14" ht="18">
      <c r="A47" s="211" t="s">
        <v>45</v>
      </c>
      <c r="B47" s="212"/>
      <c r="C47" s="212"/>
      <c r="D47" s="212"/>
      <c r="E47" s="212"/>
      <c r="F47" s="212"/>
      <c r="G47" s="212"/>
      <c r="H47" s="211" t="s">
        <v>45</v>
      </c>
      <c r="I47" s="212"/>
      <c r="J47" s="212"/>
      <c r="K47" s="212"/>
      <c r="L47" s="212"/>
      <c r="M47" s="212"/>
      <c r="N47" s="212"/>
    </row>
    <row r="48" spans="1:14" ht="18">
      <c r="A48" s="213" t="s">
        <v>46</v>
      </c>
      <c r="B48" s="212"/>
      <c r="C48" s="212"/>
      <c r="D48" s="212"/>
      <c r="E48" s="212"/>
      <c r="F48" s="212"/>
      <c r="G48" s="212"/>
      <c r="H48" s="213" t="s">
        <v>46</v>
      </c>
      <c r="I48" s="212"/>
      <c r="J48" s="212"/>
      <c r="K48" s="212"/>
      <c r="L48" s="212"/>
      <c r="M48" s="212"/>
      <c r="N48" s="212"/>
    </row>
    <row r="49" spans="1:14" ht="18">
      <c r="A49" s="213"/>
      <c r="B49" s="212"/>
      <c r="C49" s="212"/>
      <c r="D49" s="212"/>
      <c r="E49" s="212"/>
      <c r="F49" s="212"/>
      <c r="G49" s="212"/>
      <c r="H49" s="213"/>
      <c r="I49" s="212"/>
      <c r="J49" s="212"/>
      <c r="K49" s="212"/>
      <c r="L49" s="212"/>
      <c r="M49" s="212"/>
      <c r="N49" s="212"/>
    </row>
    <row r="50" spans="1:14" ht="18">
      <c r="A50" s="213"/>
      <c r="B50" s="212"/>
      <c r="C50" s="212"/>
      <c r="D50" s="212"/>
      <c r="E50" s="212"/>
      <c r="F50" s="212"/>
      <c r="G50" s="212"/>
      <c r="H50" s="213"/>
      <c r="I50" s="212"/>
      <c r="J50" s="212"/>
      <c r="K50" s="212"/>
      <c r="L50" s="212"/>
      <c r="M50" s="212"/>
      <c r="N50" s="212"/>
    </row>
    <row r="51" spans="3:14" ht="18">
      <c r="C51" s="214" t="s">
        <v>47</v>
      </c>
      <c r="D51" s="214" t="s">
        <v>175</v>
      </c>
      <c r="E51" s="215"/>
      <c r="F51" s="216"/>
      <c r="G51" s="217"/>
      <c r="J51" s="214" t="s">
        <v>47</v>
      </c>
      <c r="K51" s="214" t="s">
        <v>175</v>
      </c>
      <c r="L51" s="215"/>
      <c r="M51" s="216"/>
      <c r="N51" s="217"/>
    </row>
    <row r="52" spans="3:14" ht="18">
      <c r="C52" s="214" t="s">
        <v>48</v>
      </c>
      <c r="D52" s="214" t="s">
        <v>49</v>
      </c>
      <c r="E52" s="215"/>
      <c r="F52" s="216"/>
      <c r="G52" s="217"/>
      <c r="J52" s="214" t="s">
        <v>48</v>
      </c>
      <c r="K52" s="214" t="s">
        <v>49</v>
      </c>
      <c r="L52" s="215"/>
      <c r="M52" s="216"/>
      <c r="N52" s="217"/>
    </row>
    <row r="53" spans="3:14" ht="18">
      <c r="C53" s="214" t="s">
        <v>50</v>
      </c>
      <c r="D53" s="214" t="s">
        <v>51</v>
      </c>
      <c r="E53" s="215"/>
      <c r="F53" s="216"/>
      <c r="G53" s="217"/>
      <c r="J53" s="214" t="s">
        <v>50</v>
      </c>
      <c r="K53" s="214" t="s">
        <v>51</v>
      </c>
      <c r="L53" s="215"/>
      <c r="M53" s="216"/>
      <c r="N53" s="217"/>
    </row>
    <row r="54" spans="3:14" ht="18">
      <c r="C54" s="214"/>
      <c r="D54" s="214"/>
      <c r="E54" s="215"/>
      <c r="F54" s="216"/>
      <c r="G54" s="217"/>
      <c r="J54" s="214"/>
      <c r="K54" s="214"/>
      <c r="L54" s="215"/>
      <c r="M54" s="216"/>
      <c r="N54" s="217"/>
    </row>
    <row r="56" spans="3:13" ht="12.75">
      <c r="C56" s="218"/>
      <c r="D56" s="218"/>
      <c r="E56" s="218"/>
      <c r="F56" s="218"/>
      <c r="J56" s="218"/>
      <c r="K56" s="218"/>
      <c r="L56" s="218"/>
      <c r="M56" s="218"/>
    </row>
    <row r="57" spans="4:11" ht="33.75">
      <c r="D57" s="219" t="s">
        <v>186</v>
      </c>
      <c r="K57" s="219" t="s">
        <v>186</v>
      </c>
    </row>
    <row r="58" spans="3:13" ht="12.75">
      <c r="C58" s="218"/>
      <c r="D58" s="218"/>
      <c r="E58" s="218"/>
      <c r="F58" s="218"/>
      <c r="J58" s="218"/>
      <c r="K58" s="218"/>
      <c r="L58" s="218"/>
      <c r="M58" s="218"/>
    </row>
    <row r="62" spans="3:14" ht="18">
      <c r="C62" s="216"/>
      <c r="D62" s="216"/>
      <c r="E62" s="216"/>
      <c r="F62" s="216"/>
      <c r="G62" s="216"/>
      <c r="J62" s="216"/>
      <c r="K62" s="216"/>
      <c r="L62" s="216"/>
      <c r="M62" s="216"/>
      <c r="N62" s="216"/>
    </row>
    <row r="63" spans="1:14" ht="18">
      <c r="A63" s="216"/>
      <c r="B63" s="216"/>
      <c r="C63" s="216"/>
      <c r="D63" s="220"/>
      <c r="E63" s="216"/>
      <c r="F63" s="216"/>
      <c r="G63" s="216"/>
      <c r="H63" s="216"/>
      <c r="I63" s="216"/>
      <c r="J63" s="216"/>
      <c r="K63" s="220"/>
      <c r="L63" s="216"/>
      <c r="M63" s="216"/>
      <c r="N63" s="216"/>
    </row>
    <row r="64" spans="1:14" ht="20.25">
      <c r="A64" s="221" t="s">
        <v>177</v>
      </c>
      <c r="B64" s="221"/>
      <c r="C64" s="221"/>
      <c r="D64" s="222"/>
      <c r="E64" s="221"/>
      <c r="F64" s="221"/>
      <c r="G64" s="216"/>
      <c r="H64" s="221" t="s">
        <v>177</v>
      </c>
      <c r="I64" s="221"/>
      <c r="J64" s="221"/>
      <c r="K64" s="222"/>
      <c r="L64" s="221"/>
      <c r="M64" s="221"/>
      <c r="N64" s="216"/>
    </row>
    <row r="65" spans="1:14" ht="20.25">
      <c r="A65" s="221"/>
      <c r="B65" s="221"/>
      <c r="C65" s="221"/>
      <c r="D65" s="222"/>
      <c r="E65" s="221"/>
      <c r="F65" s="221"/>
      <c r="G65" s="216"/>
      <c r="H65" s="221"/>
      <c r="I65" s="221"/>
      <c r="J65" s="221"/>
      <c r="K65" s="222"/>
      <c r="L65" s="221"/>
      <c r="M65" s="221"/>
      <c r="N65" s="216"/>
    </row>
    <row r="66" spans="1:14" ht="18">
      <c r="A66" s="216" t="s">
        <v>178</v>
      </c>
      <c r="B66" s="223" t="str">
        <f>LOOKUP("r",'دورة1 دورة2'!B:B,'دورة1 دورة2'!D:D)</f>
        <v>محفوظ </v>
      </c>
      <c r="C66" s="224" t="str">
        <f>LOOKUP("r",'دورة1 دورة2'!B:B,'دورة1 دورة2'!E:E)</f>
        <v>بشرى</v>
      </c>
      <c r="D66" s="216"/>
      <c r="E66" s="225" t="s">
        <v>179</v>
      </c>
      <c r="F66" s="224">
        <f>LOOKUP("r",'دورة1 دورة2'!B:B,'دورة1 دورة2'!F:F)</f>
        <v>0</v>
      </c>
      <c r="G66" s="216"/>
      <c r="H66" s="216" t="s">
        <v>178</v>
      </c>
      <c r="I66" s="586" t="str">
        <f>LOOKUP("r",'دورة1 دورة2'!B:B,'دورة1 دورة2'!D:D)</f>
        <v>محفوظ </v>
      </c>
      <c r="J66" s="587" t="str">
        <f>LOOKUP("r",'دورة1 دورة2'!B:B,'دورة1 دورة2'!E:E)</f>
        <v>بشرى</v>
      </c>
      <c r="K66" s="216"/>
      <c r="L66" s="225" t="s">
        <v>179</v>
      </c>
      <c r="M66" s="224">
        <f>LOOKUP("r",'دورة1 دورة2'!B:B,'دورة1 دورة2'!F:F)</f>
        <v>0</v>
      </c>
      <c r="N66" s="216"/>
    </row>
    <row r="67" spans="1:14" ht="18">
      <c r="A67" s="216" t="s">
        <v>180</v>
      </c>
      <c r="B67" s="216"/>
      <c r="C67" s="226">
        <f>LOOKUP("r",'دورة1 دورة2'!B:B,'دورة1 دورة2'!G:G)</f>
        <v>0</v>
      </c>
      <c r="D67" s="225" t="s">
        <v>181</v>
      </c>
      <c r="E67" s="224">
        <f>LOOKUP("r",'دورة1 دورة2'!B:B,'دورة1 دورة2'!H:H)</f>
        <v>0</v>
      </c>
      <c r="F67" s="225" t="s">
        <v>54</v>
      </c>
      <c r="G67" s="224">
        <f>LOOKUP("r",'دورة1 دورة2'!B:B,'دورة1 دورة2'!I:I)</f>
        <v>0</v>
      </c>
      <c r="H67" s="216" t="s">
        <v>180</v>
      </c>
      <c r="I67" s="216"/>
      <c r="J67" s="226">
        <f>LOOKUP("r",'دورة1 دورة2'!B:B,'دورة1 دورة2'!G:G)</f>
        <v>0</v>
      </c>
      <c r="K67" s="225" t="s">
        <v>181</v>
      </c>
      <c r="L67" s="224">
        <f>LOOKUP("r",'دورة1 دورة2'!B:B,'دورة1 دورة2'!H:H)</f>
        <v>0</v>
      </c>
      <c r="M67" s="225" t="s">
        <v>54</v>
      </c>
      <c r="N67" s="224">
        <f>LOOKUP("r",'دورة1 دورة2'!B:B,'دورة1 دورة2'!I:I)</f>
        <v>0</v>
      </c>
    </row>
    <row r="68" spans="1:14" ht="20.25">
      <c r="A68" s="221"/>
      <c r="B68" s="221"/>
      <c r="C68" s="221"/>
      <c r="D68" s="221"/>
      <c r="E68" s="221"/>
      <c r="F68" s="221"/>
      <c r="G68" s="216"/>
      <c r="H68" s="221"/>
      <c r="I68" s="221"/>
      <c r="J68" s="221"/>
      <c r="K68" s="221"/>
      <c r="L68" s="221"/>
      <c r="M68" s="221"/>
      <c r="N68" s="216"/>
    </row>
    <row r="69" spans="1:14" ht="20.25">
      <c r="A69" s="221" t="s">
        <v>520</v>
      </c>
      <c r="B69" s="221"/>
      <c r="C69" s="227"/>
      <c r="D69" s="228"/>
      <c r="E69" s="221"/>
      <c r="F69" s="221"/>
      <c r="G69" s="216"/>
      <c r="H69" s="221" t="s">
        <v>523</v>
      </c>
      <c r="I69" s="221"/>
      <c r="J69" s="227"/>
      <c r="K69" s="228"/>
      <c r="L69" s="221"/>
      <c r="M69" s="221"/>
      <c r="N69" s="216"/>
    </row>
    <row r="70" spans="1:14" ht="20.25">
      <c r="A70" s="221" t="s">
        <v>182</v>
      </c>
      <c r="B70" s="229" t="s">
        <v>187</v>
      </c>
      <c r="C70" s="221" t="s">
        <v>202</v>
      </c>
      <c r="D70" s="221"/>
      <c r="E70" s="221"/>
      <c r="F70" s="221"/>
      <c r="G70" s="216"/>
      <c r="H70" s="221" t="s">
        <v>182</v>
      </c>
      <c r="I70" s="229" t="s">
        <v>187</v>
      </c>
      <c r="J70" s="221" t="s">
        <v>202</v>
      </c>
      <c r="K70" s="221"/>
      <c r="L70" s="221"/>
      <c r="M70" s="221"/>
      <c r="N70" s="216"/>
    </row>
    <row r="71" spans="1:14" ht="20.25">
      <c r="A71" s="221"/>
      <c r="B71" s="221"/>
      <c r="C71" s="227"/>
      <c r="D71" s="228"/>
      <c r="E71" s="221"/>
      <c r="F71" s="221"/>
      <c r="G71" s="216"/>
      <c r="H71" s="221"/>
      <c r="I71" s="221"/>
      <c r="J71" s="227"/>
      <c r="K71" s="228"/>
      <c r="L71" s="221"/>
      <c r="M71" s="221"/>
      <c r="N71" s="216"/>
    </row>
    <row r="72" spans="1:14" ht="20.25">
      <c r="A72" s="221"/>
      <c r="B72" s="228"/>
      <c r="C72" s="221"/>
      <c r="D72" s="228"/>
      <c r="E72" s="221"/>
      <c r="F72" s="221"/>
      <c r="G72" s="216"/>
      <c r="H72" s="221"/>
      <c r="I72" s="228"/>
      <c r="J72" s="221"/>
      <c r="K72" s="228"/>
      <c r="L72" s="221"/>
      <c r="M72" s="221"/>
      <c r="N72" s="216"/>
    </row>
    <row r="73" spans="1:14" ht="20.25">
      <c r="A73" s="221"/>
      <c r="B73" s="228"/>
      <c r="C73" s="221"/>
      <c r="D73" s="228"/>
      <c r="E73" s="221"/>
      <c r="F73" s="221"/>
      <c r="G73" s="216"/>
      <c r="H73" s="221"/>
      <c r="I73" s="228"/>
      <c r="J73" s="221"/>
      <c r="K73" s="228"/>
      <c r="L73" s="221"/>
      <c r="M73" s="221"/>
      <c r="N73" s="216"/>
    </row>
    <row r="74" spans="1:13" ht="20.25">
      <c r="A74" s="228" t="s">
        <v>184</v>
      </c>
      <c r="B74" s="816">
        <f ca="1">TODAY()</f>
        <v>43188</v>
      </c>
      <c r="C74" s="817"/>
      <c r="D74" s="221"/>
      <c r="E74" s="221"/>
      <c r="F74" s="221"/>
      <c r="H74" s="228" t="s">
        <v>184</v>
      </c>
      <c r="I74" s="816">
        <f ca="1">TODAY()</f>
        <v>43188</v>
      </c>
      <c r="J74" s="817"/>
      <c r="K74" s="221"/>
      <c r="L74" s="221"/>
      <c r="M74" s="221"/>
    </row>
    <row r="75" spans="1:13" ht="20.25">
      <c r="A75" s="221"/>
      <c r="B75" s="221"/>
      <c r="C75" s="221"/>
      <c r="D75" s="221"/>
      <c r="E75" s="221"/>
      <c r="F75" s="221"/>
      <c r="H75" s="221"/>
      <c r="I75" s="221"/>
      <c r="J75" s="221"/>
      <c r="K75" s="221"/>
      <c r="L75" s="221"/>
      <c r="M75" s="221"/>
    </row>
    <row r="80" spans="6:13" ht="20.25">
      <c r="F80" s="229" t="s">
        <v>29</v>
      </c>
      <c r="M80" s="229" t="s">
        <v>29</v>
      </c>
    </row>
    <row r="89" spans="1:12" ht="18">
      <c r="A89" s="230" t="s">
        <v>185</v>
      </c>
      <c r="B89" s="230"/>
      <c r="C89" s="230"/>
      <c r="D89" s="230"/>
      <c r="E89" s="231"/>
      <c r="H89" s="230" t="s">
        <v>185</v>
      </c>
      <c r="I89" s="230"/>
      <c r="J89" s="230"/>
      <c r="K89" s="230"/>
      <c r="L89" s="231"/>
    </row>
    <row r="91" spans="1:14" ht="18">
      <c r="A91" s="211" t="s">
        <v>45</v>
      </c>
      <c r="B91" s="212"/>
      <c r="C91" s="212"/>
      <c r="D91" s="212"/>
      <c r="E91" s="212"/>
      <c r="F91" s="212"/>
      <c r="G91" s="212"/>
      <c r="H91" s="211" t="s">
        <v>45</v>
      </c>
      <c r="I91" s="212"/>
      <c r="J91" s="212"/>
      <c r="K91" s="212"/>
      <c r="L91" s="212"/>
      <c r="M91" s="212"/>
      <c r="N91" s="212"/>
    </row>
    <row r="92" spans="1:14" ht="18">
      <c r="A92" s="213" t="s">
        <v>46</v>
      </c>
      <c r="B92" s="212"/>
      <c r="C92" s="212"/>
      <c r="D92" s="212"/>
      <c r="E92" s="212"/>
      <c r="F92" s="212"/>
      <c r="G92" s="212"/>
      <c r="H92" s="213" t="s">
        <v>46</v>
      </c>
      <c r="I92" s="212"/>
      <c r="J92" s="212"/>
      <c r="K92" s="212"/>
      <c r="L92" s="212"/>
      <c r="M92" s="212"/>
      <c r="N92" s="212"/>
    </row>
    <row r="93" spans="1:14" ht="18">
      <c r="A93" s="213"/>
      <c r="B93" s="212"/>
      <c r="C93" s="212"/>
      <c r="D93" s="212"/>
      <c r="E93" s="212"/>
      <c r="F93" s="212"/>
      <c r="G93" s="212"/>
      <c r="H93" s="213"/>
      <c r="I93" s="212"/>
      <c r="J93" s="212"/>
      <c r="K93" s="212"/>
      <c r="L93" s="212"/>
      <c r="M93" s="212"/>
      <c r="N93" s="212"/>
    </row>
    <row r="94" spans="1:14" ht="18">
      <c r="A94" s="213"/>
      <c r="B94" s="212"/>
      <c r="C94" s="212"/>
      <c r="D94" s="212"/>
      <c r="E94" s="212"/>
      <c r="F94" s="212"/>
      <c r="G94" s="212"/>
      <c r="H94" s="213"/>
      <c r="I94" s="212"/>
      <c r="J94" s="212"/>
      <c r="K94" s="212"/>
      <c r="L94" s="212"/>
      <c r="M94" s="212"/>
      <c r="N94" s="212"/>
    </row>
    <row r="95" spans="3:14" ht="18">
      <c r="C95" s="214" t="s">
        <v>47</v>
      </c>
      <c r="D95" s="214" t="s">
        <v>175</v>
      </c>
      <c r="E95" s="215"/>
      <c r="F95" s="216"/>
      <c r="G95" s="217"/>
      <c r="J95" s="214" t="s">
        <v>47</v>
      </c>
      <c r="K95" s="214" t="s">
        <v>175</v>
      </c>
      <c r="L95" s="215"/>
      <c r="M95" s="216"/>
      <c r="N95" s="217"/>
    </row>
    <row r="96" spans="3:14" ht="18">
      <c r="C96" s="214" t="s">
        <v>48</v>
      </c>
      <c r="D96" s="214" t="s">
        <v>49</v>
      </c>
      <c r="E96" s="215"/>
      <c r="F96" s="216"/>
      <c r="G96" s="217"/>
      <c r="J96" s="214" t="s">
        <v>48</v>
      </c>
      <c r="K96" s="214" t="s">
        <v>49</v>
      </c>
      <c r="L96" s="215"/>
      <c r="M96" s="216"/>
      <c r="N96" s="217"/>
    </row>
    <row r="97" spans="3:14" ht="18">
      <c r="C97" s="214" t="s">
        <v>50</v>
      </c>
      <c r="D97" s="214" t="s">
        <v>51</v>
      </c>
      <c r="E97" s="215"/>
      <c r="F97" s="216"/>
      <c r="G97" s="217"/>
      <c r="J97" s="214" t="s">
        <v>50</v>
      </c>
      <c r="K97" s="214" t="s">
        <v>51</v>
      </c>
      <c r="L97" s="215"/>
      <c r="M97" s="216"/>
      <c r="N97" s="217"/>
    </row>
    <row r="98" spans="3:14" ht="18">
      <c r="C98" s="214"/>
      <c r="D98" s="214"/>
      <c r="E98" s="215"/>
      <c r="F98" s="216"/>
      <c r="G98" s="217"/>
      <c r="J98" s="214"/>
      <c r="K98" s="214"/>
      <c r="L98" s="215"/>
      <c r="M98" s="216"/>
      <c r="N98" s="217"/>
    </row>
    <row r="100" spans="3:13" ht="12.75">
      <c r="C100" s="218"/>
      <c r="D100" s="218"/>
      <c r="E100" s="218"/>
      <c r="F100" s="218"/>
      <c r="J100" s="218"/>
      <c r="K100" s="218"/>
      <c r="L100" s="218"/>
      <c r="M100" s="218"/>
    </row>
    <row r="101" spans="4:11" ht="33.75">
      <c r="D101" s="219" t="s">
        <v>188</v>
      </c>
      <c r="K101" s="219" t="s">
        <v>188</v>
      </c>
    </row>
    <row r="102" spans="3:13" ht="12.75">
      <c r="C102" s="218"/>
      <c r="D102" s="218"/>
      <c r="E102" s="218"/>
      <c r="F102" s="218"/>
      <c r="J102" s="218"/>
      <c r="K102" s="218"/>
      <c r="L102" s="218"/>
      <c r="M102" s="218"/>
    </row>
    <row r="106" spans="3:14" ht="18">
      <c r="C106" s="216"/>
      <c r="D106" s="216"/>
      <c r="E106" s="216"/>
      <c r="F106" s="216"/>
      <c r="G106" s="216"/>
      <c r="J106" s="216"/>
      <c r="K106" s="216"/>
      <c r="L106" s="216"/>
      <c r="M106" s="216"/>
      <c r="N106" s="216"/>
    </row>
    <row r="107" spans="1:14" ht="18">
      <c r="A107" s="216"/>
      <c r="B107" s="216"/>
      <c r="C107" s="216"/>
      <c r="D107" s="220"/>
      <c r="E107" s="216"/>
      <c r="F107" s="216"/>
      <c r="G107" s="216"/>
      <c r="H107" s="216"/>
      <c r="I107" s="216"/>
      <c r="J107" s="216"/>
      <c r="K107" s="220"/>
      <c r="L107" s="216"/>
      <c r="M107" s="216"/>
      <c r="N107" s="216"/>
    </row>
    <row r="108" spans="1:14" ht="20.25">
      <c r="A108" s="221" t="s">
        <v>177</v>
      </c>
      <c r="B108" s="221"/>
      <c r="C108" s="221"/>
      <c r="D108" s="222"/>
      <c r="E108" s="221"/>
      <c r="F108" s="221"/>
      <c r="G108" s="216"/>
      <c r="H108" s="221" t="s">
        <v>177</v>
      </c>
      <c r="I108" s="221"/>
      <c r="J108" s="221"/>
      <c r="K108" s="222"/>
      <c r="L108" s="221"/>
      <c r="M108" s="221"/>
      <c r="N108" s="216"/>
    </row>
    <row r="109" spans="1:14" ht="20.25">
      <c r="A109" s="221"/>
      <c r="B109" s="221"/>
      <c r="C109" s="221"/>
      <c r="D109" s="222"/>
      <c r="E109" s="221"/>
      <c r="F109" s="221"/>
      <c r="G109" s="216"/>
      <c r="H109" s="221"/>
      <c r="I109" s="221"/>
      <c r="J109" s="221"/>
      <c r="K109" s="222"/>
      <c r="L109" s="221"/>
      <c r="M109" s="221"/>
      <c r="N109" s="216"/>
    </row>
    <row r="110" spans="1:14" ht="18">
      <c r="A110" s="216" t="s">
        <v>178</v>
      </c>
      <c r="B110" s="223" t="str">
        <f>LOOKUP("r",'دورة1 دورة2'!B:B,'دورة1 دورة2'!D:D)</f>
        <v>محفوظ </v>
      </c>
      <c r="C110" s="224" t="str">
        <f>LOOKUP("r",'دورة1 دورة2'!B:B,'دورة1 دورة2'!E:E)</f>
        <v>بشرى</v>
      </c>
      <c r="D110" s="216"/>
      <c r="E110" s="225" t="s">
        <v>179</v>
      </c>
      <c r="F110" s="224">
        <f>LOOKUP("r",'دورة1 دورة2'!B:B,'دورة1 دورة2'!F:F)</f>
        <v>0</v>
      </c>
      <c r="G110" s="216"/>
      <c r="H110" s="216" t="s">
        <v>178</v>
      </c>
      <c r="I110" s="586" t="str">
        <f>LOOKUP("r",'دورة1 دورة2'!B:B,'دورة1 دورة2'!D:D)</f>
        <v>محفوظ </v>
      </c>
      <c r="J110" s="587" t="str">
        <f>LOOKUP("r",'دورة1 دورة2'!B:B,'دورة1 دورة2'!E:E)</f>
        <v>بشرى</v>
      </c>
      <c r="K110" s="216"/>
      <c r="L110" s="225" t="s">
        <v>179</v>
      </c>
      <c r="M110" s="224">
        <f>LOOKUP("r",'دورة1 دورة2'!B:B,'دورة1 دورة2'!F:F)</f>
        <v>0</v>
      </c>
      <c r="N110" s="216"/>
    </row>
    <row r="111" spans="1:14" ht="18">
      <c r="A111" s="216" t="s">
        <v>180</v>
      </c>
      <c r="B111" s="216"/>
      <c r="C111" s="226">
        <f>LOOKUP("r",'دورة1 دورة2'!B:B,'دورة1 دورة2'!G:G)</f>
        <v>0</v>
      </c>
      <c r="D111" s="225" t="s">
        <v>181</v>
      </c>
      <c r="E111" s="224">
        <f>LOOKUP("r",'دورة1 دورة2'!B:B,'دورة1 دورة2'!H:H)</f>
        <v>0</v>
      </c>
      <c r="F111" s="225" t="s">
        <v>54</v>
      </c>
      <c r="G111" s="224">
        <f>LOOKUP("r",'دورة1 دورة2'!B:B,'دورة1 دورة2'!I:I)</f>
        <v>0</v>
      </c>
      <c r="H111" s="216" t="s">
        <v>180</v>
      </c>
      <c r="I111" s="216"/>
      <c r="J111" s="226">
        <f>LOOKUP("r",'دورة1 دورة2'!B:B,'دورة1 دورة2'!G:G)</f>
        <v>0</v>
      </c>
      <c r="K111" s="225" t="s">
        <v>181</v>
      </c>
      <c r="L111" s="224">
        <f>LOOKUP("r",'دورة1 دورة2'!B:B,'دورة1 دورة2'!H:H)</f>
        <v>0</v>
      </c>
      <c r="M111" s="225" t="s">
        <v>54</v>
      </c>
      <c r="N111" s="224">
        <f>LOOKUP("r",'دورة1 دورة2'!B:B,'دورة1 دورة2'!I:I)</f>
        <v>0</v>
      </c>
    </row>
    <row r="112" spans="1:14" ht="20.25">
      <c r="A112" s="221"/>
      <c r="B112" s="221"/>
      <c r="C112" s="221"/>
      <c r="D112" s="221"/>
      <c r="E112" s="221"/>
      <c r="F112" s="221"/>
      <c r="G112" s="216"/>
      <c r="H112" s="221"/>
      <c r="I112" s="221"/>
      <c r="J112" s="221"/>
      <c r="K112" s="221"/>
      <c r="L112" s="221"/>
      <c r="M112" s="221"/>
      <c r="N112" s="216"/>
    </row>
    <row r="113" spans="1:14" ht="20.25">
      <c r="A113" s="221" t="s">
        <v>520</v>
      </c>
      <c r="B113" s="221"/>
      <c r="C113" s="227"/>
      <c r="D113" s="228"/>
      <c r="E113" s="221"/>
      <c r="F113" s="221"/>
      <c r="G113" s="216"/>
      <c r="H113" s="221" t="s">
        <v>523</v>
      </c>
      <c r="I113" s="221"/>
      <c r="J113" s="227"/>
      <c r="K113" s="228"/>
      <c r="L113" s="221"/>
      <c r="M113" s="221"/>
      <c r="N113" s="216"/>
    </row>
    <row r="114" spans="1:14" ht="20.25">
      <c r="A114" s="221" t="s">
        <v>182</v>
      </c>
      <c r="B114" s="229" t="s">
        <v>187</v>
      </c>
      <c r="C114" s="221" t="s">
        <v>202</v>
      </c>
      <c r="D114" s="221"/>
      <c r="E114" s="221"/>
      <c r="F114" s="221"/>
      <c r="G114" s="216"/>
      <c r="H114" s="221" t="s">
        <v>182</v>
      </c>
      <c r="I114" s="229" t="s">
        <v>187</v>
      </c>
      <c r="J114" s="221" t="s">
        <v>202</v>
      </c>
      <c r="K114" s="221"/>
      <c r="L114" s="221"/>
      <c r="M114" s="221"/>
      <c r="N114" s="216"/>
    </row>
    <row r="115" spans="1:14" ht="20.25">
      <c r="A115" s="221"/>
      <c r="B115" s="221"/>
      <c r="C115" s="227"/>
      <c r="D115" s="228"/>
      <c r="E115" s="221"/>
      <c r="F115" s="221"/>
      <c r="G115" s="216"/>
      <c r="H115" s="221"/>
      <c r="I115" s="221"/>
      <c r="J115" s="227"/>
      <c r="K115" s="228"/>
      <c r="L115" s="221"/>
      <c r="M115" s="221"/>
      <c r="N115" s="216"/>
    </row>
    <row r="116" spans="1:14" ht="20.25">
      <c r="A116" s="221"/>
      <c r="B116" s="228"/>
      <c r="C116" s="221"/>
      <c r="D116" s="228"/>
      <c r="E116" s="221"/>
      <c r="F116" s="221"/>
      <c r="G116" s="216"/>
      <c r="H116" s="221"/>
      <c r="I116" s="228"/>
      <c r="J116" s="221"/>
      <c r="K116" s="228"/>
      <c r="L116" s="221"/>
      <c r="M116" s="221"/>
      <c r="N116" s="216"/>
    </row>
    <row r="117" spans="1:14" ht="20.25">
      <c r="A117" s="221"/>
      <c r="B117" s="228"/>
      <c r="C117" s="221"/>
      <c r="D117" s="228"/>
      <c r="E117" s="221"/>
      <c r="F117" s="221"/>
      <c r="G117" s="216"/>
      <c r="H117" s="221"/>
      <c r="I117" s="228"/>
      <c r="J117" s="221"/>
      <c r="K117" s="228"/>
      <c r="L117" s="221"/>
      <c r="M117" s="221"/>
      <c r="N117" s="216"/>
    </row>
    <row r="118" spans="1:13" ht="20.25">
      <c r="A118" s="228" t="s">
        <v>184</v>
      </c>
      <c r="B118" s="816">
        <f ca="1">TODAY()</f>
        <v>43188</v>
      </c>
      <c r="C118" s="817"/>
      <c r="D118" s="221"/>
      <c r="E118" s="221"/>
      <c r="F118" s="221"/>
      <c r="H118" s="228" t="s">
        <v>184</v>
      </c>
      <c r="I118" s="816">
        <f ca="1">TODAY()</f>
        <v>43188</v>
      </c>
      <c r="J118" s="817"/>
      <c r="K118" s="221"/>
      <c r="L118" s="221"/>
      <c r="M118" s="221"/>
    </row>
    <row r="119" spans="1:13" ht="20.25">
      <c r="A119" s="221"/>
      <c r="B119" s="221"/>
      <c r="C119" s="221"/>
      <c r="D119" s="221"/>
      <c r="E119" s="221"/>
      <c r="F119" s="221"/>
      <c r="H119" s="221"/>
      <c r="I119" s="221"/>
      <c r="J119" s="221"/>
      <c r="K119" s="221"/>
      <c r="L119" s="221"/>
      <c r="M119" s="221"/>
    </row>
    <row r="124" spans="6:13" ht="20.25">
      <c r="F124" s="229" t="s">
        <v>29</v>
      </c>
      <c r="M124" s="229" t="s">
        <v>29</v>
      </c>
    </row>
    <row r="132" spans="1:12" ht="18">
      <c r="A132" s="230" t="s">
        <v>185</v>
      </c>
      <c r="B132" s="230"/>
      <c r="C132" s="230"/>
      <c r="D132" s="230"/>
      <c r="E132" s="231"/>
      <c r="H132" s="230" t="s">
        <v>185</v>
      </c>
      <c r="I132" s="230"/>
      <c r="J132" s="230"/>
      <c r="K132" s="230"/>
      <c r="L132" s="231"/>
    </row>
    <row r="137" spans="1:14" ht="18">
      <c r="A137" s="211" t="s">
        <v>45</v>
      </c>
      <c r="B137" s="212"/>
      <c r="C137" s="212"/>
      <c r="D137" s="212"/>
      <c r="E137" s="212"/>
      <c r="F137" s="212"/>
      <c r="G137" s="212"/>
      <c r="H137" s="211" t="s">
        <v>45</v>
      </c>
      <c r="I137" s="212"/>
      <c r="J137" s="212"/>
      <c r="K137" s="212"/>
      <c r="L137" s="212"/>
      <c r="M137" s="212"/>
      <c r="N137" s="212"/>
    </row>
    <row r="138" spans="1:14" ht="18">
      <c r="A138" s="213" t="s">
        <v>46</v>
      </c>
      <c r="B138" s="212"/>
      <c r="C138" s="212"/>
      <c r="D138" s="212"/>
      <c r="E138" s="212"/>
      <c r="F138" s="212"/>
      <c r="G138" s="212"/>
      <c r="H138" s="213" t="s">
        <v>46</v>
      </c>
      <c r="I138" s="212"/>
      <c r="J138" s="212"/>
      <c r="K138" s="212"/>
      <c r="L138" s="212"/>
      <c r="M138" s="212"/>
      <c r="N138" s="212"/>
    </row>
    <row r="139" spans="1:14" ht="18">
      <c r="A139" s="213"/>
      <c r="B139" s="212"/>
      <c r="C139" s="212"/>
      <c r="D139" s="212"/>
      <c r="E139" s="212"/>
      <c r="F139" s="212"/>
      <c r="G139" s="212"/>
      <c r="H139" s="213"/>
      <c r="I139" s="212"/>
      <c r="J139" s="212"/>
      <c r="K139" s="212"/>
      <c r="L139" s="212"/>
      <c r="M139" s="212"/>
      <c r="N139" s="212"/>
    </row>
    <row r="140" spans="1:14" ht="18">
      <c r="A140" s="213"/>
      <c r="B140" s="212"/>
      <c r="C140" s="212"/>
      <c r="D140" s="212"/>
      <c r="E140" s="212"/>
      <c r="F140" s="212"/>
      <c r="G140" s="212"/>
      <c r="H140" s="213"/>
      <c r="I140" s="212"/>
      <c r="J140" s="212"/>
      <c r="K140" s="212"/>
      <c r="L140" s="212"/>
      <c r="M140" s="212"/>
      <c r="N140" s="212"/>
    </row>
    <row r="141" spans="3:14" ht="18">
      <c r="C141" s="214" t="s">
        <v>47</v>
      </c>
      <c r="D141" s="214" t="s">
        <v>175</v>
      </c>
      <c r="E141" s="215"/>
      <c r="F141" s="216"/>
      <c r="G141" s="217"/>
      <c r="J141" s="214" t="s">
        <v>47</v>
      </c>
      <c r="K141" s="214" t="s">
        <v>175</v>
      </c>
      <c r="L141" s="215"/>
      <c r="M141" s="216"/>
      <c r="N141" s="217"/>
    </row>
    <row r="142" spans="3:14" ht="18">
      <c r="C142" s="214" t="s">
        <v>48</v>
      </c>
      <c r="D142" s="214" t="s">
        <v>49</v>
      </c>
      <c r="E142" s="215"/>
      <c r="F142" s="216"/>
      <c r="G142" s="217"/>
      <c r="J142" s="214" t="s">
        <v>48</v>
      </c>
      <c r="K142" s="214" t="s">
        <v>49</v>
      </c>
      <c r="L142" s="215"/>
      <c r="M142" s="216"/>
      <c r="N142" s="217"/>
    </row>
    <row r="143" spans="3:14" ht="18">
      <c r="C143" s="214" t="s">
        <v>50</v>
      </c>
      <c r="D143" s="214" t="s">
        <v>51</v>
      </c>
      <c r="E143" s="215"/>
      <c r="F143" s="216"/>
      <c r="G143" s="217"/>
      <c r="J143" s="214" t="s">
        <v>50</v>
      </c>
      <c r="K143" s="214" t="s">
        <v>51</v>
      </c>
      <c r="L143" s="215"/>
      <c r="M143" s="216"/>
      <c r="N143" s="217"/>
    </row>
    <row r="144" spans="3:14" ht="18">
      <c r="C144" s="214"/>
      <c r="D144" s="214"/>
      <c r="E144" s="215"/>
      <c r="F144" s="216"/>
      <c r="G144" s="217"/>
      <c r="J144" s="214"/>
      <c r="K144" s="214"/>
      <c r="L144" s="215"/>
      <c r="M144" s="216"/>
      <c r="N144" s="217"/>
    </row>
    <row r="146" spans="3:13" ht="12.75">
      <c r="C146" s="218"/>
      <c r="D146" s="218"/>
      <c r="E146" s="218"/>
      <c r="F146" s="218"/>
      <c r="J146" s="218"/>
      <c r="K146" s="218"/>
      <c r="L146" s="218"/>
      <c r="M146" s="218"/>
    </row>
    <row r="147" spans="4:13" ht="33.75">
      <c r="D147" s="219" t="s">
        <v>189</v>
      </c>
      <c r="E147" s="232"/>
      <c r="F147" s="232"/>
      <c r="K147" s="219" t="s">
        <v>189</v>
      </c>
      <c r="L147" s="232"/>
      <c r="M147" s="232"/>
    </row>
    <row r="148" spans="3:13" ht="12.75">
      <c r="C148" s="218"/>
      <c r="D148" s="218"/>
      <c r="E148" s="218"/>
      <c r="F148" s="218"/>
      <c r="J148" s="218"/>
      <c r="K148" s="218"/>
      <c r="L148" s="218"/>
      <c r="M148" s="218"/>
    </row>
    <row r="152" spans="3:14" ht="18">
      <c r="C152" s="216"/>
      <c r="D152" s="216"/>
      <c r="E152" s="216"/>
      <c r="F152" s="216"/>
      <c r="G152" s="216"/>
      <c r="J152" s="216"/>
      <c r="K152" s="216"/>
      <c r="L152" s="216"/>
      <c r="M152" s="216"/>
      <c r="N152" s="216"/>
    </row>
    <row r="153" spans="1:14" ht="18">
      <c r="A153" s="216"/>
      <c r="B153" s="216"/>
      <c r="C153" s="216"/>
      <c r="D153" s="220"/>
      <c r="E153" s="216"/>
      <c r="F153" s="216"/>
      <c r="G153" s="216"/>
      <c r="H153" s="216"/>
      <c r="I153" s="216"/>
      <c r="J153" s="216"/>
      <c r="K153" s="220"/>
      <c r="L153" s="216"/>
      <c r="M153" s="216"/>
      <c r="N153" s="216"/>
    </row>
    <row r="154" spans="1:14" ht="20.25">
      <c r="A154" s="221" t="s">
        <v>177</v>
      </c>
      <c r="B154" s="221"/>
      <c r="C154" s="221"/>
      <c r="D154" s="222"/>
      <c r="E154" s="221"/>
      <c r="F154" s="221"/>
      <c r="G154" s="216"/>
      <c r="H154" s="221" t="s">
        <v>177</v>
      </c>
      <c r="I154" s="221"/>
      <c r="J154" s="221"/>
      <c r="K154" s="222"/>
      <c r="L154" s="221"/>
      <c r="M154" s="221"/>
      <c r="N154" s="216"/>
    </row>
    <row r="155" spans="1:14" ht="20.25">
      <c r="A155" s="221"/>
      <c r="B155" s="221"/>
      <c r="C155" s="221"/>
      <c r="D155" s="222"/>
      <c r="E155" s="221"/>
      <c r="F155" s="221"/>
      <c r="G155" s="216"/>
      <c r="H155" s="221"/>
      <c r="I155" s="221"/>
      <c r="J155" s="221"/>
      <c r="K155" s="222"/>
      <c r="L155" s="221"/>
      <c r="M155" s="221"/>
      <c r="N155" s="216"/>
    </row>
    <row r="156" spans="1:14" ht="18">
      <c r="A156" s="216" t="s">
        <v>178</v>
      </c>
      <c r="B156" s="223" t="str">
        <f>LOOKUP("r",'دورة1 دورة2'!B:B,'دورة1 دورة2'!D:D)</f>
        <v>محفوظ </v>
      </c>
      <c r="C156" s="224" t="str">
        <f>LOOKUP("r",'دورة1 دورة2'!B:B,'دورة1 دورة2'!E:E)</f>
        <v>بشرى</v>
      </c>
      <c r="D156" s="216"/>
      <c r="E156" s="225" t="s">
        <v>179</v>
      </c>
      <c r="F156" s="224">
        <f>LOOKUP("r",'دورة1 دورة2'!B:B,'دورة1 دورة2'!F:F)</f>
        <v>0</v>
      </c>
      <c r="G156" s="216"/>
      <c r="H156" s="216" t="s">
        <v>178</v>
      </c>
      <c r="I156" s="586" t="str">
        <f>LOOKUP("r",'دورة1 دورة2'!B:B,'دورة1 دورة2'!D:D)</f>
        <v>محفوظ </v>
      </c>
      <c r="J156" s="587" t="str">
        <f>LOOKUP("r",'دورة1 دورة2'!B:B,'دورة1 دورة2'!E:E)</f>
        <v>بشرى</v>
      </c>
      <c r="K156" s="216"/>
      <c r="L156" s="225" t="s">
        <v>179</v>
      </c>
      <c r="M156" s="224">
        <f>LOOKUP("r",'دورة1 دورة2'!B:B,'دورة1 دورة2'!F:F)</f>
        <v>0</v>
      </c>
      <c r="N156" s="216"/>
    </row>
    <row r="157" spans="1:14" ht="18">
      <c r="A157" s="216" t="s">
        <v>180</v>
      </c>
      <c r="B157" s="216"/>
      <c r="C157" s="226">
        <f>LOOKUP("r",'دورة1 دورة2'!B:B,'دورة1 دورة2'!G:G)</f>
        <v>0</v>
      </c>
      <c r="D157" s="225" t="s">
        <v>181</v>
      </c>
      <c r="E157" s="224">
        <f>LOOKUP("r",'دورة1 دورة2'!B:B,'دورة1 دورة2'!H:H)</f>
        <v>0</v>
      </c>
      <c r="F157" s="225" t="s">
        <v>54</v>
      </c>
      <c r="G157" s="224">
        <f>LOOKUP("r",'دورة1 دورة2'!B:B,'دورة1 دورة2'!I:I)</f>
        <v>0</v>
      </c>
      <c r="H157" s="216" t="s">
        <v>180</v>
      </c>
      <c r="I157" s="216"/>
      <c r="J157" s="226">
        <f>LOOKUP("r",'دورة1 دورة2'!B:B,'دورة1 دورة2'!G:G)</f>
        <v>0</v>
      </c>
      <c r="K157" s="225" t="s">
        <v>181</v>
      </c>
      <c r="L157" s="224">
        <f>LOOKUP("r",'دورة1 دورة2'!B:B,'دورة1 دورة2'!H:H)</f>
        <v>0</v>
      </c>
      <c r="M157" s="225" t="s">
        <v>54</v>
      </c>
      <c r="N157" s="224">
        <f>LOOKUP("r",'دورة1 دورة2'!B:B,'دورة1 دورة2'!I:I)</f>
        <v>0</v>
      </c>
    </row>
    <row r="158" spans="1:14" ht="20.25">
      <c r="A158" s="221"/>
      <c r="B158" s="221"/>
      <c r="C158" s="221"/>
      <c r="D158" s="221"/>
      <c r="E158" s="221"/>
      <c r="F158" s="221"/>
      <c r="G158" s="216"/>
      <c r="H158" s="221"/>
      <c r="I158" s="221"/>
      <c r="J158" s="221"/>
      <c r="K158" s="221"/>
      <c r="L158" s="221"/>
      <c r="M158" s="221"/>
      <c r="N158" s="216"/>
    </row>
    <row r="159" spans="1:14" ht="20.25">
      <c r="A159" s="221" t="s">
        <v>521</v>
      </c>
      <c r="B159" s="221"/>
      <c r="C159" s="227"/>
      <c r="D159" s="228"/>
      <c r="E159" s="221"/>
      <c r="F159" s="221"/>
      <c r="G159" s="216"/>
      <c r="H159" s="221" t="s">
        <v>522</v>
      </c>
      <c r="I159" s="221"/>
      <c r="J159" s="227"/>
      <c r="K159" s="228"/>
      <c r="L159" s="221"/>
      <c r="M159" s="221"/>
      <c r="N159" s="216"/>
    </row>
    <row r="160" spans="1:14" ht="20.25">
      <c r="A160" s="221" t="s">
        <v>202</v>
      </c>
      <c r="B160" s="221"/>
      <c r="C160" s="221"/>
      <c r="F160" s="221"/>
      <c r="G160" s="216"/>
      <c r="H160" s="221" t="s">
        <v>202</v>
      </c>
      <c r="I160" s="221"/>
      <c r="J160" s="221"/>
      <c r="M160" s="221"/>
      <c r="N160" s="216"/>
    </row>
    <row r="161" spans="1:14" ht="20.25">
      <c r="A161" s="221"/>
      <c r="B161" s="221"/>
      <c r="C161" s="227"/>
      <c r="D161" s="228"/>
      <c r="E161" s="221"/>
      <c r="F161" s="221"/>
      <c r="G161" s="216"/>
      <c r="H161" s="221"/>
      <c r="I161" s="221"/>
      <c r="J161" s="227"/>
      <c r="K161" s="228"/>
      <c r="L161" s="221"/>
      <c r="M161" s="221"/>
      <c r="N161" s="216"/>
    </row>
    <row r="162" spans="1:14" ht="20.25">
      <c r="A162" s="221"/>
      <c r="B162" s="228"/>
      <c r="C162" s="221"/>
      <c r="D162" s="228"/>
      <c r="E162" s="221"/>
      <c r="F162" s="221"/>
      <c r="G162" s="216"/>
      <c r="H162" s="221"/>
      <c r="I162" s="228"/>
      <c r="J162" s="221"/>
      <c r="K162" s="228"/>
      <c r="L162" s="221"/>
      <c r="M162" s="221"/>
      <c r="N162" s="216"/>
    </row>
    <row r="163" spans="1:14" ht="20.25">
      <c r="A163" s="221"/>
      <c r="B163" s="228"/>
      <c r="C163" s="221"/>
      <c r="D163" s="228"/>
      <c r="E163" s="221"/>
      <c r="F163" s="221"/>
      <c r="G163" s="216"/>
      <c r="H163" s="221"/>
      <c r="I163" s="228"/>
      <c r="J163" s="221"/>
      <c r="K163" s="228"/>
      <c r="L163" s="221"/>
      <c r="M163" s="221"/>
      <c r="N163" s="216"/>
    </row>
    <row r="164" spans="1:13" ht="20.25">
      <c r="A164" s="228" t="s">
        <v>184</v>
      </c>
      <c r="B164" s="816">
        <f ca="1">TODAY()</f>
        <v>43188</v>
      </c>
      <c r="C164" s="817"/>
      <c r="D164" s="221"/>
      <c r="E164" s="221"/>
      <c r="F164" s="221"/>
      <c r="H164" s="228" t="s">
        <v>184</v>
      </c>
      <c r="I164" s="816">
        <f ca="1">TODAY()</f>
        <v>43188</v>
      </c>
      <c r="J164" s="817"/>
      <c r="K164" s="221"/>
      <c r="L164" s="221"/>
      <c r="M164" s="221"/>
    </row>
    <row r="165" spans="1:13" ht="20.25">
      <c r="A165" s="221"/>
      <c r="B165" s="221"/>
      <c r="C165" s="221"/>
      <c r="D165" s="221"/>
      <c r="E165" s="221"/>
      <c r="F165" s="221"/>
      <c r="H165" s="221"/>
      <c r="I165" s="221"/>
      <c r="J165" s="221"/>
      <c r="K165" s="221"/>
      <c r="L165" s="221"/>
      <c r="M165" s="221"/>
    </row>
    <row r="170" spans="6:13" ht="20.25">
      <c r="F170" s="229" t="s">
        <v>29</v>
      </c>
      <c r="M170" s="229" t="s">
        <v>29</v>
      </c>
    </row>
    <row r="178" spans="1:12" ht="18">
      <c r="A178" s="230" t="s">
        <v>185</v>
      </c>
      <c r="B178" s="230"/>
      <c r="C178" s="230"/>
      <c r="D178" s="230"/>
      <c r="E178" s="231"/>
      <c r="H178" s="230" t="s">
        <v>185</v>
      </c>
      <c r="I178" s="230"/>
      <c r="J178" s="230"/>
      <c r="K178" s="230"/>
      <c r="L178" s="231"/>
    </row>
  </sheetData>
  <sheetProtection/>
  <mergeCells count="8">
    <mergeCell ref="B28:C28"/>
    <mergeCell ref="B74:C74"/>
    <mergeCell ref="B118:C118"/>
    <mergeCell ref="B164:C164"/>
    <mergeCell ref="I28:J28"/>
    <mergeCell ref="I74:J74"/>
    <mergeCell ref="I118:J118"/>
    <mergeCell ref="I164:J164"/>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T57"/>
  <sheetViews>
    <sheetView rightToLeft="1" view="pageBreakPreview" zoomScale="93" zoomScaleSheetLayoutView="93" zoomScalePageLayoutView="0" workbookViewId="0" topLeftCell="A1">
      <selection activeCell="E1" sqref="E1"/>
    </sheetView>
  </sheetViews>
  <sheetFormatPr defaultColWidth="11.421875" defaultRowHeight="12.75"/>
  <cols>
    <col min="1" max="1" width="4.140625" style="416" customWidth="1"/>
    <col min="2" max="2" width="15.7109375" style="408" customWidth="1"/>
    <col min="3" max="3" width="19.00390625" style="408" customWidth="1"/>
    <col min="4" max="4" width="11.421875" style="408" customWidth="1"/>
    <col min="5" max="5" width="17.00390625" style="408" customWidth="1"/>
    <col min="6" max="6" width="11.421875" style="408" customWidth="1"/>
    <col min="7" max="7" width="21.140625" style="408" customWidth="1"/>
    <col min="8" max="8" width="1.28515625" style="408" customWidth="1"/>
    <col min="9" max="9" width="5.7109375" style="408" customWidth="1"/>
    <col min="10" max="10" width="15.7109375" style="408" customWidth="1"/>
    <col min="11" max="11" width="9.421875" style="408" customWidth="1"/>
    <col min="12" max="12" width="8.7109375" style="408" customWidth="1"/>
    <col min="13" max="13" width="10.28125" style="488" customWidth="1"/>
    <col min="14" max="14" width="5.7109375" style="408" customWidth="1"/>
    <col min="15" max="15" width="15.8515625" style="408" customWidth="1"/>
    <col min="16" max="16" width="9.57421875" style="408" customWidth="1"/>
    <col min="17" max="17" width="8.140625" style="487" customWidth="1"/>
    <col min="18" max="18" width="9.57421875" style="488" customWidth="1"/>
    <col min="19" max="19" width="0.71875" style="488" customWidth="1"/>
    <col min="20" max="20" width="5.421875" style="408" customWidth="1"/>
    <col min="21" max="21" width="11.421875" style="416" customWidth="1"/>
    <col min="22" max="22" width="12.8515625" style="408" customWidth="1"/>
    <col min="23" max="23" width="13.00390625" style="408" customWidth="1"/>
    <col min="24" max="25" width="11.421875" style="408" customWidth="1"/>
    <col min="26" max="26" width="10.00390625" style="408" customWidth="1"/>
    <col min="27" max="27" width="11.421875" style="408" customWidth="1"/>
    <col min="28" max="28" width="13.28125" style="408" customWidth="1"/>
    <col min="29" max="31" width="11.421875" style="408" customWidth="1"/>
    <col min="32" max="32" width="11.421875" style="417" customWidth="1"/>
    <col min="33" max="16384" width="11.421875" style="1" customWidth="1"/>
  </cols>
  <sheetData>
    <row r="1" spans="1:32" s="392" customFormat="1" ht="18">
      <c r="A1" s="391"/>
      <c r="C1" s="393"/>
      <c r="D1" s="394" t="s">
        <v>285</v>
      </c>
      <c r="E1" s="395"/>
      <c r="F1" s="396"/>
      <c r="G1" s="396"/>
      <c r="H1" s="396"/>
      <c r="J1" s="397" t="s">
        <v>286</v>
      </c>
      <c r="K1" s="827" t="str">
        <f>$C$11</f>
        <v>عيدود </v>
      </c>
      <c r="L1" s="827"/>
      <c r="M1" s="393" t="str">
        <f>$C$12</f>
        <v>صبرينة</v>
      </c>
      <c r="N1" s="393"/>
      <c r="O1" s="398">
        <f>$C$13</f>
        <v>0</v>
      </c>
      <c r="P1" s="828" t="str">
        <f>$E$13</f>
        <v>عنابه</v>
      </c>
      <c r="Q1" s="828"/>
      <c r="R1" s="397" t="str">
        <f>G13</f>
        <v>عنابه</v>
      </c>
      <c r="S1" s="397"/>
      <c r="T1" s="399" t="s">
        <v>286</v>
      </c>
      <c r="U1" s="400"/>
      <c r="V1" s="393" t="str">
        <f>K1</f>
        <v>عيدود </v>
      </c>
      <c r="W1" s="393" t="str">
        <f>M1</f>
        <v>صبرينة</v>
      </c>
      <c r="X1" s="829">
        <f>O1</f>
        <v>0</v>
      </c>
      <c r="Y1" s="829"/>
      <c r="AB1" s="393" t="str">
        <f>P1</f>
        <v>عنابه</v>
      </c>
      <c r="AD1" s="401"/>
      <c r="AE1" s="401"/>
      <c r="AF1" s="402"/>
    </row>
    <row r="2" spans="1:32" s="392" customFormat="1" ht="18">
      <c r="A2" s="391"/>
      <c r="C2" s="393"/>
      <c r="D2" s="394" t="s">
        <v>46</v>
      </c>
      <c r="E2" s="395"/>
      <c r="F2" s="396"/>
      <c r="G2" s="396"/>
      <c r="H2" s="396"/>
      <c r="J2" s="397" t="s">
        <v>179</v>
      </c>
      <c r="K2" s="830">
        <f>$C$14</f>
        <v>0</v>
      </c>
      <c r="L2" s="830"/>
      <c r="M2" s="397"/>
      <c r="N2" s="397"/>
      <c r="O2" s="397" t="s">
        <v>475</v>
      </c>
      <c r="P2" s="404"/>
      <c r="Q2" s="403"/>
      <c r="R2" s="397"/>
      <c r="S2" s="397"/>
      <c r="T2" s="831" t="s">
        <v>179</v>
      </c>
      <c r="U2" s="831"/>
      <c r="V2" s="827">
        <f>K2</f>
        <v>0</v>
      </c>
      <c r="W2" s="827"/>
      <c r="X2" s="399"/>
      <c r="Y2" s="405"/>
      <c r="Z2" s="397" t="s">
        <v>475</v>
      </c>
      <c r="AA2" s="405"/>
      <c r="AB2" s="406"/>
      <c r="AD2" s="401"/>
      <c r="AE2" s="401"/>
      <c r="AF2" s="402"/>
    </row>
    <row r="3" spans="1:19" ht="18">
      <c r="A3" s="407"/>
      <c r="C3" s="409"/>
      <c r="D3" s="410" t="s">
        <v>287</v>
      </c>
      <c r="E3" s="411"/>
      <c r="F3" s="412"/>
      <c r="G3" s="412"/>
      <c r="H3" s="412"/>
      <c r="I3" s="413"/>
      <c r="J3" s="413"/>
      <c r="K3" s="413"/>
      <c r="L3" s="414"/>
      <c r="M3" s="413"/>
      <c r="N3" s="413"/>
      <c r="O3" s="413"/>
      <c r="P3" s="415"/>
      <c r="Q3" s="414"/>
      <c r="R3" s="413"/>
      <c r="S3" s="413"/>
    </row>
    <row r="4" spans="1:28" ht="18">
      <c r="A4" s="407"/>
      <c r="B4" s="412"/>
      <c r="C4" s="412"/>
      <c r="D4" s="412"/>
      <c r="E4" s="412"/>
      <c r="F4" s="412"/>
      <c r="G4" s="412"/>
      <c r="H4" s="412"/>
      <c r="I4" s="409" t="s">
        <v>288</v>
      </c>
      <c r="J4" s="418" t="s">
        <v>289</v>
      </c>
      <c r="K4" s="409"/>
      <c r="L4" s="414"/>
      <c r="M4" s="413"/>
      <c r="N4" s="413"/>
      <c r="O4" s="413"/>
      <c r="P4" s="415"/>
      <c r="Q4" s="414"/>
      <c r="R4" s="413"/>
      <c r="S4" s="413"/>
      <c r="T4" s="419"/>
      <c r="U4" s="420"/>
      <c r="V4" s="420"/>
      <c r="W4" s="420"/>
      <c r="X4" s="420"/>
      <c r="Y4" s="420"/>
      <c r="Z4" s="420"/>
      <c r="AA4" s="420"/>
      <c r="AB4" s="421"/>
    </row>
    <row r="5" spans="1:28" ht="20.25">
      <c r="A5" s="407"/>
      <c r="B5" s="412"/>
      <c r="C5" s="422" t="s">
        <v>290</v>
      </c>
      <c r="D5" s="423"/>
      <c r="E5" s="412"/>
      <c r="F5" s="412"/>
      <c r="G5" s="412"/>
      <c r="H5" s="412"/>
      <c r="I5" s="413" t="s">
        <v>291</v>
      </c>
      <c r="J5" s="413"/>
      <c r="K5" s="413"/>
      <c r="L5" s="414"/>
      <c r="M5" s="413"/>
      <c r="N5" s="413"/>
      <c r="O5" s="413"/>
      <c r="P5" s="415"/>
      <c r="Q5" s="414"/>
      <c r="R5" s="413"/>
      <c r="S5" s="413"/>
      <c r="T5" s="419"/>
      <c r="U5" s="420"/>
      <c r="V5" s="420"/>
      <c r="W5" s="420"/>
      <c r="X5" s="420"/>
      <c r="Y5" s="420"/>
      <c r="Z5" s="420"/>
      <c r="AA5" s="420"/>
      <c r="AB5" s="421"/>
    </row>
    <row r="6" spans="1:28" ht="15.75" thickBot="1">
      <c r="A6" s="407"/>
      <c r="B6" s="412"/>
      <c r="C6" s="412"/>
      <c r="D6" s="412"/>
      <c r="E6" s="412"/>
      <c r="F6" s="412"/>
      <c r="G6" s="412"/>
      <c r="H6" s="412"/>
      <c r="I6" s="413"/>
      <c r="J6" s="413"/>
      <c r="K6" s="413"/>
      <c r="L6" s="414"/>
      <c r="M6" s="413"/>
      <c r="N6" s="413"/>
      <c r="O6" s="413"/>
      <c r="P6" s="415"/>
      <c r="Q6" s="414"/>
      <c r="R6" s="413"/>
      <c r="S6" s="413"/>
      <c r="T6" s="419"/>
      <c r="U6" s="424" t="s">
        <v>292</v>
      </c>
      <c r="V6" s="425">
        <f>LOOKUP("r",classement!A:A,classement!O:O)</f>
        <v>0</v>
      </c>
      <c r="W6" s="420"/>
      <c r="X6" s="420"/>
      <c r="Y6" s="420"/>
      <c r="Z6" s="420"/>
      <c r="AA6" s="420"/>
      <c r="AB6" s="421"/>
    </row>
    <row r="7" spans="1:28" ht="15">
      <c r="A7" s="825" t="s">
        <v>293</v>
      </c>
      <c r="B7" s="825"/>
      <c r="C7" s="825"/>
      <c r="D7" s="825"/>
      <c r="E7" s="825"/>
      <c r="F7" s="825"/>
      <c r="G7" s="825"/>
      <c r="H7" s="426"/>
      <c r="I7" s="427" t="s">
        <v>294</v>
      </c>
      <c r="J7" s="428" t="s">
        <v>295</v>
      </c>
      <c r="K7" s="428" t="s">
        <v>296</v>
      </c>
      <c r="L7" s="429" t="s">
        <v>297</v>
      </c>
      <c r="M7" s="428" t="s">
        <v>298</v>
      </c>
      <c r="N7" s="430" t="s">
        <v>294</v>
      </c>
      <c r="O7" s="428" t="s">
        <v>295</v>
      </c>
      <c r="P7" s="431" t="s">
        <v>296</v>
      </c>
      <c r="Q7" s="429" t="s">
        <v>297</v>
      </c>
      <c r="R7" s="432" t="s">
        <v>298</v>
      </c>
      <c r="S7" s="433"/>
      <c r="T7" s="419"/>
      <c r="U7" s="420"/>
      <c r="V7" s="420"/>
      <c r="W7" s="420"/>
      <c r="X7" s="420"/>
      <c r="Y7" s="420"/>
      <c r="Z7" s="420"/>
      <c r="AA7" s="420"/>
      <c r="AB7" s="421"/>
    </row>
    <row r="8" spans="1:28" ht="15.75" thickBot="1">
      <c r="A8" s="825"/>
      <c r="B8" s="825"/>
      <c r="C8" s="825"/>
      <c r="D8" s="825"/>
      <c r="E8" s="825"/>
      <c r="F8" s="825"/>
      <c r="G8" s="825"/>
      <c r="H8" s="426"/>
      <c r="I8" s="434"/>
      <c r="J8" s="435"/>
      <c r="K8" s="435"/>
      <c r="L8" s="436"/>
      <c r="M8" s="437"/>
      <c r="N8" s="435"/>
      <c r="O8" s="435"/>
      <c r="P8" s="438"/>
      <c r="Q8" s="436"/>
      <c r="R8" s="439"/>
      <c r="S8" s="435"/>
      <c r="T8" s="419"/>
      <c r="U8" s="420"/>
      <c r="V8" s="440" t="s">
        <v>299</v>
      </c>
      <c r="W8" s="440" t="s">
        <v>300</v>
      </c>
      <c r="X8" s="440" t="s">
        <v>301</v>
      </c>
      <c r="Y8" s="440" t="s">
        <v>302</v>
      </c>
      <c r="Z8" s="440"/>
      <c r="AA8" s="420"/>
      <c r="AB8" s="421"/>
    </row>
    <row r="9" spans="1:28" ht="15">
      <c r="A9" s="825"/>
      <c r="B9" s="825"/>
      <c r="C9" s="825"/>
      <c r="D9" s="825"/>
      <c r="E9" s="825"/>
      <c r="F9" s="825"/>
      <c r="G9" s="825"/>
      <c r="H9" s="657"/>
      <c r="I9" s="441"/>
      <c r="J9" s="442" t="s">
        <v>195</v>
      </c>
      <c r="K9" s="442"/>
      <c r="L9" s="443"/>
      <c r="M9" s="444"/>
      <c r="N9" s="442"/>
      <c r="O9" s="442" t="s">
        <v>194</v>
      </c>
      <c r="P9" s="445"/>
      <c r="Q9" s="443"/>
      <c r="R9" s="446"/>
      <c r="S9" s="435"/>
      <c r="T9" s="419"/>
      <c r="U9" s="420"/>
      <c r="V9" s="447">
        <v>15.52</v>
      </c>
      <c r="W9" s="448" t="s">
        <v>303</v>
      </c>
      <c r="X9" s="448">
        <v>2</v>
      </c>
      <c r="Y9" s="449">
        <v>0.1</v>
      </c>
      <c r="Z9" s="450" t="s">
        <v>304</v>
      </c>
      <c r="AA9" s="420"/>
      <c r="AB9" s="421"/>
    </row>
    <row r="10" spans="1:28" ht="18">
      <c r="A10" s="451" t="s">
        <v>305</v>
      </c>
      <c r="B10" s="418" t="s">
        <v>306</v>
      </c>
      <c r="C10" s="413"/>
      <c r="D10" s="413"/>
      <c r="E10" s="413"/>
      <c r="F10" s="413"/>
      <c r="G10" s="413"/>
      <c r="H10" s="413"/>
      <c r="I10" s="452" t="s">
        <v>307</v>
      </c>
      <c r="J10" s="453" t="s">
        <v>308</v>
      </c>
      <c r="K10" s="454">
        <f>LOOKUP("r",'دورة1 دورة2'!A:A,'دورة1 دورة2'!BM:BM)</f>
        <v>9</v>
      </c>
      <c r="L10" s="454">
        <f>LOOKUP("r",'دورة1 دورة2'!A:A,'دورة1 دورة2'!BN:BN)</f>
        <v>0</v>
      </c>
      <c r="M10" s="454">
        <f>LOOKUP("r",'دورة1 دورة2'!A:A,'دورة1 دورة2'!BO:BO)</f>
        <v>2017</v>
      </c>
      <c r="N10" s="455" t="s">
        <v>309</v>
      </c>
      <c r="O10" s="453" t="s">
        <v>310</v>
      </c>
      <c r="P10" s="454">
        <f>LOOKUP("r",'دورة1 دورة2'!A:A,'دورة1 دورة2'!CF:CF)</f>
        <v>18</v>
      </c>
      <c r="Q10" s="454" t="str">
        <f>LOOKUP("r",'دورة1 دورة2'!A:A,'دورة1 دورة2'!CG:CG)</f>
        <v>f</v>
      </c>
      <c r="R10" s="658">
        <f>LOOKUP("r",'دورة1 دورة2'!A:A,'دورة1 دورة2'!CH:CH)</f>
        <v>2017</v>
      </c>
      <c r="S10" s="435"/>
      <c r="T10" s="419"/>
      <c r="U10" s="420"/>
      <c r="V10" s="447">
        <v>13.37</v>
      </c>
      <c r="W10" s="448" t="s">
        <v>311</v>
      </c>
      <c r="X10" s="448">
        <v>4</v>
      </c>
      <c r="Y10" s="456">
        <v>0.25</v>
      </c>
      <c r="Z10" s="450" t="s">
        <v>312</v>
      </c>
      <c r="AA10" s="420"/>
      <c r="AB10" s="421"/>
    </row>
    <row r="11" spans="1:28" ht="15.75">
      <c r="A11" s="451"/>
      <c r="B11" s="409" t="s">
        <v>313</v>
      </c>
      <c r="C11" s="457" t="str">
        <f>LOOKUP("r",'دورة1 دورة2'!A:A,'دورة1 دورة2'!D:D)</f>
        <v>عيدود </v>
      </c>
      <c r="D11" s="409"/>
      <c r="E11" s="413"/>
      <c r="F11" s="413"/>
      <c r="G11" s="413"/>
      <c r="H11" s="413"/>
      <c r="I11" s="452" t="s">
        <v>314</v>
      </c>
      <c r="J11" s="453" t="s">
        <v>315</v>
      </c>
      <c r="K11" s="454">
        <f>LOOKUP("r",'دورة1 دورة2'!A:A,'دورة1 دورة2'!BU:BU)</f>
        <v>1</v>
      </c>
      <c r="L11" s="454" t="str">
        <f>LOOKUP("r",'دورة1 دورة2'!A:A,'دورة1 دورة2'!BV:BV)</f>
        <v>f</v>
      </c>
      <c r="M11" s="454">
        <f>LOOKUP("r",'دورة1 دورة2'!A:A,'دورة1 دورة2'!BW:BW)</f>
        <v>2017</v>
      </c>
      <c r="N11" s="455" t="s">
        <v>316</v>
      </c>
      <c r="O11" s="453" t="s">
        <v>317</v>
      </c>
      <c r="P11" s="454">
        <f>LOOKUP("r",'دورة1 دورة2'!A:A,'دورة1 دورة2'!CN:CN)</f>
        <v>2</v>
      </c>
      <c r="Q11" s="454" t="str">
        <f>LOOKUP("r",'دورة1 دورة2'!A:A,'دورة1 دورة2'!CO:CO)</f>
        <v>f</v>
      </c>
      <c r="R11" s="658">
        <f>LOOKUP("r",'دورة1 دورة2'!A:A,'دورة1 دورة2'!CP:CP)</f>
        <v>2017</v>
      </c>
      <c r="S11" s="435"/>
      <c r="T11" s="419"/>
      <c r="U11" s="420"/>
      <c r="V11" s="447">
        <v>12.68</v>
      </c>
      <c r="W11" s="448" t="s">
        <v>318</v>
      </c>
      <c r="X11" s="448">
        <v>5</v>
      </c>
      <c r="Y11" s="456">
        <v>0.3</v>
      </c>
      <c r="Z11" s="450" t="s">
        <v>312</v>
      </c>
      <c r="AA11" s="420"/>
      <c r="AB11" s="421"/>
    </row>
    <row r="12" spans="1:28" ht="15.75">
      <c r="A12" s="451"/>
      <c r="B12" s="409" t="s">
        <v>319</v>
      </c>
      <c r="C12" s="458" t="str">
        <f>LOOKUP("r",'دورة1 دورة2'!A:A,'دورة1 دورة2'!E:E)</f>
        <v>صبرينة</v>
      </c>
      <c r="D12" s="409"/>
      <c r="E12" s="413"/>
      <c r="F12" s="413"/>
      <c r="G12" s="413"/>
      <c r="H12" s="413"/>
      <c r="I12" s="452" t="s">
        <v>320</v>
      </c>
      <c r="J12" s="453" t="s">
        <v>321</v>
      </c>
      <c r="K12" s="454">
        <f>LOOKUP("r",'دورة1 دورة2'!A:A,'دورة1 دورة2'!BY:BY)</f>
        <v>0</v>
      </c>
      <c r="L12" s="454">
        <f>LOOKUP("r",'دورة1 دورة2'!A:A,'دورة1 دورة2'!BZ:BZ)</f>
        <v>0</v>
      </c>
      <c r="M12" s="454">
        <f>LOOKUP("r",'دورة1 دورة2'!A:A,'دورة1 دورة2'!CA:CA)</f>
        <v>2017</v>
      </c>
      <c r="N12" s="455" t="s">
        <v>322</v>
      </c>
      <c r="O12" s="453" t="s">
        <v>323</v>
      </c>
      <c r="P12" s="454">
        <f>LOOKUP("r",'دورة1 دورة2'!A:A,'دورة1 دورة2'!CR:CR)</f>
        <v>0</v>
      </c>
      <c r="Q12" s="454">
        <f>LOOKUP("r",'دورة1 دورة2'!A:A,'دورة1 دورة2'!CS:CS)</f>
        <v>0</v>
      </c>
      <c r="R12" s="658">
        <f>LOOKUP("r",'دورة1 دورة2'!A:A,'دورة1 دورة2'!CT:CT)</f>
        <v>2017</v>
      </c>
      <c r="S12" s="435"/>
      <c r="T12" s="419"/>
      <c r="U12" s="420"/>
      <c r="V12" s="447">
        <v>12.11</v>
      </c>
      <c r="W12" s="448" t="s">
        <v>324</v>
      </c>
      <c r="X12" s="448">
        <v>4</v>
      </c>
      <c r="Y12" s="456">
        <v>0.25</v>
      </c>
      <c r="Z12" s="450" t="s">
        <v>312</v>
      </c>
      <c r="AA12" s="420"/>
      <c r="AB12" s="421"/>
    </row>
    <row r="13" spans="1:28" ht="15.75">
      <c r="A13" s="451"/>
      <c r="B13" s="413" t="s">
        <v>325</v>
      </c>
      <c r="C13" s="459">
        <f>LOOKUP("r",'دورة1 دورة2'!A:A,'دورة1 دورة2'!G:G)</f>
        <v>0</v>
      </c>
      <c r="D13" s="416" t="s">
        <v>181</v>
      </c>
      <c r="E13" s="460" t="str">
        <f>LOOKUP("r",'دورة1 دورة2'!A:A,'دورة1 دورة2'!H:H)</f>
        <v>عنابه</v>
      </c>
      <c r="F13" s="451" t="s">
        <v>54</v>
      </c>
      <c r="G13" s="460" t="str">
        <f>LOOKUP("r",'دورة1 دورة2'!A:A,'دورة1 دورة2'!I:I)</f>
        <v>عنابه</v>
      </c>
      <c r="I13" s="452" t="s">
        <v>484</v>
      </c>
      <c r="J13" s="463" t="s">
        <v>485</v>
      </c>
      <c r="K13" s="454">
        <f>LOOKUP("r",'دورة1 دورة2'!A:A,'دورة1 دورة2'!BQ:BQ)</f>
        <v>9</v>
      </c>
      <c r="L13" s="454">
        <f>LOOKUP("r",'دورة1 دورة2'!A:A,'دورة1 دورة2'!BR:BR)</f>
        <v>0</v>
      </c>
      <c r="M13" s="454">
        <f>LOOKUP("r",'دورة1 دورة2'!A:A,'دورة1 دورة2'!BS:BS)</f>
        <v>2017</v>
      </c>
      <c r="N13" s="455" t="s">
        <v>326</v>
      </c>
      <c r="O13" s="463" t="s">
        <v>327</v>
      </c>
      <c r="P13" s="454">
        <f>LOOKUP("r",'دورة1 دورة2'!A:A,'دورة1 دورة2'!CJ:CJ)</f>
        <v>0</v>
      </c>
      <c r="Q13" s="454">
        <f>LOOKUP("r",'دورة1 دورة2'!A:A,'دورة1 دورة2'!CK:CK)</f>
        <v>0</v>
      </c>
      <c r="R13" s="658">
        <f>LOOKUP("r",'دورة1 دورة2'!A:A,'دورة1 دورة2'!CL:CL)</f>
        <v>2017</v>
      </c>
      <c r="S13" s="435"/>
      <c r="T13" s="419"/>
      <c r="U13" s="420"/>
      <c r="V13" s="447">
        <v>11.6</v>
      </c>
      <c r="W13" s="448" t="s">
        <v>328</v>
      </c>
      <c r="X13" s="448">
        <v>2</v>
      </c>
      <c r="Y13" s="456">
        <v>0.1</v>
      </c>
      <c r="Z13" s="450" t="s">
        <v>312</v>
      </c>
      <c r="AA13" s="420"/>
      <c r="AB13" s="421"/>
    </row>
    <row r="14" spans="1:19" ht="15.75">
      <c r="A14" s="451"/>
      <c r="B14" s="413" t="s">
        <v>329</v>
      </c>
      <c r="C14" s="458">
        <f>LOOKUP("r",'دورة1 دورة2'!A:A,'دورة1 دورة2'!F:F)</f>
        <v>0</v>
      </c>
      <c r="D14" s="409"/>
      <c r="E14" s="413"/>
      <c r="F14" s="413"/>
      <c r="G14" s="413"/>
      <c r="H14" s="413"/>
      <c r="I14" s="434"/>
      <c r="J14" s="435"/>
      <c r="K14" s="435"/>
      <c r="L14" s="436"/>
      <c r="M14" s="437"/>
      <c r="N14" s="461"/>
      <c r="O14" s="461"/>
      <c r="P14" s="464"/>
      <c r="Q14" s="462"/>
      <c r="R14" s="465"/>
      <c r="S14" s="435"/>
    </row>
    <row r="15" spans="1:28" ht="15.75">
      <c r="A15" s="451"/>
      <c r="B15" s="413"/>
      <c r="C15" s="409"/>
      <c r="D15" s="409"/>
      <c r="E15" s="413"/>
      <c r="F15" s="413"/>
      <c r="G15" s="413"/>
      <c r="H15" s="413"/>
      <c r="I15" s="434"/>
      <c r="J15" s="435" t="s">
        <v>330</v>
      </c>
      <c r="K15" s="826">
        <f>LOOKUP("r",'دورة1 دورة2'!A:A,'دورة1 دورة2'!CB:CB)</f>
        <v>12.035714285714286</v>
      </c>
      <c r="L15" s="826"/>
      <c r="M15" s="437"/>
      <c r="N15" s="435"/>
      <c r="O15" s="435" t="s">
        <v>330</v>
      </c>
      <c r="P15" s="826">
        <f>LOOKUP("r",'دورة1 دورة2'!A:A,'دورة1 دورة2'!CU:CU)</f>
        <v>12.357142857142858</v>
      </c>
      <c r="Q15" s="826"/>
      <c r="R15" s="439"/>
      <c r="S15" s="435"/>
      <c r="T15" s="419"/>
      <c r="U15" s="409" t="s">
        <v>331</v>
      </c>
      <c r="AB15" s="421"/>
    </row>
    <row r="16" spans="1:28" ht="18">
      <c r="A16" s="451" t="s">
        <v>332</v>
      </c>
      <c r="B16" s="418" t="s">
        <v>333</v>
      </c>
      <c r="C16" s="413"/>
      <c r="D16" s="413"/>
      <c r="E16" s="466"/>
      <c r="F16" s="413"/>
      <c r="G16" s="413"/>
      <c r="H16" s="413"/>
      <c r="I16" s="434"/>
      <c r="J16" s="435" t="s">
        <v>334</v>
      </c>
      <c r="K16" s="818">
        <f>IF(K15&lt;10,K10+K11+K12+K13,30)</f>
        <v>30</v>
      </c>
      <c r="L16" s="818"/>
      <c r="M16" s="437"/>
      <c r="N16" s="435"/>
      <c r="O16" s="435" t="s">
        <v>334</v>
      </c>
      <c r="P16" s="819">
        <f>P10+P11+P12+P13</f>
        <v>20</v>
      </c>
      <c r="Q16" s="819"/>
      <c r="R16" s="439"/>
      <c r="S16" s="435"/>
      <c r="U16" s="420"/>
      <c r="V16" s="420"/>
      <c r="W16" s="467" t="s">
        <v>335</v>
      </c>
      <c r="X16" s="420"/>
      <c r="Y16" s="420"/>
      <c r="Z16" s="420"/>
      <c r="AA16" s="420"/>
      <c r="AB16" s="421"/>
    </row>
    <row r="17" spans="1:28" ht="15">
      <c r="A17" s="468" t="s">
        <v>336</v>
      </c>
      <c r="B17" s="469" t="s">
        <v>337</v>
      </c>
      <c r="C17" s="413" t="s">
        <v>338</v>
      </c>
      <c r="D17" s="413"/>
      <c r="E17" s="413"/>
      <c r="F17" s="413"/>
      <c r="G17" s="413"/>
      <c r="H17" s="413"/>
      <c r="I17" s="434"/>
      <c r="J17" s="435" t="s">
        <v>339</v>
      </c>
      <c r="K17" s="470" t="s">
        <v>340</v>
      </c>
      <c r="L17" s="454" t="str">
        <f>LOOKUP("r",'دورة1 دورة2'!A:A,'دورة1 دورة2'!CD:CD)</f>
        <v>د2</v>
      </c>
      <c r="M17" s="437"/>
      <c r="N17" s="435"/>
      <c r="O17" s="435" t="s">
        <v>339</v>
      </c>
      <c r="P17" s="471" t="s">
        <v>340</v>
      </c>
      <c r="Q17" s="454" t="str">
        <f>LOOKUP("r",'دورة1 دورة2'!A:A,'دورة1 دورة2'!CW:CW)</f>
        <v>د1</v>
      </c>
      <c r="R17" s="439"/>
      <c r="S17" s="435"/>
      <c r="Y17" s="420"/>
      <c r="Z17" s="420"/>
      <c r="AA17" s="420"/>
      <c r="AB17" s="421"/>
    </row>
    <row r="18" spans="1:28" ht="18.75" thickBot="1">
      <c r="A18" s="451"/>
      <c r="B18" s="413" t="s">
        <v>55</v>
      </c>
      <c r="C18" s="413" t="s">
        <v>341</v>
      </c>
      <c r="D18" s="413"/>
      <c r="E18" s="413"/>
      <c r="F18" s="413"/>
      <c r="G18" s="413"/>
      <c r="H18" s="413"/>
      <c r="I18" s="472"/>
      <c r="J18" s="473"/>
      <c r="K18" s="473"/>
      <c r="L18" s="474"/>
      <c r="M18" s="475"/>
      <c r="N18" s="473"/>
      <c r="O18" s="473"/>
      <c r="P18" s="476"/>
      <c r="Q18" s="474"/>
      <c r="R18" s="477"/>
      <c r="S18" s="435"/>
      <c r="T18" s="419" t="s">
        <v>342</v>
      </c>
      <c r="U18" s="418" t="s">
        <v>343</v>
      </c>
      <c r="V18" s="409"/>
      <c r="W18" s="409"/>
      <c r="Y18" s="421"/>
      <c r="Z18" s="421"/>
      <c r="AA18" s="421"/>
      <c r="AB18" s="421"/>
    </row>
    <row r="19" spans="1:28" ht="15">
      <c r="A19" s="451"/>
      <c r="B19" s="413" t="s">
        <v>344</v>
      </c>
      <c r="C19" s="413" t="s">
        <v>345</v>
      </c>
      <c r="D19" s="413"/>
      <c r="E19" s="413"/>
      <c r="F19" s="413"/>
      <c r="G19" s="413"/>
      <c r="H19" s="413"/>
      <c r="I19" s="478"/>
      <c r="J19" s="479" t="s">
        <v>346</v>
      </c>
      <c r="K19" s="479"/>
      <c r="L19" s="480"/>
      <c r="M19" s="481"/>
      <c r="N19" s="479"/>
      <c r="O19" s="479" t="s">
        <v>347</v>
      </c>
      <c r="P19" s="482"/>
      <c r="Q19" s="480"/>
      <c r="R19" s="483"/>
      <c r="S19" s="435"/>
      <c r="T19" s="419"/>
      <c r="Y19" s="421"/>
      <c r="Z19" s="421"/>
      <c r="AA19" s="421"/>
      <c r="AB19" s="421"/>
    </row>
    <row r="20" spans="1:28" ht="18">
      <c r="A20" s="451"/>
      <c r="B20" s="413" t="s">
        <v>98</v>
      </c>
      <c r="C20" s="10" t="s">
        <v>519</v>
      </c>
      <c r="D20" s="413"/>
      <c r="E20" s="413"/>
      <c r="F20" s="413"/>
      <c r="G20" s="413"/>
      <c r="H20" s="413"/>
      <c r="I20" s="452" t="s">
        <v>348</v>
      </c>
      <c r="J20" s="453" t="s">
        <v>349</v>
      </c>
      <c r="K20" s="454">
        <f>LOOKUP("r",'دورة1 دورة2'!A:A,'دورة1 دورة2'!T:T)</f>
        <v>7</v>
      </c>
      <c r="L20" s="454">
        <f>LOOKUP("r",'دورة1 دورة2'!A:A,'دورة1 دورة2'!W:W)</f>
        <v>0</v>
      </c>
      <c r="M20" s="454">
        <f>LOOKUP("r",'دورة1 دورة2'!A:A,'دورة1 دورة2'!V:V)</f>
        <v>2018</v>
      </c>
      <c r="N20" s="455" t="s">
        <v>350</v>
      </c>
      <c r="O20" s="453" t="s">
        <v>351</v>
      </c>
      <c r="P20" s="454">
        <f>LOOKUP("r",'دورة1 دورة2'!A:A,'دورة1 دورة2'!BH:BH)</f>
        <v>0</v>
      </c>
      <c r="Q20" s="454">
        <f>LOOKUP("r",'دورة1 دورة2'!A:A,'دورة1 دورة2'!BF:BF)</f>
        <v>0</v>
      </c>
      <c r="R20" s="658">
        <f>LOOKUP("r",'دورة1 دورة2'!A:A,'دورة1 دورة2'!BJ:BJ)</f>
        <v>2018</v>
      </c>
      <c r="S20" s="435"/>
      <c r="T20" s="419"/>
      <c r="U20" s="409" t="s">
        <v>352</v>
      </c>
      <c r="V20" s="409"/>
      <c r="W20" s="409"/>
      <c r="X20" s="420"/>
      <c r="Y20" s="421"/>
      <c r="Z20" s="421"/>
      <c r="AA20" s="421"/>
      <c r="AB20" s="421"/>
    </row>
    <row r="21" spans="1:28" ht="15.75">
      <c r="A21" s="451"/>
      <c r="B21" s="413" t="s">
        <v>353</v>
      </c>
      <c r="C21" s="413" t="s">
        <v>354</v>
      </c>
      <c r="D21" s="413"/>
      <c r="E21" s="413"/>
      <c r="F21" s="413"/>
      <c r="G21" s="413"/>
      <c r="H21" s="413"/>
      <c r="I21" s="452" t="s">
        <v>355</v>
      </c>
      <c r="J21" s="453" t="s">
        <v>356</v>
      </c>
      <c r="K21" s="454">
        <f>LOOKUP("r",'دورة1 دورة2'!A:A,'دورة1 دورة2'!AM:AM)</f>
        <v>2</v>
      </c>
      <c r="L21" s="454" t="str">
        <f>LOOKUP("r",'دورة1 دورة2'!A:A,'دورة1 دورة2'!AO:AO)</f>
        <v>f</v>
      </c>
      <c r="M21" s="454">
        <f>LOOKUP("r",'دورة1 دورة2'!A:A,'دورة1 دورة2'!AN:AN)</f>
        <v>2018</v>
      </c>
      <c r="N21" s="435"/>
      <c r="O21" s="484"/>
      <c r="P21" s="438"/>
      <c r="Q21" s="436"/>
      <c r="R21" s="439"/>
      <c r="S21" s="435"/>
      <c r="T21" s="419"/>
      <c r="U21" s="409" t="s">
        <v>357</v>
      </c>
      <c r="V21" s="409"/>
      <c r="W21" s="485"/>
      <c r="X21" s="421"/>
      <c r="Y21" s="421"/>
      <c r="Z21" s="421"/>
      <c r="AA21" s="421"/>
      <c r="AB21" s="421"/>
    </row>
    <row r="22" spans="1:28" ht="15">
      <c r="A22" s="451"/>
      <c r="B22" s="413"/>
      <c r="C22" s="413"/>
      <c r="D22" s="413"/>
      <c r="E22" s="413"/>
      <c r="F22" s="413"/>
      <c r="G22" s="413"/>
      <c r="H22" s="413"/>
      <c r="I22" s="452" t="s">
        <v>358</v>
      </c>
      <c r="J22" s="453" t="s">
        <v>359</v>
      </c>
      <c r="K22" s="454">
        <f>LOOKUP("r",'دورة1 دورة2'!A:A,'دورة1 دورة2'!AT:AT)</f>
        <v>0</v>
      </c>
      <c r="L22" s="454">
        <f>LOOKUP("r",'دورة1 دورة2'!A:A,'دورة1 دورة2'!AW:AW)</f>
        <v>0</v>
      </c>
      <c r="M22" s="454">
        <f>LOOKUP("r",'دورة1 دورة2'!A:A,'دورة1 دورة2'!AU:AU)</f>
        <v>2018</v>
      </c>
      <c r="N22" s="435"/>
      <c r="O22" s="435"/>
      <c r="P22" s="438"/>
      <c r="Q22" s="436"/>
      <c r="R22" s="439"/>
      <c r="S22" s="435"/>
      <c r="T22" s="419"/>
      <c r="U22" s="420"/>
      <c r="V22" s="420"/>
      <c r="W22" s="421"/>
      <c r="X22" s="421"/>
      <c r="Y22" s="421"/>
      <c r="Z22" s="421"/>
      <c r="AA22" s="421"/>
      <c r="AB22" s="421"/>
    </row>
    <row r="23" spans="1:28" ht="18">
      <c r="A23" s="451" t="s">
        <v>360</v>
      </c>
      <c r="B23" s="413" t="s">
        <v>361</v>
      </c>
      <c r="C23" s="413"/>
      <c r="D23" s="413"/>
      <c r="E23" s="413"/>
      <c r="F23" s="413"/>
      <c r="G23" s="413"/>
      <c r="H23" s="413"/>
      <c r="I23" s="452" t="s">
        <v>362</v>
      </c>
      <c r="J23" s="463" t="s">
        <v>363</v>
      </c>
      <c r="K23" s="454">
        <f>LOOKUP("r",'دورة1 دورة2'!A:A,'دورة1 دورة2'!AE:AE)</f>
        <v>4</v>
      </c>
      <c r="L23" s="454">
        <f>LOOKUP("r",'دورة1 دورة2'!A:A,'دورة1 دورة2'!AH:AH)</f>
        <v>0</v>
      </c>
      <c r="M23" s="454">
        <f>LOOKUP("r",'دورة1 دورة2'!A:A,'دورة1 دورة2'!AG:AG)</f>
        <v>2018</v>
      </c>
      <c r="N23" s="435"/>
      <c r="O23" s="435"/>
      <c r="P23" s="438"/>
      <c r="Q23" s="436"/>
      <c r="R23" s="439"/>
      <c r="S23" s="435"/>
      <c r="T23" s="486" t="s">
        <v>364</v>
      </c>
      <c r="U23" s="418" t="s">
        <v>365</v>
      </c>
      <c r="V23" s="418"/>
      <c r="W23" s="421"/>
      <c r="X23" s="421"/>
      <c r="Y23" s="421"/>
      <c r="Z23" s="421"/>
      <c r="AA23" s="421"/>
      <c r="AB23" s="421"/>
    </row>
    <row r="24" spans="1:22" ht="15">
      <c r="A24" s="451"/>
      <c r="B24" s="413" t="s">
        <v>366</v>
      </c>
      <c r="C24" s="413"/>
      <c r="D24" s="413"/>
      <c r="E24" s="413"/>
      <c r="F24" s="413"/>
      <c r="G24" s="413"/>
      <c r="H24" s="413"/>
      <c r="I24" s="434"/>
      <c r="J24" s="435"/>
      <c r="K24" s="435"/>
      <c r="L24" s="436"/>
      <c r="M24" s="437"/>
      <c r="N24" s="435"/>
      <c r="O24" s="435"/>
      <c r="P24" s="438"/>
      <c r="Q24" s="436"/>
      <c r="R24" s="439"/>
      <c r="S24" s="435"/>
      <c r="T24" s="451" t="s">
        <v>367</v>
      </c>
      <c r="U24" s="413" t="s">
        <v>368</v>
      </c>
      <c r="V24" s="413"/>
    </row>
    <row r="25" spans="1:22" ht="15">
      <c r="A25" s="451"/>
      <c r="B25" s="413" t="s">
        <v>369</v>
      </c>
      <c r="C25" s="413" t="s">
        <v>370</v>
      </c>
      <c r="D25" s="413"/>
      <c r="E25" s="413"/>
      <c r="F25" s="413"/>
      <c r="G25" s="413"/>
      <c r="H25" s="413"/>
      <c r="I25" s="434"/>
      <c r="J25" s="435" t="s">
        <v>330</v>
      </c>
      <c r="K25" s="826">
        <f>LOOKUP("r",'دورة1 دورة2'!A:A,'دورة1 دورة2'!AX:AX)</f>
        <v>9.492857142857144</v>
      </c>
      <c r="L25" s="826"/>
      <c r="M25" s="437"/>
      <c r="N25" s="435"/>
      <c r="O25" s="435" t="s">
        <v>330</v>
      </c>
      <c r="P25" s="826">
        <f>LOOKUP("r",'دورة1 دورة2'!A:A,'دورة1 دورة2'!BC:BC)</f>
        <v>0</v>
      </c>
      <c r="Q25" s="826"/>
      <c r="R25" s="439"/>
      <c r="S25" s="435"/>
      <c r="T25" s="451" t="s">
        <v>371</v>
      </c>
      <c r="U25" s="413" t="s">
        <v>372</v>
      </c>
      <c r="V25" s="413"/>
    </row>
    <row r="26" spans="1:28" ht="15">
      <c r="A26" s="451"/>
      <c r="B26" s="413" t="s">
        <v>373</v>
      </c>
      <c r="C26" s="413"/>
      <c r="D26" s="413"/>
      <c r="E26" s="413"/>
      <c r="F26" s="413"/>
      <c r="G26" s="413"/>
      <c r="H26" s="413"/>
      <c r="I26" s="434"/>
      <c r="J26" s="435" t="s">
        <v>334</v>
      </c>
      <c r="K26" s="818">
        <f>IF(K25&lt;10,K20+K21+K22+K23,30)</f>
        <v>13</v>
      </c>
      <c r="L26" s="818"/>
      <c r="M26" s="437"/>
      <c r="N26" s="435"/>
      <c r="O26" s="435" t="s">
        <v>334</v>
      </c>
      <c r="P26" s="819">
        <f>P20</f>
        <v>0</v>
      </c>
      <c r="Q26" s="819"/>
      <c r="R26" s="439"/>
      <c r="S26" s="435"/>
      <c r="T26" s="419"/>
      <c r="U26" s="420" t="s">
        <v>374</v>
      </c>
      <c r="V26" s="420"/>
      <c r="W26" s="421"/>
      <c r="X26" s="421"/>
      <c r="Y26" s="421"/>
      <c r="Z26" s="421"/>
      <c r="AA26" s="421"/>
      <c r="AB26" s="421"/>
    </row>
    <row r="27" spans="1:28" ht="15">
      <c r="A27" s="451"/>
      <c r="B27" s="413" t="s">
        <v>375</v>
      </c>
      <c r="C27" s="413"/>
      <c r="D27" s="413"/>
      <c r="E27" s="413"/>
      <c r="F27" s="413"/>
      <c r="G27" s="413"/>
      <c r="H27" s="413"/>
      <c r="I27" s="434"/>
      <c r="J27" s="435" t="s">
        <v>339</v>
      </c>
      <c r="K27" s="470" t="s">
        <v>340</v>
      </c>
      <c r="L27" s="454" t="str">
        <f>LOOKUP("r",'دورة1 دورة2'!A:A,'دورة1 دورة2'!AZ:AZ)</f>
        <v>د1</v>
      </c>
      <c r="M27" s="437"/>
      <c r="N27" s="435"/>
      <c r="O27" s="435" t="s">
        <v>339</v>
      </c>
      <c r="P27" s="471" t="s">
        <v>340</v>
      </c>
      <c r="Q27" s="454" t="str">
        <f>LOOKUP("r",'دورة1 دورة2'!A:A,'دورة1 دورة2'!BI:BI)</f>
        <v>د1</v>
      </c>
      <c r="R27" s="439"/>
      <c r="S27" s="435"/>
      <c r="T27" s="419"/>
      <c r="U27" s="420"/>
      <c r="V27" s="420"/>
      <c r="W27" s="421"/>
      <c r="X27" s="421"/>
      <c r="Y27" s="421"/>
      <c r="Z27" s="421"/>
      <c r="AA27" s="421"/>
      <c r="AB27" s="421"/>
    </row>
    <row r="28" spans="9:28" ht="18.75" thickBot="1">
      <c r="I28" s="472"/>
      <c r="J28" s="473"/>
      <c r="K28" s="473"/>
      <c r="L28" s="474"/>
      <c r="M28" s="475"/>
      <c r="N28" s="473"/>
      <c r="O28" s="473"/>
      <c r="P28" s="476"/>
      <c r="Q28" s="474"/>
      <c r="R28" s="477"/>
      <c r="S28" s="435"/>
      <c r="T28" s="419" t="s">
        <v>376</v>
      </c>
      <c r="U28" s="418" t="s">
        <v>377</v>
      </c>
      <c r="V28" s="409"/>
      <c r="W28" s="485"/>
      <c r="X28" s="421"/>
      <c r="Y28" s="421"/>
      <c r="Z28" s="421"/>
      <c r="AA28" s="421"/>
      <c r="AB28" s="421"/>
    </row>
    <row r="29" spans="1:28" ht="15.75">
      <c r="A29" s="451" t="s">
        <v>378</v>
      </c>
      <c r="B29" s="413" t="s">
        <v>379</v>
      </c>
      <c r="C29" s="413"/>
      <c r="D29" s="413"/>
      <c r="E29" s="413"/>
      <c r="F29" s="413"/>
      <c r="G29" s="413"/>
      <c r="H29" s="413"/>
      <c r="I29" s="413"/>
      <c r="J29" s="413"/>
      <c r="K29" s="413"/>
      <c r="L29" s="414"/>
      <c r="M29" s="413"/>
      <c r="N29" s="413"/>
      <c r="O29" s="413"/>
      <c r="P29" s="415"/>
      <c r="Q29" s="414"/>
      <c r="R29" s="413"/>
      <c r="S29" s="413"/>
      <c r="T29" s="419"/>
      <c r="U29" s="409"/>
      <c r="V29" s="409"/>
      <c r="W29" s="485"/>
      <c r="X29" s="421"/>
      <c r="Y29" s="421"/>
      <c r="Z29" s="421"/>
      <c r="AA29" s="421"/>
      <c r="AB29" s="421"/>
    </row>
    <row r="30" spans="1:28" ht="15.75">
      <c r="A30" s="451"/>
      <c r="B30" s="413" t="s">
        <v>380</v>
      </c>
      <c r="C30" s="413"/>
      <c r="D30" s="413"/>
      <c r="E30" s="413"/>
      <c r="F30" s="413"/>
      <c r="G30" s="413"/>
      <c r="H30" s="413"/>
      <c r="J30" s="416" t="s">
        <v>381</v>
      </c>
      <c r="K30" s="820">
        <f>(K25+P25+P15+K15)/4</f>
        <v>8.471428571428572</v>
      </c>
      <c r="L30" s="820"/>
      <c r="M30" s="408"/>
      <c r="P30" s="487"/>
      <c r="Q30" s="488"/>
      <c r="R30" s="408"/>
      <c r="S30" s="408"/>
      <c r="T30" s="419"/>
      <c r="U30" s="409" t="s">
        <v>476</v>
      </c>
      <c r="V30" s="409"/>
      <c r="W30" s="485"/>
      <c r="X30" s="421"/>
      <c r="Y30" s="421"/>
      <c r="Z30" s="421"/>
      <c r="AA30" s="421"/>
      <c r="AB30" s="421"/>
    </row>
    <row r="31" spans="1:28" ht="15.75">
      <c r="A31" s="451"/>
      <c r="B31" s="413"/>
      <c r="C31" s="413"/>
      <c r="D31" s="413"/>
      <c r="E31" s="413"/>
      <c r="F31" s="413"/>
      <c r="G31" s="413"/>
      <c r="H31" s="413"/>
      <c r="I31" s="413"/>
      <c r="J31" s="413"/>
      <c r="K31" s="413"/>
      <c r="L31" s="414"/>
      <c r="M31" s="413"/>
      <c r="N31" s="413"/>
      <c r="O31" s="413"/>
      <c r="P31" s="415"/>
      <c r="Q31" s="414"/>
      <c r="R31" s="413"/>
      <c r="S31" s="413"/>
      <c r="T31" s="489"/>
      <c r="U31" s="485"/>
      <c r="V31" s="485"/>
      <c r="W31" s="485"/>
      <c r="X31" s="421"/>
      <c r="Y31" s="421"/>
      <c r="Z31" s="421"/>
      <c r="AA31" s="421"/>
      <c r="AB31" s="421"/>
    </row>
    <row r="32" spans="1:25" ht="18">
      <c r="A32" s="451" t="s">
        <v>382</v>
      </c>
      <c r="B32" s="418" t="s">
        <v>383</v>
      </c>
      <c r="C32" s="413"/>
      <c r="D32" s="413"/>
      <c r="E32" s="413"/>
      <c r="F32" s="413"/>
      <c r="G32" s="413"/>
      <c r="H32" s="413"/>
      <c r="I32" s="413"/>
      <c r="M32" s="413"/>
      <c r="N32" s="413"/>
      <c r="O32" s="413"/>
      <c r="P32" s="415"/>
      <c r="Q32" s="414"/>
      <c r="R32" s="413"/>
      <c r="S32" s="413"/>
      <c r="T32" s="419"/>
      <c r="U32" s="409" t="s">
        <v>384</v>
      </c>
      <c r="V32" s="409"/>
      <c r="W32" s="485"/>
      <c r="X32" s="421"/>
      <c r="Y32" s="421"/>
    </row>
    <row r="33" spans="1:28" ht="15.75">
      <c r="A33" s="451" t="s">
        <v>385</v>
      </c>
      <c r="B33" s="413" t="s">
        <v>386</v>
      </c>
      <c r="C33" s="413"/>
      <c r="D33" s="413"/>
      <c r="E33" s="413"/>
      <c r="F33" s="413"/>
      <c r="G33" s="413"/>
      <c r="H33" s="413"/>
      <c r="I33" s="413"/>
      <c r="J33" s="490" t="s">
        <v>387</v>
      </c>
      <c r="K33" s="413" t="s">
        <v>388</v>
      </c>
      <c r="L33" s="414" t="s">
        <v>389</v>
      </c>
      <c r="M33" s="413"/>
      <c r="N33" s="413"/>
      <c r="O33" s="413"/>
      <c r="P33" s="415"/>
      <c r="Q33" s="414"/>
      <c r="R33" s="413"/>
      <c r="S33" s="413"/>
      <c r="T33" s="419"/>
      <c r="U33" s="409"/>
      <c r="V33" s="409"/>
      <c r="W33" s="485"/>
      <c r="X33" s="421"/>
      <c r="Y33" s="421"/>
      <c r="Z33" s="421"/>
      <c r="AA33" s="421"/>
      <c r="AB33" s="421"/>
    </row>
    <row r="34" spans="1:28" ht="15.75">
      <c r="A34" s="451"/>
      <c r="B34" s="413" t="s">
        <v>390</v>
      </c>
      <c r="C34" s="413"/>
      <c r="D34" s="413"/>
      <c r="E34" s="413"/>
      <c r="F34" s="413"/>
      <c r="G34" s="413"/>
      <c r="H34" s="413"/>
      <c r="I34" s="413"/>
      <c r="J34" s="413"/>
      <c r="K34" s="413" t="s">
        <v>391</v>
      </c>
      <c r="L34" s="414" t="s">
        <v>392</v>
      </c>
      <c r="M34" s="413"/>
      <c r="N34" s="413"/>
      <c r="O34" s="413"/>
      <c r="P34" s="415"/>
      <c r="Q34" s="414"/>
      <c r="R34" s="413"/>
      <c r="S34" s="413"/>
      <c r="T34" s="419"/>
      <c r="U34" s="409" t="s">
        <v>393</v>
      </c>
      <c r="V34" s="821">
        <f ca="1">TODAY()+TODAY()</f>
        <v>86376</v>
      </c>
      <c r="W34" s="821"/>
      <c r="X34" s="421"/>
      <c r="Y34" s="421"/>
      <c r="Z34" s="421"/>
      <c r="AA34" s="421"/>
      <c r="AB34" s="421"/>
    </row>
    <row r="35" spans="1:28" ht="15.75">
      <c r="A35" s="451" t="s">
        <v>394</v>
      </c>
      <c r="B35" s="413" t="s">
        <v>395</v>
      </c>
      <c r="C35" s="413"/>
      <c r="D35" s="413"/>
      <c r="E35" s="413"/>
      <c r="F35" s="413"/>
      <c r="G35" s="413"/>
      <c r="H35" s="413"/>
      <c r="I35" s="413"/>
      <c r="J35" s="413"/>
      <c r="K35" s="413" t="s">
        <v>396</v>
      </c>
      <c r="L35" s="414" t="s">
        <v>397</v>
      </c>
      <c r="M35" s="413"/>
      <c r="N35" s="413"/>
      <c r="O35" s="413"/>
      <c r="P35" s="415"/>
      <c r="Q35" s="414"/>
      <c r="R35" s="413"/>
      <c r="S35" s="413"/>
      <c r="T35" s="419"/>
      <c r="U35" s="409"/>
      <c r="V35" s="409"/>
      <c r="W35" s="485"/>
      <c r="X35" s="421"/>
      <c r="Y35" s="421"/>
      <c r="Z35" s="421"/>
      <c r="AA35" s="421"/>
      <c r="AB35" s="421"/>
    </row>
    <row r="36" spans="1:28" ht="15.75">
      <c r="A36" s="451"/>
      <c r="B36" s="420"/>
      <c r="C36" s="420"/>
      <c r="D36" s="420"/>
      <c r="E36" s="420"/>
      <c r="F36" s="420"/>
      <c r="G36" s="420"/>
      <c r="H36" s="420"/>
      <c r="I36" s="413"/>
      <c r="J36" s="413"/>
      <c r="K36" s="413" t="s">
        <v>398</v>
      </c>
      <c r="L36" s="414" t="s">
        <v>399</v>
      </c>
      <c r="M36" s="413"/>
      <c r="N36" s="413"/>
      <c r="O36" s="413"/>
      <c r="P36" s="415"/>
      <c r="Q36" s="414"/>
      <c r="R36" s="413"/>
      <c r="S36" s="413"/>
      <c r="T36" s="419"/>
      <c r="U36" s="409" t="s">
        <v>400</v>
      </c>
      <c r="V36" s="409"/>
      <c r="W36" s="485"/>
      <c r="X36" s="421"/>
      <c r="Y36" s="421"/>
      <c r="Z36" s="421"/>
      <c r="AA36" s="421"/>
      <c r="AB36" s="421"/>
    </row>
    <row r="37" spans="1:28" ht="15.75">
      <c r="A37" s="451" t="s">
        <v>401</v>
      </c>
      <c r="B37" s="413" t="s">
        <v>402</v>
      </c>
      <c r="C37" s="413"/>
      <c r="D37" s="413"/>
      <c r="E37" s="413"/>
      <c r="F37" s="413"/>
      <c r="G37" s="413"/>
      <c r="H37" s="413"/>
      <c r="I37" s="413"/>
      <c r="J37" s="413"/>
      <c r="K37" s="413" t="s">
        <v>403</v>
      </c>
      <c r="L37" s="414" t="s">
        <v>404</v>
      </c>
      <c r="M37" s="413"/>
      <c r="N37" s="413"/>
      <c r="O37" s="413"/>
      <c r="P37" s="415"/>
      <c r="Q37" s="414"/>
      <c r="R37" s="413"/>
      <c r="S37" s="413"/>
      <c r="T37" s="419"/>
      <c r="U37" s="409"/>
      <c r="V37" s="409"/>
      <c r="W37" s="485"/>
      <c r="X37" s="421"/>
      <c r="Y37" s="421"/>
      <c r="Z37" s="421"/>
      <c r="AA37" s="421"/>
      <c r="AB37" s="421"/>
    </row>
    <row r="38" spans="1:28" ht="15.75">
      <c r="A38" s="451"/>
      <c r="B38" s="413" t="s">
        <v>405</v>
      </c>
      <c r="C38" s="413"/>
      <c r="D38" s="413"/>
      <c r="E38" s="413"/>
      <c r="F38" s="413"/>
      <c r="G38" s="413"/>
      <c r="H38" s="413"/>
      <c r="I38" s="413"/>
      <c r="J38" s="413"/>
      <c r="K38" s="413" t="s">
        <v>105</v>
      </c>
      <c r="L38" s="414" t="s">
        <v>406</v>
      </c>
      <c r="M38" s="413"/>
      <c r="N38" s="413"/>
      <c r="O38" s="413"/>
      <c r="P38" s="415"/>
      <c r="Q38" s="414"/>
      <c r="R38" s="413"/>
      <c r="S38" s="413"/>
      <c r="T38" s="419"/>
      <c r="W38" s="485"/>
      <c r="X38" s="421"/>
      <c r="Y38" s="421"/>
      <c r="Z38" s="421"/>
      <c r="AA38" s="421"/>
      <c r="AB38" s="421"/>
    </row>
    <row r="39" spans="1:28" ht="15.75">
      <c r="A39" s="451"/>
      <c r="B39" s="420"/>
      <c r="C39" s="420"/>
      <c r="D39" s="420"/>
      <c r="E39" s="420"/>
      <c r="F39" s="420"/>
      <c r="G39" s="420"/>
      <c r="H39" s="420"/>
      <c r="I39" s="413"/>
      <c r="M39" s="413"/>
      <c r="N39" s="413"/>
      <c r="O39" s="413"/>
      <c r="P39" s="415"/>
      <c r="Q39" s="414"/>
      <c r="R39" s="413"/>
      <c r="S39" s="413"/>
      <c r="T39" s="419"/>
      <c r="U39" s="409" t="s">
        <v>407</v>
      </c>
      <c r="V39" s="409"/>
      <c r="W39" s="421"/>
      <c r="X39" s="421"/>
      <c r="Y39" s="421"/>
      <c r="Z39" s="421"/>
      <c r="AA39" s="421"/>
      <c r="AB39" s="421"/>
    </row>
    <row r="40" spans="1:28" ht="18">
      <c r="A40" s="486" t="s">
        <v>408</v>
      </c>
      <c r="B40" s="418" t="s">
        <v>409</v>
      </c>
      <c r="C40" s="418"/>
      <c r="D40" s="418"/>
      <c r="E40" s="420"/>
      <c r="F40" s="420"/>
      <c r="G40" s="420"/>
      <c r="H40" s="420"/>
      <c r="I40" s="413"/>
      <c r="M40" s="413"/>
      <c r="N40" s="413"/>
      <c r="O40" s="413"/>
      <c r="P40" s="415"/>
      <c r="Q40" s="414"/>
      <c r="R40" s="413"/>
      <c r="S40" s="413"/>
      <c r="T40" s="419"/>
      <c r="U40" s="420"/>
      <c r="V40" s="420"/>
      <c r="W40" s="421"/>
      <c r="X40" s="421"/>
      <c r="Y40" s="421"/>
      <c r="Z40" s="421"/>
      <c r="AA40" s="421"/>
      <c r="AB40" s="421"/>
    </row>
    <row r="41" spans="1:28" ht="18">
      <c r="A41" s="451" t="s">
        <v>410</v>
      </c>
      <c r="B41" s="822" t="s">
        <v>411</v>
      </c>
      <c r="C41" s="822"/>
      <c r="D41" s="822"/>
      <c r="E41" s="822"/>
      <c r="F41" s="822"/>
      <c r="G41" s="822"/>
      <c r="H41" s="491"/>
      <c r="I41" s="492" t="s">
        <v>412</v>
      </c>
      <c r="J41" s="423" t="s">
        <v>413</v>
      </c>
      <c r="K41" s="492"/>
      <c r="L41" s="492"/>
      <c r="M41" s="413"/>
      <c r="N41" s="413"/>
      <c r="O41" s="413"/>
      <c r="P41" s="415"/>
      <c r="Q41" s="414"/>
      <c r="R41" s="413"/>
      <c r="S41" s="413"/>
      <c r="T41" s="419"/>
      <c r="U41" s="420"/>
      <c r="V41" s="420"/>
      <c r="W41" s="421"/>
      <c r="X41" s="421"/>
      <c r="Y41" s="421"/>
      <c r="Z41" s="421"/>
      <c r="AA41" s="421"/>
      <c r="AB41" s="421"/>
    </row>
    <row r="42" spans="2:22" ht="18">
      <c r="B42" s="822"/>
      <c r="C42" s="822"/>
      <c r="D42" s="822"/>
      <c r="E42" s="822"/>
      <c r="F42" s="822"/>
      <c r="G42" s="822"/>
      <c r="H42" s="491"/>
      <c r="M42" s="413"/>
      <c r="N42" s="413"/>
      <c r="O42" s="413"/>
      <c r="P42" s="415"/>
      <c r="Q42" s="414"/>
      <c r="R42" s="413"/>
      <c r="S42" s="413"/>
      <c r="T42" s="451" t="s">
        <v>414</v>
      </c>
      <c r="U42" s="418" t="s">
        <v>415</v>
      </c>
      <c r="V42" s="413"/>
    </row>
    <row r="43" spans="1:29" ht="15">
      <c r="A43" s="451"/>
      <c r="B43" s="822"/>
      <c r="C43" s="822"/>
      <c r="D43" s="822"/>
      <c r="E43" s="822"/>
      <c r="F43" s="822"/>
      <c r="G43" s="822"/>
      <c r="H43" s="491"/>
      <c r="I43" s="823" t="s">
        <v>416</v>
      </c>
      <c r="J43" s="823"/>
      <c r="K43" s="823"/>
      <c r="L43" s="823"/>
      <c r="M43" s="823"/>
      <c r="N43" s="823"/>
      <c r="O43" s="823"/>
      <c r="P43" s="823"/>
      <c r="Q43" s="823"/>
      <c r="R43" s="823"/>
      <c r="S43" s="413"/>
      <c r="T43" s="419"/>
      <c r="U43" s="824" t="s">
        <v>417</v>
      </c>
      <c r="V43" s="824"/>
      <c r="W43" s="824"/>
      <c r="X43" s="824"/>
      <c r="Y43" s="824"/>
      <c r="Z43" s="824"/>
      <c r="AA43" s="824"/>
      <c r="AB43" s="824"/>
      <c r="AC43" s="421"/>
    </row>
    <row r="44" spans="1:29" ht="15">
      <c r="A44" s="451"/>
      <c r="B44" s="822"/>
      <c r="C44" s="822"/>
      <c r="D44" s="822"/>
      <c r="E44" s="822"/>
      <c r="F44" s="822"/>
      <c r="G44" s="822"/>
      <c r="H44" s="491"/>
      <c r="I44" s="823"/>
      <c r="J44" s="823"/>
      <c r="K44" s="823"/>
      <c r="L44" s="823"/>
      <c r="M44" s="823"/>
      <c r="N44" s="823"/>
      <c r="O44" s="823"/>
      <c r="P44" s="823"/>
      <c r="Q44" s="823"/>
      <c r="R44" s="823"/>
      <c r="S44" s="413"/>
      <c r="T44" s="419"/>
      <c r="U44" s="824"/>
      <c r="V44" s="824"/>
      <c r="W44" s="824"/>
      <c r="X44" s="824"/>
      <c r="Y44" s="824"/>
      <c r="Z44" s="824"/>
      <c r="AA44" s="824"/>
      <c r="AB44" s="824"/>
      <c r="AC44" s="421"/>
    </row>
    <row r="45" spans="1:29" ht="15">
      <c r="A45" s="451"/>
      <c r="B45" s="822"/>
      <c r="C45" s="822"/>
      <c r="D45" s="822"/>
      <c r="E45" s="822"/>
      <c r="F45" s="822"/>
      <c r="G45" s="822"/>
      <c r="H45" s="493"/>
      <c r="I45" s="823"/>
      <c r="J45" s="823"/>
      <c r="K45" s="823"/>
      <c r="L45" s="823"/>
      <c r="M45" s="823"/>
      <c r="N45" s="823"/>
      <c r="O45" s="823"/>
      <c r="P45" s="823"/>
      <c r="Q45" s="823"/>
      <c r="R45" s="823"/>
      <c r="S45" s="413"/>
      <c r="T45" s="419"/>
      <c r="U45" s="824"/>
      <c r="V45" s="824"/>
      <c r="W45" s="824"/>
      <c r="X45" s="824"/>
      <c r="Y45" s="824"/>
      <c r="Z45" s="824"/>
      <c r="AA45" s="824"/>
      <c r="AB45" s="824"/>
      <c r="AC45" s="421"/>
    </row>
    <row r="46" spans="2:28" ht="18.75">
      <c r="B46" s="493"/>
      <c r="C46" s="493"/>
      <c r="D46" s="494">
        <v>1</v>
      </c>
      <c r="E46" s="493"/>
      <c r="F46" s="493"/>
      <c r="G46" s="493"/>
      <c r="H46" s="493"/>
      <c r="I46" s="413"/>
      <c r="J46" s="413"/>
      <c r="K46" s="413"/>
      <c r="L46" s="414"/>
      <c r="M46" s="413"/>
      <c r="N46" s="494">
        <v>2</v>
      </c>
      <c r="O46" s="413"/>
      <c r="P46" s="415"/>
      <c r="Q46" s="414"/>
      <c r="R46" s="413"/>
      <c r="S46" s="413"/>
      <c r="T46" s="419"/>
      <c r="U46" s="420"/>
      <c r="V46" s="420"/>
      <c r="W46" s="421"/>
      <c r="X46" s="495">
        <v>3</v>
      </c>
      <c r="Y46" s="421"/>
      <c r="Z46" s="421"/>
      <c r="AA46" s="421"/>
      <c r="AB46" s="421"/>
    </row>
    <row r="47" spans="9:28" ht="18.75">
      <c r="I47" s="496"/>
      <c r="K47" s="494"/>
      <c r="T47" s="419"/>
      <c r="U47" s="420"/>
      <c r="V47" s="420"/>
      <c r="W47" s="421"/>
      <c r="Y47" s="421"/>
      <c r="Z47" s="421"/>
      <c r="AA47" s="421"/>
      <c r="AB47" s="421"/>
    </row>
    <row r="48" spans="1:46" ht="15">
      <c r="A48" s="497"/>
      <c r="B48" s="498"/>
      <c r="C48" s="498"/>
      <c r="D48" s="498"/>
      <c r="E48" s="498"/>
      <c r="F48" s="498"/>
      <c r="G48" s="498"/>
      <c r="H48" s="498"/>
      <c r="I48" s="498"/>
      <c r="J48" s="498"/>
      <c r="K48" s="498"/>
      <c r="L48" s="498"/>
      <c r="M48" s="499"/>
      <c r="N48" s="498"/>
      <c r="O48" s="498"/>
      <c r="P48" s="498"/>
      <c r="Q48" s="500"/>
      <c r="R48" s="499"/>
      <c r="S48" s="499"/>
      <c r="T48" s="498"/>
      <c r="U48" s="497"/>
      <c r="V48" s="498"/>
      <c r="W48" s="498"/>
      <c r="X48" s="498"/>
      <c r="Y48" s="498"/>
      <c r="Z48" s="498"/>
      <c r="AA48" s="498"/>
      <c r="AB48" s="498"/>
      <c r="AC48" s="498"/>
      <c r="AD48" s="498"/>
      <c r="AE48" s="498"/>
      <c r="AF48" s="501"/>
      <c r="AG48" s="351"/>
      <c r="AH48" s="351"/>
      <c r="AI48" s="351"/>
      <c r="AJ48" s="351"/>
      <c r="AK48" s="351"/>
      <c r="AL48" s="351"/>
      <c r="AM48" s="351"/>
      <c r="AN48" s="351"/>
      <c r="AO48" s="351"/>
      <c r="AP48" s="351"/>
      <c r="AQ48" s="351"/>
      <c r="AR48" s="351"/>
      <c r="AS48" s="351"/>
      <c r="AT48" s="351"/>
    </row>
    <row r="49" spans="1:46" ht="15">
      <c r="A49" s="497"/>
      <c r="B49" s="498"/>
      <c r="C49" s="498"/>
      <c r="D49" s="498"/>
      <c r="E49" s="498"/>
      <c r="F49" s="498"/>
      <c r="G49" s="498"/>
      <c r="H49" s="498"/>
      <c r="I49" s="498"/>
      <c r="J49" s="498"/>
      <c r="K49" s="498"/>
      <c r="L49" s="498"/>
      <c r="M49" s="499"/>
      <c r="N49" s="498"/>
      <c r="O49" s="498"/>
      <c r="P49" s="498"/>
      <c r="Q49" s="500"/>
      <c r="R49" s="499"/>
      <c r="S49" s="499"/>
      <c r="T49" s="498"/>
      <c r="U49" s="497"/>
      <c r="V49" s="498"/>
      <c r="W49" s="498"/>
      <c r="X49" s="498"/>
      <c r="Y49" s="498"/>
      <c r="Z49" s="498"/>
      <c r="AA49" s="498"/>
      <c r="AB49" s="498"/>
      <c r="AC49" s="498"/>
      <c r="AD49" s="498"/>
      <c r="AE49" s="498"/>
      <c r="AF49" s="501"/>
      <c r="AG49" s="351"/>
      <c r="AH49" s="351"/>
      <c r="AI49" s="351"/>
      <c r="AJ49" s="351"/>
      <c r="AK49" s="351"/>
      <c r="AL49" s="351"/>
      <c r="AM49" s="351"/>
      <c r="AN49" s="351"/>
      <c r="AO49" s="351"/>
      <c r="AP49" s="351"/>
      <c r="AQ49" s="351"/>
      <c r="AR49" s="351"/>
      <c r="AS49" s="351"/>
      <c r="AT49" s="351"/>
    </row>
    <row r="50" spans="1:46" ht="15">
      <c r="A50" s="497"/>
      <c r="B50" s="498"/>
      <c r="C50" s="498"/>
      <c r="D50" s="498"/>
      <c r="E50" s="498"/>
      <c r="F50" s="498"/>
      <c r="G50" s="498"/>
      <c r="H50" s="498"/>
      <c r="I50" s="498"/>
      <c r="J50" s="498"/>
      <c r="K50" s="498"/>
      <c r="L50" s="498"/>
      <c r="M50" s="499"/>
      <c r="N50" s="498"/>
      <c r="O50" s="498"/>
      <c r="P50" s="498"/>
      <c r="Q50" s="500"/>
      <c r="R50" s="499"/>
      <c r="S50" s="499"/>
      <c r="T50" s="498"/>
      <c r="U50" s="497"/>
      <c r="V50" s="498"/>
      <c r="W50" s="498"/>
      <c r="X50" s="498"/>
      <c r="Y50" s="498"/>
      <c r="Z50" s="498"/>
      <c r="AA50" s="498"/>
      <c r="AB50" s="498"/>
      <c r="AC50" s="498"/>
      <c r="AD50" s="498"/>
      <c r="AE50" s="498"/>
      <c r="AF50" s="501"/>
      <c r="AG50" s="351"/>
      <c r="AH50" s="351"/>
      <c r="AI50" s="351"/>
      <c r="AJ50" s="351"/>
      <c r="AK50" s="351"/>
      <c r="AL50" s="351"/>
      <c r="AM50" s="351"/>
      <c r="AN50" s="351"/>
      <c r="AO50" s="351"/>
      <c r="AP50" s="351"/>
      <c r="AQ50" s="351"/>
      <c r="AR50" s="351"/>
      <c r="AS50" s="351"/>
      <c r="AT50" s="351"/>
    </row>
    <row r="51" spans="1:46" ht="15">
      <c r="A51" s="497"/>
      <c r="B51" s="498"/>
      <c r="C51" s="498"/>
      <c r="D51" s="498"/>
      <c r="E51" s="498"/>
      <c r="F51" s="498"/>
      <c r="G51" s="498"/>
      <c r="H51" s="498"/>
      <c r="I51" s="498"/>
      <c r="J51" s="498"/>
      <c r="K51" s="498"/>
      <c r="L51" s="498"/>
      <c r="M51" s="499"/>
      <c r="N51" s="498"/>
      <c r="O51" s="498"/>
      <c r="P51" s="498"/>
      <c r="Q51" s="500"/>
      <c r="R51" s="499"/>
      <c r="S51" s="499"/>
      <c r="T51" s="498"/>
      <c r="U51" s="497"/>
      <c r="V51" s="498"/>
      <c r="W51" s="498"/>
      <c r="X51" s="498"/>
      <c r="Y51" s="498"/>
      <c r="Z51" s="498"/>
      <c r="AA51" s="498"/>
      <c r="AB51" s="498"/>
      <c r="AC51" s="498"/>
      <c r="AD51" s="498"/>
      <c r="AE51" s="498"/>
      <c r="AF51" s="501"/>
      <c r="AG51" s="351"/>
      <c r="AH51" s="351"/>
      <c r="AI51" s="351"/>
      <c r="AJ51" s="351"/>
      <c r="AK51" s="351"/>
      <c r="AL51" s="351"/>
      <c r="AM51" s="351"/>
      <c r="AN51" s="351"/>
      <c r="AO51" s="351"/>
      <c r="AP51" s="351"/>
      <c r="AQ51" s="351"/>
      <c r="AR51" s="351"/>
      <c r="AS51" s="351"/>
      <c r="AT51" s="351"/>
    </row>
    <row r="52" spans="1:46" ht="15">
      <c r="A52" s="497"/>
      <c r="B52" s="498"/>
      <c r="C52" s="498"/>
      <c r="D52" s="498"/>
      <c r="E52" s="498"/>
      <c r="F52" s="498"/>
      <c r="G52" s="498"/>
      <c r="H52" s="498"/>
      <c r="I52" s="498"/>
      <c r="J52" s="498"/>
      <c r="K52" s="498"/>
      <c r="L52" s="498"/>
      <c r="M52" s="499"/>
      <c r="N52" s="498"/>
      <c r="O52" s="498"/>
      <c r="P52" s="498"/>
      <c r="Q52" s="500"/>
      <c r="R52" s="499"/>
      <c r="S52" s="499"/>
      <c r="T52" s="498"/>
      <c r="U52" s="497"/>
      <c r="V52" s="498"/>
      <c r="W52" s="498"/>
      <c r="X52" s="498"/>
      <c r="Y52" s="498"/>
      <c r="Z52" s="498"/>
      <c r="AA52" s="498"/>
      <c r="AB52" s="498"/>
      <c r="AC52" s="498"/>
      <c r="AD52" s="498"/>
      <c r="AE52" s="498"/>
      <c r="AF52" s="501"/>
      <c r="AG52" s="351"/>
      <c r="AH52" s="351"/>
      <c r="AI52" s="351"/>
      <c r="AJ52" s="351"/>
      <c r="AK52" s="351"/>
      <c r="AL52" s="351"/>
      <c r="AM52" s="351"/>
      <c r="AN52" s="351"/>
      <c r="AO52" s="351"/>
      <c r="AP52" s="351"/>
      <c r="AQ52" s="351"/>
      <c r="AR52" s="351"/>
      <c r="AS52" s="351"/>
      <c r="AT52" s="351"/>
    </row>
    <row r="53" spans="1:46" ht="15">
      <c r="A53" s="497"/>
      <c r="B53" s="498"/>
      <c r="C53" s="498"/>
      <c r="D53" s="498"/>
      <c r="E53" s="498"/>
      <c r="F53" s="498"/>
      <c r="G53" s="498"/>
      <c r="H53" s="498"/>
      <c r="I53" s="498"/>
      <c r="J53" s="498"/>
      <c r="K53" s="498"/>
      <c r="L53" s="498"/>
      <c r="M53" s="499"/>
      <c r="N53" s="498"/>
      <c r="O53" s="498"/>
      <c r="P53" s="498"/>
      <c r="Q53" s="500"/>
      <c r="R53" s="499"/>
      <c r="S53" s="499"/>
      <c r="T53" s="498"/>
      <c r="U53" s="497"/>
      <c r="V53" s="498"/>
      <c r="W53" s="498"/>
      <c r="X53" s="498"/>
      <c r="Y53" s="498"/>
      <c r="Z53" s="498"/>
      <c r="AA53" s="498"/>
      <c r="AB53" s="498"/>
      <c r="AC53" s="498"/>
      <c r="AD53" s="498"/>
      <c r="AE53" s="498"/>
      <c r="AF53" s="501"/>
      <c r="AG53" s="351"/>
      <c r="AH53" s="351"/>
      <c r="AI53" s="351"/>
      <c r="AJ53" s="351"/>
      <c r="AK53" s="351"/>
      <c r="AL53" s="351"/>
      <c r="AM53" s="351"/>
      <c r="AN53" s="351"/>
      <c r="AO53" s="351"/>
      <c r="AP53" s="351"/>
      <c r="AQ53" s="351"/>
      <c r="AR53" s="351"/>
      <c r="AS53" s="351"/>
      <c r="AT53" s="351"/>
    </row>
    <row r="54" spans="1:46" ht="15">
      <c r="A54" s="497"/>
      <c r="B54" s="498"/>
      <c r="C54" s="498"/>
      <c r="D54" s="498"/>
      <c r="E54" s="498"/>
      <c r="F54" s="498"/>
      <c r="G54" s="498"/>
      <c r="H54" s="498"/>
      <c r="I54" s="498"/>
      <c r="J54" s="498"/>
      <c r="K54" s="498"/>
      <c r="L54" s="498"/>
      <c r="M54" s="499"/>
      <c r="N54" s="498"/>
      <c r="O54" s="498"/>
      <c r="P54" s="498"/>
      <c r="Q54" s="500"/>
      <c r="R54" s="499"/>
      <c r="S54" s="499"/>
      <c r="T54" s="498"/>
      <c r="U54" s="497"/>
      <c r="V54" s="498"/>
      <c r="W54" s="498"/>
      <c r="X54" s="498"/>
      <c r="Y54" s="498"/>
      <c r="Z54" s="498"/>
      <c r="AA54" s="498"/>
      <c r="AB54" s="498"/>
      <c r="AC54" s="498"/>
      <c r="AD54" s="498"/>
      <c r="AE54" s="498"/>
      <c r="AF54" s="501"/>
      <c r="AG54" s="351"/>
      <c r="AH54" s="351"/>
      <c r="AI54" s="351"/>
      <c r="AJ54" s="351"/>
      <c r="AK54" s="351"/>
      <c r="AL54" s="351"/>
      <c r="AM54" s="351"/>
      <c r="AN54" s="351"/>
      <c r="AO54" s="351"/>
      <c r="AP54" s="351"/>
      <c r="AQ54" s="351"/>
      <c r="AR54" s="351"/>
      <c r="AS54" s="351"/>
      <c r="AT54" s="351"/>
    </row>
    <row r="55" spans="1:46" ht="15">
      <c r="A55" s="497"/>
      <c r="B55" s="498"/>
      <c r="C55" s="498"/>
      <c r="D55" s="498"/>
      <c r="E55" s="498"/>
      <c r="F55" s="498"/>
      <c r="G55" s="498"/>
      <c r="H55" s="498"/>
      <c r="I55" s="498"/>
      <c r="J55" s="498"/>
      <c r="K55" s="498"/>
      <c r="L55" s="498"/>
      <c r="M55" s="499"/>
      <c r="N55" s="498"/>
      <c r="O55" s="498"/>
      <c r="P55" s="498"/>
      <c r="Q55" s="500"/>
      <c r="R55" s="499"/>
      <c r="S55" s="499"/>
      <c r="T55" s="498"/>
      <c r="U55" s="497"/>
      <c r="V55" s="498"/>
      <c r="W55" s="498"/>
      <c r="X55" s="498"/>
      <c r="Y55" s="498"/>
      <c r="Z55" s="498"/>
      <c r="AA55" s="498"/>
      <c r="AB55" s="498"/>
      <c r="AC55" s="498"/>
      <c r="AD55" s="498"/>
      <c r="AE55" s="498"/>
      <c r="AF55" s="501"/>
      <c r="AG55" s="351"/>
      <c r="AH55" s="351"/>
      <c r="AI55" s="351"/>
      <c r="AJ55" s="351"/>
      <c r="AK55" s="351"/>
      <c r="AL55" s="351"/>
      <c r="AM55" s="351"/>
      <c r="AN55" s="351"/>
      <c r="AO55" s="351"/>
      <c r="AP55" s="351"/>
      <c r="AQ55" s="351"/>
      <c r="AR55" s="351"/>
      <c r="AS55" s="351"/>
      <c r="AT55" s="351"/>
    </row>
    <row r="56" spans="1:46" ht="15">
      <c r="A56" s="497"/>
      <c r="B56" s="498"/>
      <c r="C56" s="498"/>
      <c r="D56" s="498"/>
      <c r="E56" s="498"/>
      <c r="F56" s="498"/>
      <c r="G56" s="498"/>
      <c r="H56" s="498"/>
      <c r="I56" s="498"/>
      <c r="J56" s="498"/>
      <c r="K56" s="498"/>
      <c r="L56" s="498"/>
      <c r="M56" s="499"/>
      <c r="N56" s="498"/>
      <c r="O56" s="498"/>
      <c r="P56" s="498"/>
      <c r="Q56" s="500"/>
      <c r="R56" s="499"/>
      <c r="S56" s="499"/>
      <c r="T56" s="498"/>
      <c r="U56" s="497"/>
      <c r="V56" s="498"/>
      <c r="W56" s="498"/>
      <c r="X56" s="498"/>
      <c r="Y56" s="498"/>
      <c r="Z56" s="498"/>
      <c r="AA56" s="498"/>
      <c r="AB56" s="498"/>
      <c r="AC56" s="498"/>
      <c r="AD56" s="498"/>
      <c r="AE56" s="498"/>
      <c r="AF56" s="501"/>
      <c r="AG56" s="351"/>
      <c r="AH56" s="351"/>
      <c r="AI56" s="351"/>
      <c r="AJ56" s="351"/>
      <c r="AK56" s="351"/>
      <c r="AL56" s="351"/>
      <c r="AM56" s="351"/>
      <c r="AN56" s="351"/>
      <c r="AO56" s="351"/>
      <c r="AP56" s="351"/>
      <c r="AQ56" s="351"/>
      <c r="AR56" s="351"/>
      <c r="AS56" s="351"/>
      <c r="AT56" s="351"/>
    </row>
    <row r="57" spans="1:46" ht="15">
      <c r="A57" s="497"/>
      <c r="B57" s="498"/>
      <c r="C57" s="498"/>
      <c r="D57" s="498"/>
      <c r="E57" s="498"/>
      <c r="F57" s="498"/>
      <c r="G57" s="498"/>
      <c r="H57" s="498"/>
      <c r="I57" s="498"/>
      <c r="J57" s="498"/>
      <c r="K57" s="498"/>
      <c r="L57" s="498"/>
      <c r="M57" s="499"/>
      <c r="N57" s="498"/>
      <c r="O57" s="498"/>
      <c r="P57" s="498"/>
      <c r="Q57" s="500"/>
      <c r="R57" s="499"/>
      <c r="S57" s="499"/>
      <c r="T57" s="498"/>
      <c r="U57" s="497"/>
      <c r="V57" s="498"/>
      <c r="W57" s="498"/>
      <c r="X57" s="498"/>
      <c r="Y57" s="498"/>
      <c r="Z57" s="498"/>
      <c r="AA57" s="498"/>
      <c r="AB57" s="498"/>
      <c r="AC57" s="498"/>
      <c r="AD57" s="498"/>
      <c r="AE57" s="498"/>
      <c r="AF57" s="501"/>
      <c r="AG57" s="351"/>
      <c r="AH57" s="351"/>
      <c r="AI57" s="351"/>
      <c r="AJ57" s="351"/>
      <c r="AK57" s="351"/>
      <c r="AL57" s="351"/>
      <c r="AM57" s="351"/>
      <c r="AN57" s="351"/>
      <c r="AO57" s="351"/>
      <c r="AP57" s="351"/>
      <c r="AQ57" s="351"/>
      <c r="AR57" s="351"/>
      <c r="AS57" s="351"/>
      <c r="AT57" s="351"/>
    </row>
  </sheetData>
  <sheetProtection/>
  <mergeCells count="20">
    <mergeCell ref="K1:L1"/>
    <mergeCell ref="P1:Q1"/>
    <mergeCell ref="X1:Y1"/>
    <mergeCell ref="K2:L2"/>
    <mergeCell ref="T2:U2"/>
    <mergeCell ref="V2:W2"/>
    <mergeCell ref="A7:G9"/>
    <mergeCell ref="K15:L15"/>
    <mergeCell ref="P15:Q15"/>
    <mergeCell ref="K16:L16"/>
    <mergeCell ref="P16:Q16"/>
    <mergeCell ref="K25:L25"/>
    <mergeCell ref="P25:Q25"/>
    <mergeCell ref="K26:L26"/>
    <mergeCell ref="P26:Q26"/>
    <mergeCell ref="K30:L30"/>
    <mergeCell ref="V34:W34"/>
    <mergeCell ref="B41:G45"/>
    <mergeCell ref="I43:R45"/>
    <mergeCell ref="U43:AB45"/>
  </mergeCells>
  <printOptions/>
  <pageMargins left="0.25" right="0.25"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V53"/>
  <sheetViews>
    <sheetView rightToLeft="1" zoomScalePageLayoutView="0" workbookViewId="0" topLeftCell="A1">
      <selection activeCell="H7" sqref="H7"/>
    </sheetView>
  </sheetViews>
  <sheetFormatPr defaultColWidth="12.140625" defaultRowHeight="12.75"/>
  <cols>
    <col min="1" max="1" width="3.7109375" style="348" customWidth="1"/>
    <col min="2" max="2" width="6.7109375" style="0" customWidth="1"/>
    <col min="3" max="3" width="7.7109375" style="0" customWidth="1"/>
    <col min="4" max="11" width="12.140625" style="0" customWidth="1"/>
    <col min="12" max="14" width="10.00390625" style="0" customWidth="1"/>
  </cols>
  <sheetData>
    <row r="1" spans="7:21" ht="18">
      <c r="G1" s="213" t="s">
        <v>418</v>
      </c>
      <c r="R1" s="502" t="s">
        <v>419</v>
      </c>
      <c r="S1" s="502" t="s">
        <v>420</v>
      </c>
      <c r="T1" s="502" t="s">
        <v>421</v>
      </c>
      <c r="U1" s="502" t="s">
        <v>422</v>
      </c>
    </row>
    <row r="2" spans="2:22" ht="20.25">
      <c r="B2" s="213" t="s">
        <v>19</v>
      </c>
      <c r="F2" s="213"/>
      <c r="L2" s="228" t="s">
        <v>524</v>
      </c>
      <c r="R2" s="503">
        <v>0.1</v>
      </c>
      <c r="S2" s="503">
        <v>30</v>
      </c>
      <c r="T2" s="503">
        <f>S2*R2</f>
        <v>3</v>
      </c>
      <c r="U2" s="503">
        <f>T2</f>
        <v>3</v>
      </c>
      <c r="V2">
        <v>3</v>
      </c>
    </row>
    <row r="3" spans="2:22" ht="18">
      <c r="B3" s="213" t="s">
        <v>20</v>
      </c>
      <c r="F3" s="213"/>
      <c r="L3" s="213" t="s">
        <v>477</v>
      </c>
      <c r="R3" s="503">
        <v>0.25</v>
      </c>
      <c r="S3" s="503">
        <v>30</v>
      </c>
      <c r="T3" s="503">
        <f>S3*R3</f>
        <v>7.5</v>
      </c>
      <c r="U3" s="503">
        <f>T3+T2</f>
        <v>10.5</v>
      </c>
      <c r="V3">
        <v>8</v>
      </c>
    </row>
    <row r="4" spans="2:22" ht="18">
      <c r="B4" s="213" t="s">
        <v>4</v>
      </c>
      <c r="F4" s="213"/>
      <c r="O4" s="504"/>
      <c r="R4" s="503">
        <v>0.3</v>
      </c>
      <c r="S4" s="503">
        <v>30</v>
      </c>
      <c r="T4" s="503">
        <f>S4*R4</f>
        <v>9</v>
      </c>
      <c r="U4" s="503">
        <f>U3+T4</f>
        <v>19.5</v>
      </c>
      <c r="V4">
        <v>9</v>
      </c>
    </row>
    <row r="5" spans="18:22" ht="15.75">
      <c r="R5" s="503">
        <v>0.25</v>
      </c>
      <c r="S5" s="503">
        <v>30</v>
      </c>
      <c r="T5" s="503">
        <f>S5*R5</f>
        <v>7.5</v>
      </c>
      <c r="U5" s="503">
        <f>U4+T5</f>
        <v>27</v>
      </c>
      <c r="V5">
        <v>7</v>
      </c>
    </row>
    <row r="6" spans="8:22" ht="20.25">
      <c r="H6" s="228" t="s">
        <v>525</v>
      </c>
      <c r="R6" s="503">
        <v>0.1</v>
      </c>
      <c r="S6" s="503">
        <v>30</v>
      </c>
      <c r="T6" s="503">
        <f>S6*R6</f>
        <v>3</v>
      </c>
      <c r="U6" s="503">
        <f>U5+T6</f>
        <v>30</v>
      </c>
      <c r="V6">
        <v>3</v>
      </c>
    </row>
    <row r="7" spans="8:22" ht="20.25">
      <c r="H7" s="228" t="s">
        <v>524</v>
      </c>
      <c r="V7">
        <f>V6+V5+V4+V3+V2</f>
        <v>30</v>
      </c>
    </row>
    <row r="8" ht="16.5" thickBot="1">
      <c r="M8" s="505"/>
    </row>
    <row r="9" spans="2:15" ht="48" thickBot="1">
      <c r="B9" s="506" t="s">
        <v>423</v>
      </c>
      <c r="C9" s="507" t="s">
        <v>424</v>
      </c>
      <c r="D9" s="507" t="s">
        <v>144</v>
      </c>
      <c r="E9" s="507" t="s">
        <v>425</v>
      </c>
      <c r="F9" s="508"/>
      <c r="G9" s="509" t="s">
        <v>114</v>
      </c>
      <c r="H9" s="509" t="s">
        <v>113</v>
      </c>
      <c r="I9" s="509" t="s">
        <v>426</v>
      </c>
      <c r="J9" s="509" t="s">
        <v>427</v>
      </c>
      <c r="K9" s="510" t="s">
        <v>428</v>
      </c>
      <c r="L9" s="511" t="s">
        <v>429</v>
      </c>
      <c r="M9" s="511" t="s">
        <v>430</v>
      </c>
      <c r="N9" s="511" t="s">
        <v>431</v>
      </c>
      <c r="O9" s="512" t="s">
        <v>432</v>
      </c>
    </row>
    <row r="10" spans="1:21" s="513" customFormat="1" ht="18">
      <c r="A10" s="513" t="s">
        <v>112</v>
      </c>
      <c r="B10" s="832">
        <v>0.1</v>
      </c>
      <c r="C10" s="514">
        <v>1</v>
      </c>
      <c r="D10" s="515"/>
      <c r="E10" s="516"/>
      <c r="F10" s="516"/>
      <c r="G10" s="517"/>
      <c r="H10" s="517"/>
      <c r="I10" s="517"/>
      <c r="J10" s="517"/>
      <c r="K10" s="518">
        <f aca="true" t="shared" si="0" ref="K10:K26">(J10+I10+H10+G10)/4</f>
        <v>0</v>
      </c>
      <c r="L10" s="519"/>
      <c r="M10" s="519"/>
      <c r="N10" s="519"/>
      <c r="O10" s="520">
        <f aca="true" t="shared" si="1" ref="O10:O26">K10*(1-0.04*((L10+M10)/2+(N10/4)))</f>
        <v>0</v>
      </c>
      <c r="Q10" s="521" t="s">
        <v>303</v>
      </c>
      <c r="R10" s="522" t="s">
        <v>434</v>
      </c>
      <c r="U10" s="513">
        <f>13+17</f>
        <v>30</v>
      </c>
    </row>
    <row r="11" spans="2:18" s="513" customFormat="1" ht="18">
      <c r="B11" s="833"/>
      <c r="C11" s="523">
        <f>C10+1</f>
        <v>2</v>
      </c>
      <c r="D11" s="524"/>
      <c r="E11" s="525"/>
      <c r="F11" s="525"/>
      <c r="G11" s="526"/>
      <c r="H11" s="526"/>
      <c r="I11" s="526"/>
      <c r="J11" s="526"/>
      <c r="K11" s="527">
        <f t="shared" si="0"/>
        <v>0</v>
      </c>
      <c r="L11" s="528"/>
      <c r="M11" s="528"/>
      <c r="N11" s="528"/>
      <c r="O11" s="529">
        <f t="shared" si="1"/>
        <v>0</v>
      </c>
      <c r="Q11" s="521" t="s">
        <v>303</v>
      </c>
      <c r="R11" s="522" t="s">
        <v>435</v>
      </c>
    </row>
    <row r="12" spans="2:18" s="513" customFormat="1" ht="18">
      <c r="B12" s="834">
        <v>0.25</v>
      </c>
      <c r="C12" s="523">
        <f aca="true" t="shared" si="2" ref="C12:C26">C11+1</f>
        <v>3</v>
      </c>
      <c r="D12" s="530"/>
      <c r="E12" s="531"/>
      <c r="F12" s="532"/>
      <c r="G12" s="533"/>
      <c r="H12" s="534"/>
      <c r="I12" s="534"/>
      <c r="J12" s="534"/>
      <c r="K12" s="527">
        <f t="shared" si="0"/>
        <v>0</v>
      </c>
      <c r="L12" s="528"/>
      <c r="M12" s="528"/>
      <c r="N12" s="528"/>
      <c r="O12" s="529">
        <f t="shared" si="1"/>
        <v>0</v>
      </c>
      <c r="Q12" s="521" t="s">
        <v>311</v>
      </c>
      <c r="R12" s="522" t="s">
        <v>436</v>
      </c>
    </row>
    <row r="13" spans="2:18" s="513" customFormat="1" ht="18">
      <c r="B13" s="835"/>
      <c r="C13" s="523">
        <f t="shared" si="2"/>
        <v>4</v>
      </c>
      <c r="D13" s="530"/>
      <c r="E13" s="531"/>
      <c r="F13" s="535"/>
      <c r="G13" s="534"/>
      <c r="H13" s="534"/>
      <c r="I13" s="533"/>
      <c r="J13" s="534"/>
      <c r="K13" s="527">
        <f t="shared" si="0"/>
        <v>0</v>
      </c>
      <c r="L13" s="528"/>
      <c r="M13" s="528"/>
      <c r="N13" s="528"/>
      <c r="O13" s="529">
        <f t="shared" si="1"/>
        <v>0</v>
      </c>
      <c r="Q13" s="536" t="s">
        <v>311</v>
      </c>
      <c r="R13" s="522" t="s">
        <v>437</v>
      </c>
    </row>
    <row r="14" spans="2:18" s="513" customFormat="1" ht="18">
      <c r="B14" s="835"/>
      <c r="C14" s="523">
        <f t="shared" si="2"/>
        <v>5</v>
      </c>
      <c r="D14" s="530"/>
      <c r="E14" s="531"/>
      <c r="F14" s="532"/>
      <c r="G14" s="533"/>
      <c r="H14" s="534"/>
      <c r="I14" s="533"/>
      <c r="J14" s="534"/>
      <c r="K14" s="527">
        <f t="shared" si="0"/>
        <v>0</v>
      </c>
      <c r="L14" s="528"/>
      <c r="M14" s="528"/>
      <c r="N14" s="528"/>
      <c r="O14" s="529">
        <f t="shared" si="1"/>
        <v>0</v>
      </c>
      <c r="Q14" s="521" t="s">
        <v>311</v>
      </c>
      <c r="R14" s="522" t="s">
        <v>438</v>
      </c>
    </row>
    <row r="15" spans="2:18" s="513" customFormat="1" ht="18">
      <c r="B15" s="835"/>
      <c r="C15" s="523">
        <f t="shared" si="2"/>
        <v>6</v>
      </c>
      <c r="D15" s="530"/>
      <c r="E15" s="531"/>
      <c r="F15" s="532"/>
      <c r="G15" s="533"/>
      <c r="H15" s="534"/>
      <c r="I15" s="534"/>
      <c r="J15" s="534"/>
      <c r="K15" s="527">
        <f t="shared" si="0"/>
        <v>0</v>
      </c>
      <c r="L15" s="528"/>
      <c r="M15" s="528"/>
      <c r="N15" s="528"/>
      <c r="O15" s="529">
        <f t="shared" si="1"/>
        <v>0</v>
      </c>
      <c r="Q15" s="536" t="s">
        <v>311</v>
      </c>
      <c r="R15" s="522" t="s">
        <v>439</v>
      </c>
    </row>
    <row r="16" spans="2:18" s="513" customFormat="1" ht="21">
      <c r="B16" s="836">
        <v>0.3</v>
      </c>
      <c r="C16" s="523">
        <f t="shared" si="2"/>
        <v>7</v>
      </c>
      <c r="D16" s="530"/>
      <c r="E16" s="531"/>
      <c r="F16" s="537"/>
      <c r="G16" s="533"/>
      <c r="H16" s="534"/>
      <c r="I16" s="534"/>
      <c r="J16" s="534"/>
      <c r="K16" s="527">
        <f t="shared" si="0"/>
        <v>0</v>
      </c>
      <c r="L16" s="528"/>
      <c r="M16" s="528"/>
      <c r="N16" s="528"/>
      <c r="O16" s="529">
        <f t="shared" si="1"/>
        <v>0</v>
      </c>
      <c r="Q16" s="536" t="s">
        <v>318</v>
      </c>
      <c r="R16" s="522" t="s">
        <v>440</v>
      </c>
    </row>
    <row r="17" spans="2:18" s="513" customFormat="1" ht="18.75">
      <c r="B17" s="836"/>
      <c r="C17" s="523">
        <f t="shared" si="2"/>
        <v>8</v>
      </c>
      <c r="D17" s="530"/>
      <c r="E17" s="531"/>
      <c r="F17" s="538"/>
      <c r="G17" s="533"/>
      <c r="H17" s="534"/>
      <c r="I17" s="533"/>
      <c r="J17" s="534"/>
      <c r="K17" s="527">
        <f t="shared" si="0"/>
        <v>0</v>
      </c>
      <c r="L17" s="528"/>
      <c r="M17" s="528"/>
      <c r="N17" s="528"/>
      <c r="O17" s="529">
        <f t="shared" si="1"/>
        <v>0</v>
      </c>
      <c r="Q17" s="536" t="s">
        <v>318</v>
      </c>
      <c r="R17" s="522" t="s">
        <v>441</v>
      </c>
    </row>
    <row r="18" spans="2:18" s="513" customFormat="1" ht="21">
      <c r="B18" s="836"/>
      <c r="C18" s="523">
        <f t="shared" si="2"/>
        <v>9</v>
      </c>
      <c r="D18" s="530"/>
      <c r="E18" s="531"/>
      <c r="F18" s="537"/>
      <c r="G18" s="533"/>
      <c r="H18" s="534"/>
      <c r="I18" s="534"/>
      <c r="J18" s="534"/>
      <c r="K18" s="527">
        <f t="shared" si="0"/>
        <v>0</v>
      </c>
      <c r="L18" s="528"/>
      <c r="M18" s="528"/>
      <c r="N18" s="528"/>
      <c r="O18" s="529">
        <f t="shared" si="1"/>
        <v>0</v>
      </c>
      <c r="Q18" s="536" t="s">
        <v>318</v>
      </c>
      <c r="R18" s="522" t="s">
        <v>442</v>
      </c>
    </row>
    <row r="19" spans="2:18" s="513" customFormat="1" ht="18">
      <c r="B19" s="836"/>
      <c r="C19" s="523">
        <f t="shared" si="2"/>
        <v>10</v>
      </c>
      <c r="D19" s="530"/>
      <c r="E19" s="531"/>
      <c r="F19" s="539"/>
      <c r="G19" s="533"/>
      <c r="H19" s="534"/>
      <c r="I19" s="534"/>
      <c r="J19" s="534"/>
      <c r="K19" s="527">
        <f t="shared" si="0"/>
        <v>0</v>
      </c>
      <c r="L19" s="528"/>
      <c r="M19" s="528"/>
      <c r="N19" s="528"/>
      <c r="O19" s="529">
        <f t="shared" si="1"/>
        <v>0</v>
      </c>
      <c r="Q19" s="536" t="s">
        <v>318</v>
      </c>
      <c r="R19" s="522" t="s">
        <v>443</v>
      </c>
    </row>
    <row r="20" spans="2:19" s="513" customFormat="1" ht="18">
      <c r="B20" s="837"/>
      <c r="C20" s="523">
        <f t="shared" si="2"/>
        <v>11</v>
      </c>
      <c r="D20" s="530"/>
      <c r="E20" s="531"/>
      <c r="F20" s="532"/>
      <c r="G20" s="533"/>
      <c r="H20" s="534"/>
      <c r="I20" s="534"/>
      <c r="J20" s="534"/>
      <c r="K20" s="527">
        <f t="shared" si="0"/>
        <v>0</v>
      </c>
      <c r="L20" s="528"/>
      <c r="M20" s="528"/>
      <c r="N20" s="528"/>
      <c r="O20" s="529">
        <f t="shared" si="1"/>
        <v>0</v>
      </c>
      <c r="P20"/>
      <c r="Q20" s="536" t="s">
        <v>318</v>
      </c>
      <c r="R20" s="540" t="s">
        <v>444</v>
      </c>
      <c r="S20" s="1"/>
    </row>
    <row r="21" spans="1:19" s="513" customFormat="1" ht="18">
      <c r="A21" s="541" t="s">
        <v>112</v>
      </c>
      <c r="B21" s="834">
        <v>0.25</v>
      </c>
      <c r="C21" s="523">
        <f t="shared" si="2"/>
        <v>12</v>
      </c>
      <c r="D21" s="524"/>
      <c r="E21" s="525"/>
      <c r="F21" s="525"/>
      <c r="G21" s="526"/>
      <c r="H21" s="526"/>
      <c r="I21" s="526"/>
      <c r="J21" s="526"/>
      <c r="K21" s="527">
        <f t="shared" si="0"/>
        <v>0</v>
      </c>
      <c r="L21" s="528"/>
      <c r="M21" s="528"/>
      <c r="N21" s="528"/>
      <c r="O21" s="529">
        <f t="shared" si="1"/>
        <v>0</v>
      </c>
      <c r="Q21" s="536" t="s">
        <v>324</v>
      </c>
      <c r="R21" s="540" t="s">
        <v>445</v>
      </c>
      <c r="S21" s="1"/>
    </row>
    <row r="22" spans="2:19" s="542" customFormat="1" ht="18">
      <c r="B22" s="835"/>
      <c r="C22" s="523">
        <f t="shared" si="2"/>
        <v>13</v>
      </c>
      <c r="D22" s="543"/>
      <c r="E22" s="544"/>
      <c r="F22" s="544"/>
      <c r="G22" s="545"/>
      <c r="H22" s="545"/>
      <c r="I22" s="545"/>
      <c r="J22" s="545"/>
      <c r="K22" s="527">
        <f t="shared" si="0"/>
        <v>0</v>
      </c>
      <c r="L22" s="528"/>
      <c r="M22" s="528"/>
      <c r="N22" s="528"/>
      <c r="O22" s="529">
        <f t="shared" si="1"/>
        <v>0</v>
      </c>
      <c r="Q22" s="536" t="s">
        <v>324</v>
      </c>
      <c r="R22" s="540" t="s">
        <v>446</v>
      </c>
      <c r="S22" s="1"/>
    </row>
    <row r="23" spans="2:19" s="542" customFormat="1" ht="18">
      <c r="B23" s="835"/>
      <c r="C23" s="523">
        <f t="shared" si="2"/>
        <v>14</v>
      </c>
      <c r="D23" s="530"/>
      <c r="E23" s="531"/>
      <c r="F23" s="532"/>
      <c r="G23" s="533"/>
      <c r="H23" s="534"/>
      <c r="I23" s="533"/>
      <c r="J23" s="534"/>
      <c r="K23" s="527">
        <f t="shared" si="0"/>
        <v>0</v>
      </c>
      <c r="L23" s="528"/>
      <c r="M23" s="528"/>
      <c r="N23" s="528"/>
      <c r="O23" s="529">
        <f t="shared" si="1"/>
        <v>0</v>
      </c>
      <c r="Q23" s="536" t="s">
        <v>324</v>
      </c>
      <c r="R23" s="540" t="s">
        <v>447</v>
      </c>
      <c r="S23" s="1"/>
    </row>
    <row r="24" spans="2:19" s="542" customFormat="1" ht="18">
      <c r="B24" s="838"/>
      <c r="C24" s="523">
        <f t="shared" si="2"/>
        <v>15</v>
      </c>
      <c r="D24" s="543"/>
      <c r="E24" s="544"/>
      <c r="F24" s="544"/>
      <c r="G24" s="545"/>
      <c r="H24" s="545"/>
      <c r="I24" s="545"/>
      <c r="J24" s="545"/>
      <c r="K24" s="527">
        <f t="shared" si="0"/>
        <v>0</v>
      </c>
      <c r="L24" s="528"/>
      <c r="M24" s="528"/>
      <c r="N24" s="528"/>
      <c r="O24" s="529">
        <f t="shared" si="1"/>
        <v>0</v>
      </c>
      <c r="Q24" s="536" t="s">
        <v>324</v>
      </c>
      <c r="R24" s="540" t="s">
        <v>449</v>
      </c>
      <c r="S24" s="1"/>
    </row>
    <row r="25" spans="2:19" s="542" customFormat="1" ht="21">
      <c r="B25" s="839">
        <v>0.1</v>
      </c>
      <c r="C25" s="523">
        <f t="shared" si="2"/>
        <v>16</v>
      </c>
      <c r="D25" s="530"/>
      <c r="E25" s="531"/>
      <c r="F25" s="537"/>
      <c r="G25" s="533"/>
      <c r="H25" s="534"/>
      <c r="I25" s="534"/>
      <c r="J25" s="534"/>
      <c r="K25" s="527">
        <f t="shared" si="0"/>
        <v>0</v>
      </c>
      <c r="L25" s="528"/>
      <c r="M25" s="528"/>
      <c r="N25" s="528"/>
      <c r="O25" s="529">
        <f t="shared" si="1"/>
        <v>0</v>
      </c>
      <c r="Q25" s="536" t="s">
        <v>328</v>
      </c>
      <c r="R25" s="540" t="s">
        <v>450</v>
      </c>
      <c r="S25" s="1"/>
    </row>
    <row r="26" spans="2:19" ht="18.75" thickBot="1">
      <c r="B26" s="840"/>
      <c r="C26" s="546">
        <f t="shared" si="2"/>
        <v>17</v>
      </c>
      <c r="D26" s="547"/>
      <c r="E26" s="548"/>
      <c r="F26" s="548"/>
      <c r="G26" s="549"/>
      <c r="H26" s="549"/>
      <c r="I26" s="549"/>
      <c r="J26" s="549"/>
      <c r="K26" s="550">
        <f t="shared" si="0"/>
        <v>0</v>
      </c>
      <c r="L26" s="551"/>
      <c r="M26" s="551"/>
      <c r="N26" s="551"/>
      <c r="O26" s="552">
        <f t="shared" si="1"/>
        <v>0</v>
      </c>
      <c r="Q26" s="536" t="s">
        <v>328</v>
      </c>
      <c r="R26" s="540" t="s">
        <v>451</v>
      </c>
      <c r="S26" s="1"/>
    </row>
    <row r="30" spans="3:18" ht="18">
      <c r="C30" s="553"/>
      <c r="D30" s="841">
        <f ca="1">TODAY()</f>
        <v>43188</v>
      </c>
      <c r="E30" s="841"/>
      <c r="N30" s="554" t="s">
        <v>29</v>
      </c>
      <c r="Q30" s="555"/>
      <c r="R30" s="555"/>
    </row>
    <row r="31" spans="3:18" ht="15.75">
      <c r="C31" s="556"/>
      <c r="D31" s="557"/>
      <c r="Q31" s="555"/>
      <c r="R31" s="555"/>
    </row>
    <row r="32" spans="2:15" ht="18">
      <c r="B32" s="558"/>
      <c r="C32" s="523">
        <f>C21+1</f>
        <v>13</v>
      </c>
      <c r="D32" s="543" t="s">
        <v>452</v>
      </c>
      <c r="E32" s="544" t="s">
        <v>453</v>
      </c>
      <c r="F32" s="544" t="s">
        <v>448</v>
      </c>
      <c r="G32" s="545">
        <v>11.055499999999999</v>
      </c>
      <c r="H32" s="545">
        <v>8.583333333333334</v>
      </c>
      <c r="I32" s="545">
        <v>9.625</v>
      </c>
      <c r="J32" s="545">
        <v>16</v>
      </c>
      <c r="K32" s="527">
        <f>(J32+I32+H32+G32)/4</f>
        <v>11.315958333333334</v>
      </c>
      <c r="L32" s="528"/>
      <c r="M32" s="528"/>
      <c r="N32" s="528"/>
      <c r="O32" s="529">
        <f>K32*(1-0.04*((L32+M32)/2+(N32/4)))</f>
        <v>11.315958333333334</v>
      </c>
    </row>
    <row r="33" spans="2:18" ht="18">
      <c r="B33" s="558"/>
      <c r="C33" s="523">
        <f>C32+1</f>
        <v>14</v>
      </c>
      <c r="D33" s="530" t="s">
        <v>454</v>
      </c>
      <c r="E33" s="544" t="s">
        <v>204</v>
      </c>
      <c r="F33" s="544" t="s">
        <v>448</v>
      </c>
      <c r="G33" s="545">
        <v>10.822166666666666</v>
      </c>
      <c r="H33" s="545">
        <v>6.6</v>
      </c>
      <c r="I33" s="545">
        <v>11.358333333333333</v>
      </c>
      <c r="J33" s="545">
        <v>14.5</v>
      </c>
      <c r="K33" s="527">
        <f>(J33+I33+H33+G33)/4</f>
        <v>10.820125</v>
      </c>
      <c r="L33" s="528"/>
      <c r="M33" s="528">
        <v>1</v>
      </c>
      <c r="N33" s="528"/>
      <c r="O33" s="529">
        <f>K33*(1-0.04*((L33+M33)/2+(N33/4)))</f>
        <v>10.6037225</v>
      </c>
      <c r="Q33" s="555"/>
      <c r="R33" s="555"/>
    </row>
    <row r="34" spans="2:18" ht="21.75" thickBot="1">
      <c r="B34" s="558"/>
      <c r="C34" s="523">
        <f>C33+1</f>
        <v>15</v>
      </c>
      <c r="D34" s="559" t="s">
        <v>455</v>
      </c>
      <c r="E34" s="560" t="s">
        <v>456</v>
      </c>
      <c r="F34" s="561" t="s">
        <v>433</v>
      </c>
      <c r="G34" s="562">
        <v>10.663833333333333</v>
      </c>
      <c r="H34" s="563">
        <v>9.216666666666667</v>
      </c>
      <c r="I34" s="563">
        <v>10.629166666666666</v>
      </c>
      <c r="J34" s="563">
        <v>0</v>
      </c>
      <c r="K34" s="550">
        <f>(J34+I34+H34+G34)/4</f>
        <v>7.627416666666666</v>
      </c>
      <c r="L34" s="551"/>
      <c r="M34" s="551">
        <v>1</v>
      </c>
      <c r="N34" s="551"/>
      <c r="O34" s="552">
        <f>K34*(1-0.04*((L34+M34)/2+(N34/4)))</f>
        <v>7.474868333333332</v>
      </c>
      <c r="Q34" s="555"/>
      <c r="R34" s="555"/>
    </row>
    <row r="35" spans="3:18" ht="15.75">
      <c r="C35" s="556"/>
      <c r="D35" s="557"/>
      <c r="Q35" s="555"/>
      <c r="R35" s="555"/>
    </row>
    <row r="36" spans="3:18" ht="18">
      <c r="C36" s="553"/>
      <c r="D36" s="557"/>
      <c r="E36" s="557"/>
      <c r="F36" s="564"/>
      <c r="G36" s="565"/>
      <c r="H36" s="566"/>
      <c r="I36" s="565"/>
      <c r="J36" s="566"/>
      <c r="K36" s="567"/>
      <c r="L36" s="568"/>
      <c r="M36" s="568"/>
      <c r="N36" s="568"/>
      <c r="O36" s="567"/>
      <c r="P36" s="555"/>
      <c r="Q36" s="555"/>
      <c r="R36" s="555"/>
    </row>
    <row r="37" spans="3:18" ht="25.5">
      <c r="C37" s="556"/>
      <c r="D37" s="557"/>
      <c r="E37" s="557"/>
      <c r="F37" s="569"/>
      <c r="G37" s="565"/>
      <c r="H37" s="566"/>
      <c r="I37" s="566"/>
      <c r="J37" s="566"/>
      <c r="K37" s="567"/>
      <c r="L37" s="568"/>
      <c r="M37" s="568"/>
      <c r="N37" s="568"/>
      <c r="O37" s="567"/>
      <c r="P37" s="570">
        <f>MAX(P24:P35)</f>
        <v>0</v>
      </c>
      <c r="Q37" s="555"/>
      <c r="R37" s="555"/>
    </row>
    <row r="38" spans="3:18" ht="15.75">
      <c r="C38" s="553"/>
      <c r="D38" s="555"/>
      <c r="E38" s="555"/>
      <c r="F38" s="555"/>
      <c r="G38" s="555"/>
      <c r="H38" s="555"/>
      <c r="I38" s="555"/>
      <c r="J38" s="555"/>
      <c r="K38" s="555"/>
      <c r="L38" s="555"/>
      <c r="M38" s="555"/>
      <c r="N38" s="555"/>
      <c r="O38" s="555"/>
      <c r="P38" s="555"/>
      <c r="Q38" s="555"/>
      <c r="R38" s="555"/>
    </row>
    <row r="39" spans="3:18" ht="18">
      <c r="C39" s="556"/>
      <c r="D39" s="555"/>
      <c r="E39" s="555"/>
      <c r="F39" s="555"/>
      <c r="G39" s="555"/>
      <c r="H39" s="555"/>
      <c r="I39" s="555"/>
      <c r="J39" s="555"/>
      <c r="K39" s="555"/>
      <c r="L39" s="555"/>
      <c r="M39" s="555"/>
      <c r="N39" s="555"/>
      <c r="O39" s="566"/>
      <c r="P39" s="555"/>
      <c r="Q39" s="555"/>
      <c r="R39" s="555"/>
    </row>
    <row r="40" spans="3:18" ht="15.75">
      <c r="C40" s="553"/>
      <c r="D40" s="555"/>
      <c r="E40" s="555"/>
      <c r="F40" s="555"/>
      <c r="G40" s="555"/>
      <c r="H40" s="555"/>
      <c r="I40" s="555"/>
      <c r="J40" s="555"/>
      <c r="K40" s="555"/>
      <c r="L40" s="555"/>
      <c r="M40" s="555"/>
      <c r="N40" s="555"/>
      <c r="O40" s="555"/>
      <c r="P40" s="555"/>
      <c r="Q40" s="555"/>
      <c r="R40" s="555"/>
    </row>
    <row r="41" spans="3:18" ht="15.75">
      <c r="C41" s="556"/>
      <c r="D41" s="555"/>
      <c r="E41" s="555"/>
      <c r="F41" s="555"/>
      <c r="G41" s="555"/>
      <c r="H41" s="555"/>
      <c r="I41" s="555"/>
      <c r="J41" s="555"/>
      <c r="K41" s="555"/>
      <c r="L41" s="555"/>
      <c r="M41" s="555"/>
      <c r="N41" s="555"/>
      <c r="O41" s="555"/>
      <c r="P41" s="555"/>
      <c r="Q41" s="555"/>
      <c r="R41" s="555"/>
    </row>
    <row r="42" spans="3:15" ht="15.75">
      <c r="C42" s="556"/>
      <c r="D42" s="571"/>
      <c r="E42" s="572"/>
      <c r="F42" s="573"/>
      <c r="G42" s="574"/>
      <c r="H42" s="574"/>
      <c r="I42" s="574"/>
      <c r="J42" s="574"/>
      <c r="K42" s="575"/>
      <c r="L42" s="574"/>
      <c r="M42" s="574"/>
      <c r="N42" s="574"/>
      <c r="O42" s="576"/>
    </row>
    <row r="43" spans="3:15" ht="15.75">
      <c r="C43" s="555"/>
      <c r="D43" s="555"/>
      <c r="E43" s="555"/>
      <c r="F43" s="555"/>
      <c r="G43" s="555"/>
      <c r="H43" s="555"/>
      <c r="I43" s="555"/>
      <c r="J43" s="555"/>
      <c r="K43" s="555"/>
      <c r="L43" s="555"/>
      <c r="M43" s="555"/>
      <c r="N43" s="555"/>
      <c r="O43" s="577"/>
    </row>
    <row r="44" spans="3:15" ht="15.75">
      <c r="C44" s="555"/>
      <c r="D44" s="555"/>
      <c r="E44" s="555"/>
      <c r="F44" s="555"/>
      <c r="G44" s="555"/>
      <c r="H44" s="555"/>
      <c r="I44" s="555"/>
      <c r="J44" s="555"/>
      <c r="K44" s="555"/>
      <c r="L44" s="555"/>
      <c r="M44" s="555"/>
      <c r="N44" s="555"/>
      <c r="O44" s="577"/>
    </row>
    <row r="45" spans="3:15" ht="15.75">
      <c r="C45" s="555"/>
      <c r="D45" s="555"/>
      <c r="E45" s="555"/>
      <c r="F45" s="555"/>
      <c r="G45" s="555"/>
      <c r="H45" s="555"/>
      <c r="I45" s="555"/>
      <c r="J45" s="555"/>
      <c r="K45" s="555"/>
      <c r="L45" s="555"/>
      <c r="M45" s="555"/>
      <c r="N45" s="555"/>
      <c r="O45" s="577"/>
    </row>
    <row r="46" ht="15.75">
      <c r="O46" s="578"/>
    </row>
    <row r="47" ht="15.75">
      <c r="O47" s="578"/>
    </row>
    <row r="48" ht="15.75">
      <c r="O48" s="578"/>
    </row>
    <row r="49" ht="15.75">
      <c r="O49" s="578"/>
    </row>
    <row r="50" ht="15.75">
      <c r="O50" s="578"/>
    </row>
    <row r="51" ht="15.75">
      <c r="O51" s="578"/>
    </row>
    <row r="52" ht="15.75">
      <c r="O52" s="578"/>
    </row>
    <row r="53" ht="15.75">
      <c r="O53" s="578"/>
    </row>
  </sheetData>
  <sheetProtection/>
  <mergeCells count="6">
    <mergeCell ref="B10:B11"/>
    <mergeCell ref="B12:B15"/>
    <mergeCell ref="B16:B20"/>
    <mergeCell ref="B21:B24"/>
    <mergeCell ref="B25:B26"/>
    <mergeCell ref="D30:E3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45"/>
  <sheetViews>
    <sheetView rightToLeft="1" view="pageBreakPreview" zoomScale="118" zoomScaleSheetLayoutView="118" zoomScalePageLayoutView="0" workbookViewId="0" topLeftCell="A11">
      <selection activeCell="D11" sqref="D11"/>
    </sheetView>
  </sheetViews>
  <sheetFormatPr defaultColWidth="11.421875" defaultRowHeight="12.75"/>
  <cols>
    <col min="1" max="1" width="14.421875" style="0" customWidth="1"/>
    <col min="2" max="2" width="14.57421875" style="0" customWidth="1"/>
    <col min="3" max="3" width="13.7109375" style="0" customWidth="1"/>
    <col min="4" max="4" width="9.140625" style="0" customWidth="1"/>
    <col min="5" max="5" width="14.00390625" style="0" customWidth="1"/>
    <col min="6" max="6" width="9.421875" style="0" customWidth="1"/>
    <col min="7" max="7" width="14.00390625" style="0" customWidth="1"/>
  </cols>
  <sheetData>
    <row r="1" spans="1:3" ht="18">
      <c r="A1" s="211" t="s">
        <v>45</v>
      </c>
      <c r="B1" s="212"/>
      <c r="C1" s="212"/>
    </row>
    <row r="2" spans="1:7" ht="18">
      <c r="A2" s="213" t="s">
        <v>46</v>
      </c>
      <c r="B2" s="212"/>
      <c r="C2" s="212"/>
      <c r="D2" s="212"/>
      <c r="E2" s="212"/>
      <c r="F2" s="212"/>
      <c r="G2" s="212"/>
    </row>
    <row r="3" spans="1:7" ht="18">
      <c r="A3" s="213"/>
      <c r="B3" s="212"/>
      <c r="C3" s="212"/>
      <c r="D3" s="212"/>
      <c r="E3" s="212"/>
      <c r="F3" s="212"/>
      <c r="G3" s="212"/>
    </row>
    <row r="4" spans="1:7" ht="18">
      <c r="A4" s="213"/>
      <c r="B4" s="212"/>
      <c r="C4" s="212"/>
      <c r="D4" s="212"/>
      <c r="E4" s="212"/>
      <c r="F4" s="212"/>
      <c r="G4" s="212"/>
    </row>
    <row r="5" spans="3:7" ht="18">
      <c r="C5" s="211" t="s">
        <v>47</v>
      </c>
      <c r="D5" s="211" t="s">
        <v>175</v>
      </c>
      <c r="E5" s="216"/>
      <c r="G5" s="217"/>
    </row>
    <row r="6" spans="3:7" ht="18">
      <c r="C6" s="211" t="s">
        <v>48</v>
      </c>
      <c r="D6" s="211" t="s">
        <v>49</v>
      </c>
      <c r="E6" s="216"/>
      <c r="G6" s="217"/>
    </row>
    <row r="7" spans="3:7" ht="18">
      <c r="C7" s="211" t="s">
        <v>50</v>
      </c>
      <c r="D7" s="211" t="s">
        <v>51</v>
      </c>
      <c r="E7" s="216"/>
      <c r="G7" s="217"/>
    </row>
    <row r="9" spans="2:5" ht="12.75">
      <c r="B9" s="218"/>
      <c r="C9" s="218"/>
      <c r="D9" s="218"/>
      <c r="E9" s="218"/>
    </row>
    <row r="10" ht="33.75">
      <c r="C10" s="344" t="s">
        <v>215</v>
      </c>
    </row>
    <row r="11" spans="2:5" ht="12.75">
      <c r="B11" s="218"/>
      <c r="C11" s="218"/>
      <c r="D11" s="218"/>
      <c r="E11" s="218"/>
    </row>
    <row r="15" spans="1:7" ht="18">
      <c r="A15" s="216" t="s">
        <v>216</v>
      </c>
      <c r="B15" s="345">
        <f>LOOKUP("r",'دورة1 دورة2'!A:A,'دورة1 دورة2'!F:F)</f>
        <v>0</v>
      </c>
      <c r="C15" s="216"/>
      <c r="D15" s="216"/>
      <c r="E15" s="216"/>
      <c r="F15" s="216"/>
      <c r="G15" s="216"/>
    </row>
    <row r="16" spans="1:7" ht="18">
      <c r="A16" s="216"/>
      <c r="B16" s="216"/>
      <c r="C16" s="216"/>
      <c r="D16" s="220"/>
      <c r="E16" s="216"/>
      <c r="F16" s="216"/>
      <c r="G16" s="216"/>
    </row>
    <row r="17" spans="1:7" ht="18">
      <c r="A17" s="216"/>
      <c r="B17" s="216" t="s">
        <v>217</v>
      </c>
      <c r="C17" s="216"/>
      <c r="D17" s="216"/>
      <c r="E17" s="216"/>
      <c r="F17" s="216"/>
      <c r="G17" s="216"/>
    </row>
    <row r="18" spans="1:7" ht="18">
      <c r="A18" s="216"/>
      <c r="B18" s="216"/>
      <c r="C18" s="216"/>
      <c r="D18" s="216"/>
      <c r="E18" s="216"/>
      <c r="F18" s="216"/>
      <c r="G18" s="216"/>
    </row>
    <row r="19" spans="1:7" ht="18">
      <c r="A19" s="216" t="s">
        <v>178</v>
      </c>
      <c r="B19" s="345" t="str">
        <f>LOOKUP("r",'دورة1 دورة2'!A:A,'دورة1 دورة2'!D:D)</f>
        <v>عيدود </v>
      </c>
      <c r="C19" s="345" t="str">
        <f>LOOKUP("r",'دورة1 دورة2'!A:A,'دورة1 دورة2'!E:E)</f>
        <v>صبرينة</v>
      </c>
      <c r="D19" s="216"/>
      <c r="E19" s="216"/>
      <c r="F19" s="216"/>
      <c r="G19" s="216"/>
    </row>
    <row r="20" spans="1:7" ht="18">
      <c r="A20" s="216" t="s">
        <v>218</v>
      </c>
      <c r="B20" s="216"/>
      <c r="C20" s="655">
        <f>LOOKUP("r",'دورة1 دورة2'!A:A,'دورة1 دورة2'!G:G)</f>
        <v>0</v>
      </c>
      <c r="D20" s="225" t="s">
        <v>181</v>
      </c>
      <c r="E20" s="345" t="str">
        <f>LOOKUP("r",'دورة1 دورة2'!A:A,'دورة1 دورة2'!H:H)</f>
        <v>عنابه</v>
      </c>
      <c r="F20" s="225" t="s">
        <v>54</v>
      </c>
      <c r="G20" s="345" t="str">
        <f>LOOKUP("r",'دورة1 دورة2'!A:A,'دورة1 دورة2'!I:I)</f>
        <v>عنابه</v>
      </c>
    </row>
    <row r="21" spans="1:7" ht="18">
      <c r="A21" s="216"/>
      <c r="B21" s="216"/>
      <c r="C21" s="216"/>
      <c r="D21" s="216"/>
      <c r="E21" s="216"/>
      <c r="F21" s="216"/>
      <c r="G21" s="216"/>
    </row>
    <row r="22" spans="1:7" ht="18">
      <c r="A22" s="216"/>
      <c r="B22" s="216"/>
      <c r="C22" s="216"/>
      <c r="D22" s="216"/>
      <c r="E22" s="216"/>
      <c r="F22" s="216"/>
      <c r="G22" s="216"/>
    </row>
    <row r="23" spans="1:7" ht="18">
      <c r="A23" s="216" t="s">
        <v>219</v>
      </c>
      <c r="B23" s="216"/>
      <c r="C23" s="345" t="str">
        <f>LOOKUP("r",classement!A:A,classement!R:R)</f>
        <v>الثاني عشر (12)</v>
      </c>
      <c r="D23" s="213"/>
      <c r="E23" s="216"/>
      <c r="F23" s="216"/>
      <c r="G23" s="216"/>
    </row>
    <row r="24" spans="1:7" ht="18">
      <c r="A24" s="216" t="s">
        <v>220</v>
      </c>
      <c r="B24" s="216"/>
      <c r="C24" s="346">
        <v>30</v>
      </c>
      <c r="D24" s="216" t="s">
        <v>221</v>
      </c>
      <c r="E24" s="216"/>
      <c r="F24" s="216"/>
      <c r="G24" s="216"/>
    </row>
    <row r="25" spans="1:7" ht="18">
      <c r="A25" s="216" t="s">
        <v>222</v>
      </c>
      <c r="B25" s="10" t="s">
        <v>519</v>
      </c>
      <c r="D25" s="213" t="s">
        <v>223</v>
      </c>
      <c r="E25" s="216"/>
      <c r="F25" s="216"/>
      <c r="G25" s="216"/>
    </row>
    <row r="26" spans="1:7" ht="18">
      <c r="A26" s="216" t="s">
        <v>224</v>
      </c>
      <c r="B26" s="345">
        <f>LOOKUP("r",classement!A:A,classement!O:O)</f>
        <v>0</v>
      </c>
      <c r="C26" s="216"/>
      <c r="D26" s="213" t="s">
        <v>225</v>
      </c>
      <c r="E26" s="216"/>
      <c r="F26" s="345" t="str">
        <f>LOOKUP("r",classement!A:A,classement!Q:Q)</f>
        <v>D</v>
      </c>
      <c r="G26" s="216"/>
    </row>
    <row r="27" spans="1:7" ht="18">
      <c r="A27" s="216" t="s">
        <v>226</v>
      </c>
      <c r="B27" s="216"/>
      <c r="C27" s="213"/>
      <c r="D27" s="345">
        <f>LOOKUP("r",classement!A:A,classement!K:K)</f>
        <v>0</v>
      </c>
      <c r="E27" s="216"/>
      <c r="F27" s="216"/>
      <c r="G27" s="216"/>
    </row>
    <row r="28" spans="1:7" ht="18">
      <c r="A28" s="216"/>
      <c r="B28" s="216"/>
      <c r="C28" s="216"/>
      <c r="D28" s="216"/>
      <c r="E28" s="216"/>
      <c r="F28" s="216"/>
      <c r="G28" s="216"/>
    </row>
    <row r="29" ht="15.75">
      <c r="B29" s="348" t="s">
        <v>478</v>
      </c>
    </row>
    <row r="34" spans="1:2" ht="15.75">
      <c r="A34" s="348" t="s">
        <v>227</v>
      </c>
      <c r="B34" s="349">
        <f ca="1">TODAY()</f>
        <v>43188</v>
      </c>
    </row>
    <row r="37" ht="18">
      <c r="E37" s="213" t="s">
        <v>29</v>
      </c>
    </row>
    <row r="44" spans="1:4" ht="15.75">
      <c r="A44" s="350" t="s">
        <v>228</v>
      </c>
      <c r="B44" s="347"/>
      <c r="C44" s="347"/>
      <c r="D44" s="347"/>
    </row>
    <row r="45" spans="1:4" ht="15">
      <c r="A45" s="347" t="s">
        <v>229</v>
      </c>
      <c r="B45" s="347"/>
      <c r="C45" s="347"/>
      <c r="D45" s="347"/>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49"/>
  <sheetViews>
    <sheetView rightToLeft="1" view="pageBreakPreview" zoomScale="91" zoomScaleSheetLayoutView="91" zoomScalePageLayoutView="0" workbookViewId="0" topLeftCell="A1">
      <selection activeCell="A5" sqref="A5"/>
    </sheetView>
  </sheetViews>
  <sheetFormatPr defaultColWidth="11.421875" defaultRowHeight="12.75"/>
  <cols>
    <col min="1" max="1" width="18.57421875" style="1" customWidth="1"/>
    <col min="2" max="2" width="15.57421875" style="1" customWidth="1"/>
    <col min="3" max="3" width="14.140625" style="1" customWidth="1"/>
    <col min="4" max="4" width="3.140625" style="1" customWidth="1"/>
    <col min="5" max="5" width="13.8515625" style="1" customWidth="1"/>
    <col min="6" max="6" width="8.28125" style="1" customWidth="1"/>
    <col min="7" max="7" width="23.57421875" style="1" customWidth="1"/>
    <col min="8" max="8" width="21.140625" style="1" customWidth="1"/>
    <col min="9" max="9" width="13.28125" style="1" customWidth="1"/>
    <col min="10" max="10" width="13.421875" style="1" customWidth="1"/>
    <col min="11" max="11" width="4.421875" style="1" customWidth="1"/>
    <col min="12" max="12" width="14.8515625" style="1" customWidth="1"/>
    <col min="13" max="14" width="11.421875" style="1" customWidth="1"/>
    <col min="15" max="15" width="8.421875" style="1" customWidth="1"/>
    <col min="16" max="16384" width="11.421875" style="1" customWidth="1"/>
  </cols>
  <sheetData>
    <row r="1" spans="1:15" ht="12.75">
      <c r="A1" s="351" t="s">
        <v>230</v>
      </c>
      <c r="B1" s="351"/>
      <c r="C1" s="351"/>
      <c r="D1" s="351"/>
      <c r="E1" s="351"/>
      <c r="F1" s="80"/>
      <c r="G1" s="1" t="s">
        <v>231</v>
      </c>
      <c r="H1" s="351" t="s">
        <v>230</v>
      </c>
      <c r="I1" s="351"/>
      <c r="J1" s="351"/>
      <c r="K1" s="351"/>
      <c r="L1" s="80"/>
      <c r="M1" s="351"/>
      <c r="N1" s="351"/>
      <c r="O1" s="351" t="s">
        <v>231</v>
      </c>
    </row>
    <row r="2" spans="1:15" ht="12.75">
      <c r="A2" s="80" t="s">
        <v>232</v>
      </c>
      <c r="B2" s="351"/>
      <c r="C2" s="351"/>
      <c r="D2" s="351"/>
      <c r="E2" s="351"/>
      <c r="F2" s="80"/>
      <c r="G2" s="1" t="s">
        <v>233</v>
      </c>
      <c r="H2" s="80" t="s">
        <v>232</v>
      </c>
      <c r="I2" s="351"/>
      <c r="J2" s="351"/>
      <c r="K2" s="351"/>
      <c r="L2" s="80"/>
      <c r="M2" s="351"/>
      <c r="N2" s="351"/>
      <c r="O2" s="351" t="s">
        <v>233</v>
      </c>
    </row>
    <row r="3" spans="1:15" ht="13.5" thickBot="1">
      <c r="A3" s="352" t="s">
        <v>234</v>
      </c>
      <c r="B3" s="352"/>
      <c r="C3" s="352"/>
      <c r="D3" s="352"/>
      <c r="E3" s="352"/>
      <c r="F3" s="353"/>
      <c r="G3" s="352" t="s">
        <v>235</v>
      </c>
      <c r="H3" s="352" t="s">
        <v>234</v>
      </c>
      <c r="I3" s="352"/>
      <c r="J3" s="352"/>
      <c r="K3" s="352"/>
      <c r="L3" s="353"/>
      <c r="M3" s="352"/>
      <c r="N3" s="352"/>
      <c r="O3" s="352" t="s">
        <v>235</v>
      </c>
    </row>
    <row r="4" spans="1:15" ht="18.75">
      <c r="A4" s="354" t="s">
        <v>236</v>
      </c>
      <c r="B4" s="10"/>
      <c r="C4" s="10"/>
      <c r="D4" s="10"/>
      <c r="E4" s="10" t="s">
        <v>237</v>
      </c>
      <c r="F4" s="10"/>
      <c r="H4" s="354" t="s">
        <v>236</v>
      </c>
      <c r="I4" s="10"/>
      <c r="J4" s="10"/>
      <c r="K4" s="10" t="s">
        <v>238</v>
      </c>
      <c r="L4" s="10" t="s">
        <v>473</v>
      </c>
      <c r="N4" s="355"/>
      <c r="O4" s="10"/>
    </row>
    <row r="5" spans="1:15" ht="18">
      <c r="A5" s="354" t="s">
        <v>526</v>
      </c>
      <c r="B5" s="10"/>
      <c r="C5" s="10"/>
      <c r="D5" s="10"/>
      <c r="E5" s="196" t="s">
        <v>472</v>
      </c>
      <c r="F5" s="10"/>
      <c r="H5" s="354" t="s">
        <v>526</v>
      </c>
      <c r="I5" s="10"/>
      <c r="J5" s="10"/>
      <c r="K5" s="196" t="s">
        <v>239</v>
      </c>
      <c r="L5" s="10" t="s">
        <v>474</v>
      </c>
      <c r="N5" s="10"/>
      <c r="O5" s="10"/>
    </row>
    <row r="7" spans="1:13" ht="23.25">
      <c r="A7" s="356"/>
      <c r="G7" s="356"/>
      <c r="J7" s="357" t="s">
        <v>238</v>
      </c>
      <c r="K7" s="358"/>
      <c r="L7" s="358"/>
      <c r="M7" s="358"/>
    </row>
    <row r="8" spans="1:10" ht="23.25">
      <c r="A8" s="359"/>
      <c r="C8" s="357" t="s">
        <v>240</v>
      </c>
      <c r="D8" s="360"/>
      <c r="E8" s="358"/>
      <c r="J8" s="360" t="s">
        <v>241</v>
      </c>
    </row>
    <row r="10" spans="1:15" ht="18">
      <c r="A10" s="361" t="s">
        <v>470</v>
      </c>
      <c r="H10" s="10" t="s">
        <v>242</v>
      </c>
      <c r="I10" s="191" t="str">
        <f>LOOKUP("r",'دورة1 دورة2'!A:A,'دورة1 دورة2'!D:D)</f>
        <v>عيدود </v>
      </c>
      <c r="J10" s="10" t="str">
        <f>LOOKUP("r",'دورة1 دورة2'!A:A,'دورة1 دورة2'!E:E)</f>
        <v>صبرينة</v>
      </c>
      <c r="K10" s="4"/>
      <c r="L10" s="4"/>
      <c r="M10" s="191" t="s">
        <v>243</v>
      </c>
      <c r="N10" s="842">
        <f>LOOKUP("r",'دورة1 دورة2'!A:A,'دورة1 دورة2'!F:F)</f>
        <v>0</v>
      </c>
      <c r="O10" s="842"/>
    </row>
    <row r="11" spans="8:14" ht="18">
      <c r="H11" s="354" t="s">
        <v>244</v>
      </c>
      <c r="I11" s="843">
        <f>LOOKUP("r",'دورة1 دورة2'!A:A,'دورة1 دورة2'!G:G)</f>
        <v>0</v>
      </c>
      <c r="J11" s="843"/>
      <c r="K11" s="191" t="s">
        <v>181</v>
      </c>
      <c r="L11" s="10" t="str">
        <f>LOOKUP("r",'دورة1 دورة2'!A:A,'دورة1 دورة2'!H:H)</f>
        <v>عنابه</v>
      </c>
      <c r="M11" s="191" t="s">
        <v>54</v>
      </c>
      <c r="N11" s="10" t="str">
        <f>LOOKUP("r",'دورة1 دورة2'!A:A,'دورة1 دورة2'!I:I)</f>
        <v>عنابه</v>
      </c>
    </row>
    <row r="12" ht="18.75" thickBot="1">
      <c r="A12" s="361" t="s">
        <v>245</v>
      </c>
    </row>
    <row r="13" spans="8:15" ht="19.5" thickBot="1" thickTop="1">
      <c r="H13" s="362" t="s">
        <v>246</v>
      </c>
      <c r="I13" s="363"/>
      <c r="J13" s="363"/>
      <c r="K13" s="363"/>
      <c r="L13" s="363"/>
      <c r="M13" s="363"/>
      <c r="N13" s="364" t="s">
        <v>247</v>
      </c>
      <c r="O13" s="365"/>
    </row>
    <row r="14" spans="1:15" ht="18.75">
      <c r="A14" s="366" t="s">
        <v>462</v>
      </c>
      <c r="H14" s="367" t="s">
        <v>248</v>
      </c>
      <c r="I14" s="368"/>
      <c r="J14" s="368"/>
      <c r="K14" s="368"/>
      <c r="L14" s="368"/>
      <c r="M14" s="368"/>
      <c r="N14" s="369"/>
      <c r="O14" s="370" t="s">
        <v>249</v>
      </c>
    </row>
    <row r="15" spans="1:15" ht="18.75">
      <c r="A15" s="366" t="s">
        <v>463</v>
      </c>
      <c r="H15" s="371" t="s">
        <v>250</v>
      </c>
      <c r="I15" s="139"/>
      <c r="J15" s="139"/>
      <c r="K15" s="368"/>
      <c r="L15" s="368"/>
      <c r="M15" s="368"/>
      <c r="N15" s="369"/>
      <c r="O15" s="372" t="s">
        <v>251</v>
      </c>
    </row>
    <row r="16" spans="1:15" ht="18.75">
      <c r="A16" s="366" t="s">
        <v>464</v>
      </c>
      <c r="H16" s="371" t="s">
        <v>252</v>
      </c>
      <c r="I16" s="139"/>
      <c r="J16" s="139"/>
      <c r="K16" s="368"/>
      <c r="L16" s="368"/>
      <c r="M16" s="368"/>
      <c r="N16" s="369"/>
      <c r="O16" s="372" t="s">
        <v>251</v>
      </c>
    </row>
    <row r="17" spans="1:15" ht="18.75">
      <c r="A17" s="366" t="s">
        <v>465</v>
      </c>
      <c r="H17" s="371" t="s">
        <v>253</v>
      </c>
      <c r="I17" s="139"/>
      <c r="J17" s="139"/>
      <c r="K17" s="368"/>
      <c r="L17" s="368"/>
      <c r="M17" s="368"/>
      <c r="N17" s="369"/>
      <c r="O17" s="372" t="s">
        <v>254</v>
      </c>
    </row>
    <row r="18" spans="8:15" ht="18">
      <c r="H18" s="371" t="s">
        <v>255</v>
      </c>
      <c r="I18" s="139"/>
      <c r="J18" s="139"/>
      <c r="K18" s="368"/>
      <c r="L18" s="368"/>
      <c r="M18" s="368"/>
      <c r="N18" s="369"/>
      <c r="O18" s="372" t="s">
        <v>254</v>
      </c>
    </row>
    <row r="19" spans="1:15" ht="18">
      <c r="A19" s="354" t="s">
        <v>256</v>
      </c>
      <c r="H19" s="373" t="s">
        <v>257</v>
      </c>
      <c r="I19" s="368"/>
      <c r="J19" s="368"/>
      <c r="K19" s="368"/>
      <c r="L19" s="368"/>
      <c r="M19" s="368"/>
      <c r="N19" s="369"/>
      <c r="O19" s="370" t="s">
        <v>258</v>
      </c>
    </row>
    <row r="20" spans="1:15" ht="20.25">
      <c r="A20" s="374" t="s">
        <v>466</v>
      </c>
      <c r="H20" s="371" t="s">
        <v>259</v>
      </c>
      <c r="I20" s="139"/>
      <c r="J20" s="139"/>
      <c r="K20" s="368"/>
      <c r="L20" s="368"/>
      <c r="M20" s="368"/>
      <c r="N20" s="369"/>
      <c r="O20" s="372" t="s">
        <v>254</v>
      </c>
    </row>
    <row r="21" spans="1:15" ht="20.25">
      <c r="A21" s="374" t="s">
        <v>467</v>
      </c>
      <c r="H21" s="371" t="s">
        <v>260</v>
      </c>
      <c r="I21" s="139"/>
      <c r="J21" s="139"/>
      <c r="K21" s="368"/>
      <c r="L21" s="368"/>
      <c r="M21" s="368"/>
      <c r="N21" s="369"/>
      <c r="O21" s="372" t="s">
        <v>254</v>
      </c>
    </row>
    <row r="22" spans="1:15" ht="20.25">
      <c r="A22" s="374" t="s">
        <v>468</v>
      </c>
      <c r="H22" s="371" t="s">
        <v>261</v>
      </c>
      <c r="I22" s="139"/>
      <c r="J22" s="139"/>
      <c r="K22" s="368"/>
      <c r="L22" s="368"/>
      <c r="M22" s="368"/>
      <c r="N22" s="369"/>
      <c r="O22" s="372" t="s">
        <v>254</v>
      </c>
    </row>
    <row r="23" spans="8:15" ht="18.75" thickBot="1">
      <c r="H23" s="371" t="s">
        <v>262</v>
      </c>
      <c r="I23" s="139"/>
      <c r="J23" s="139"/>
      <c r="K23" s="368"/>
      <c r="L23" s="368"/>
      <c r="M23" s="368"/>
      <c r="N23" s="369"/>
      <c r="O23" s="372" t="s">
        <v>254</v>
      </c>
    </row>
    <row r="24" spans="1:15" ht="18.75" thickBot="1">
      <c r="A24" s="10" t="s">
        <v>242</v>
      </c>
      <c r="B24" s="191" t="str">
        <f>LOOKUP("r",'دورة1 دورة2'!A:A,'دورة1 دورة2'!D:D)</f>
        <v>عيدود </v>
      </c>
      <c r="C24" s="196" t="str">
        <f>LOOKUP("r",'دورة1 دورة2'!A:A,'دورة1 دورة2'!E:E)</f>
        <v>صبرينة</v>
      </c>
      <c r="D24" s="4"/>
      <c r="E24" s="4"/>
      <c r="F24" s="191" t="s">
        <v>243</v>
      </c>
      <c r="G24" s="196">
        <f>LOOKUP("r",'دورة1 دورة2'!A:A,'دورة1 دورة2'!F:F)</f>
        <v>0</v>
      </c>
      <c r="H24" s="375"/>
      <c r="I24" s="376" t="s">
        <v>263</v>
      </c>
      <c r="J24" s="377"/>
      <c r="K24" s="377"/>
      <c r="L24" s="377"/>
      <c r="M24" s="377"/>
      <c r="N24" s="378"/>
      <c r="O24" s="379" t="s">
        <v>264</v>
      </c>
    </row>
    <row r="25" spans="1:15" ht="18">
      <c r="A25" s="354" t="s">
        <v>244</v>
      </c>
      <c r="B25" s="843">
        <f>LOOKUP("r",'دورة1 دورة2'!A:A,'دورة1 دورة2'!G:G)</f>
        <v>0</v>
      </c>
      <c r="C25" s="843"/>
      <c r="D25" s="191" t="s">
        <v>181</v>
      </c>
      <c r="E25" s="196" t="str">
        <f>LOOKUP("r",'دورة1 دورة2'!A:A,'دورة1 دورة2'!H:H)</f>
        <v>عنابه</v>
      </c>
      <c r="F25" s="191" t="s">
        <v>54</v>
      </c>
      <c r="G25" s="196" t="str">
        <f>LOOKUP("r",'دورة1 دورة2'!A:A,'دورة1 دورة2'!I:I)</f>
        <v>عنابه</v>
      </c>
      <c r="H25" s="380" t="s">
        <v>265</v>
      </c>
      <c r="I25" s="368"/>
      <c r="J25" s="368"/>
      <c r="K25" s="368"/>
      <c r="L25" s="368"/>
      <c r="M25" s="368"/>
      <c r="N25" s="369"/>
      <c r="O25" s="381"/>
    </row>
    <row r="26" spans="8:15" ht="18">
      <c r="H26" s="371" t="s">
        <v>266</v>
      </c>
      <c r="I26" s="139"/>
      <c r="J26" s="139"/>
      <c r="K26" s="139"/>
      <c r="L26" s="139"/>
      <c r="M26" s="139"/>
      <c r="N26" s="369"/>
      <c r="O26" s="372" t="s">
        <v>251</v>
      </c>
    </row>
    <row r="27" spans="8:15" ht="18">
      <c r="H27" s="371" t="s">
        <v>267</v>
      </c>
      <c r="I27" s="139"/>
      <c r="J27" s="139"/>
      <c r="K27" s="139"/>
      <c r="L27" s="139"/>
      <c r="M27" s="139"/>
      <c r="N27" s="369"/>
      <c r="O27" s="372" t="s">
        <v>251</v>
      </c>
    </row>
    <row r="28" spans="1:15" ht="18.75">
      <c r="A28" s="354" t="s">
        <v>268</v>
      </c>
      <c r="B28" s="4"/>
      <c r="H28" s="371" t="s">
        <v>269</v>
      </c>
      <c r="I28" s="139"/>
      <c r="J28" s="139"/>
      <c r="K28" s="139"/>
      <c r="L28" s="139"/>
      <c r="M28" s="139"/>
      <c r="N28" s="369"/>
      <c r="O28" s="372" t="s">
        <v>251</v>
      </c>
    </row>
    <row r="29" spans="1:15" ht="20.25">
      <c r="A29" s="189"/>
      <c r="H29" s="371" t="s">
        <v>270</v>
      </c>
      <c r="I29" s="139"/>
      <c r="J29" s="139"/>
      <c r="K29" s="139"/>
      <c r="L29" s="139"/>
      <c r="M29" s="139"/>
      <c r="N29" s="369"/>
      <c r="O29" s="372" t="s">
        <v>251</v>
      </c>
    </row>
    <row r="30" spans="1:15" ht="18.75" thickBot="1">
      <c r="A30" s="361" t="s">
        <v>469</v>
      </c>
      <c r="H30" s="371" t="s">
        <v>271</v>
      </c>
      <c r="I30" s="139"/>
      <c r="J30" s="139"/>
      <c r="K30" s="139"/>
      <c r="L30" s="139"/>
      <c r="M30" s="139"/>
      <c r="N30" s="369"/>
      <c r="O30" s="372" t="s">
        <v>251</v>
      </c>
    </row>
    <row r="31" spans="8:15" ht="18.75" thickBot="1">
      <c r="H31" s="375"/>
      <c r="I31" s="376" t="s">
        <v>272</v>
      </c>
      <c r="J31" s="377"/>
      <c r="K31" s="377"/>
      <c r="L31" s="377"/>
      <c r="M31" s="377"/>
      <c r="N31" s="378"/>
      <c r="O31" s="379" t="s">
        <v>273</v>
      </c>
    </row>
    <row r="32" spans="1:15" ht="21" thickBot="1">
      <c r="A32" s="382" t="s">
        <v>274</v>
      </c>
      <c r="B32" s="4"/>
      <c r="C32" s="4"/>
      <c r="D32" s="4"/>
      <c r="E32" s="4"/>
      <c r="F32" s="4"/>
      <c r="G32" s="78"/>
      <c r="H32" s="383"/>
      <c r="I32" s="384" t="s">
        <v>275</v>
      </c>
      <c r="J32" s="385"/>
      <c r="K32" s="385"/>
      <c r="L32" s="385"/>
      <c r="M32" s="385"/>
      <c r="N32" s="386"/>
      <c r="O32" s="387" t="s">
        <v>276</v>
      </c>
    </row>
    <row r="33" spans="8:15" ht="15" thickTop="1">
      <c r="H33" s="388"/>
      <c r="I33" s="351"/>
      <c r="J33" s="351"/>
      <c r="K33" s="351"/>
      <c r="L33" s="351"/>
      <c r="M33" s="351"/>
      <c r="N33" s="351"/>
      <c r="O33" s="351"/>
    </row>
    <row r="34" spans="8:15" ht="18">
      <c r="H34" s="389" t="s">
        <v>471</v>
      </c>
      <c r="I34" s="351"/>
      <c r="J34" s="351"/>
      <c r="K34" s="351"/>
      <c r="L34" s="351"/>
      <c r="M34" s="351"/>
      <c r="N34" s="351"/>
      <c r="O34" s="351"/>
    </row>
    <row r="35" spans="8:15" ht="12.75">
      <c r="H35" s="351"/>
      <c r="I35" s="351"/>
      <c r="J35" s="351"/>
      <c r="K35" s="351"/>
      <c r="L35" s="351"/>
      <c r="M35" s="351"/>
      <c r="N35" s="351"/>
      <c r="O35" s="351"/>
    </row>
    <row r="36" spans="8:15" ht="12.75">
      <c r="H36" s="351"/>
      <c r="I36" s="351"/>
      <c r="J36" s="351"/>
      <c r="K36" s="351"/>
      <c r="L36" s="351"/>
      <c r="M36" s="351"/>
      <c r="N36" s="351"/>
      <c r="O36" s="351"/>
    </row>
    <row r="37" spans="1:15" ht="12.75">
      <c r="A37" s="25"/>
      <c r="B37" s="25"/>
      <c r="C37" s="25"/>
      <c r="D37" s="25"/>
      <c r="E37" s="25"/>
      <c r="F37" s="25"/>
      <c r="G37" s="25"/>
      <c r="H37" s="351"/>
      <c r="I37" s="351"/>
      <c r="J37" s="351"/>
      <c r="K37" s="351"/>
      <c r="L37" s="351"/>
      <c r="M37" s="351"/>
      <c r="N37" s="351"/>
      <c r="O37" s="351"/>
    </row>
    <row r="38" spans="8:15" ht="13.5" thickBot="1">
      <c r="H38" s="352"/>
      <c r="I38" s="352"/>
      <c r="J38" s="352"/>
      <c r="K38" s="352"/>
      <c r="L38" s="352"/>
      <c r="M38" s="352"/>
      <c r="N38" s="352"/>
      <c r="O38" s="352"/>
    </row>
    <row r="39" spans="1:8" ht="12.75">
      <c r="A39" s="390" t="s">
        <v>277</v>
      </c>
      <c r="B39" s="390"/>
      <c r="C39" s="390"/>
      <c r="D39" s="390"/>
      <c r="E39" s="390"/>
      <c r="F39" s="390"/>
      <c r="G39" s="390"/>
      <c r="H39" s="1" t="s">
        <v>278</v>
      </c>
    </row>
    <row r="40" spans="1:15" ht="12.75">
      <c r="A40" s="25"/>
      <c r="B40" s="25"/>
      <c r="C40" s="25"/>
      <c r="D40" s="25"/>
      <c r="E40" s="25"/>
      <c r="F40" s="25"/>
      <c r="G40" s="25" t="s">
        <v>279</v>
      </c>
      <c r="O40" s="25" t="s">
        <v>280</v>
      </c>
    </row>
    <row r="41" spans="1:15" ht="12.75">
      <c r="A41" s="25" t="s">
        <v>281</v>
      </c>
      <c r="B41" s="25"/>
      <c r="C41" s="25"/>
      <c r="D41" s="25"/>
      <c r="E41" s="25"/>
      <c r="F41" s="25"/>
      <c r="G41" s="25" t="s">
        <v>282</v>
      </c>
      <c r="H41" s="1" t="s">
        <v>283</v>
      </c>
      <c r="O41" s="1" t="s">
        <v>284</v>
      </c>
    </row>
    <row r="42" ht="20.25">
      <c r="A42" s="189"/>
    </row>
    <row r="43" ht="20.25">
      <c r="A43" s="189"/>
    </row>
    <row r="44" ht="20.25">
      <c r="A44" s="189"/>
    </row>
    <row r="45" ht="20.25">
      <c r="A45" s="189"/>
    </row>
    <row r="46" ht="20.25">
      <c r="A46" s="189"/>
    </row>
    <row r="47" ht="20.25">
      <c r="A47" s="189"/>
    </row>
    <row r="48" ht="20.25">
      <c r="A48" s="189"/>
    </row>
    <row r="49" ht="20.25">
      <c r="A49" s="189"/>
    </row>
  </sheetData>
  <sheetProtection/>
  <mergeCells count="3">
    <mergeCell ref="N10:O10"/>
    <mergeCell ref="I11:J11"/>
    <mergeCell ref="B25:C25"/>
  </mergeCells>
  <printOptions/>
  <pageMargins left="0.25" right="0.2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396"/>
  <sheetViews>
    <sheetView rightToLeft="1" view="pageBreakPreview" zoomScale="106" zoomScaleSheetLayoutView="106" workbookViewId="0" topLeftCell="A1">
      <selection activeCell="E1" sqref="E1"/>
    </sheetView>
  </sheetViews>
  <sheetFormatPr defaultColWidth="11.421875" defaultRowHeight="12.75"/>
  <cols>
    <col min="1" max="1" width="3.8515625" style="25" customWidth="1"/>
    <col min="2" max="2" width="11.7109375" style="249" customWidth="1"/>
    <col min="3" max="3" width="13.57421875" style="249" customWidth="1"/>
    <col min="4" max="4" width="5.00390625" style="25" customWidth="1"/>
    <col min="5" max="5" width="6.7109375" style="126" customWidth="1"/>
    <col min="6" max="6" width="6.140625" style="126" customWidth="1"/>
    <col min="7" max="7" width="7.8515625" style="126" customWidth="1"/>
    <col min="8" max="8" width="5.00390625" style="126" customWidth="1"/>
    <col min="9" max="9" width="7.140625" style="126" customWidth="1"/>
    <col min="10" max="10" width="6.7109375" style="126" customWidth="1"/>
    <col min="11" max="11" width="7.00390625" style="126" customWidth="1"/>
    <col min="12" max="12" width="6.8515625" style="126" customWidth="1"/>
    <col min="13" max="13" width="5.140625" style="126" customWidth="1"/>
    <col min="14" max="14" width="7.7109375" style="126" customWidth="1"/>
    <col min="15" max="15" width="7.421875" style="126" customWidth="1"/>
    <col min="16" max="16" width="8.421875" style="126" customWidth="1"/>
    <col min="17" max="16384" width="11.421875" style="25" customWidth="1"/>
  </cols>
  <sheetData>
    <row r="1" spans="1:11" ht="19.5" customHeight="1">
      <c r="A1" s="86" t="s">
        <v>0</v>
      </c>
      <c r="B1" s="308"/>
      <c r="C1" s="308"/>
      <c r="D1" s="87"/>
      <c r="E1" s="266"/>
      <c r="F1" s="8"/>
      <c r="G1" s="61"/>
      <c r="H1" s="61"/>
      <c r="I1" s="61"/>
      <c r="J1" s="19"/>
      <c r="K1" s="272" t="s">
        <v>486</v>
      </c>
    </row>
    <row r="2" spans="1:14" ht="19.5" customHeight="1">
      <c r="A2" s="86" t="s">
        <v>2</v>
      </c>
      <c r="B2" s="308"/>
      <c r="C2" s="308"/>
      <c r="D2" s="87"/>
      <c r="E2" s="266"/>
      <c r="F2" s="271" t="s">
        <v>3</v>
      </c>
      <c r="G2" s="667" t="s">
        <v>487</v>
      </c>
      <c r="H2" s="668"/>
      <c r="I2" s="669"/>
      <c r="J2" s="670" t="s">
        <v>1</v>
      </c>
      <c r="L2" s="271"/>
      <c r="M2" s="271"/>
      <c r="N2" s="271" t="s">
        <v>196</v>
      </c>
    </row>
    <row r="3" spans="1:14" ht="19.5" customHeight="1">
      <c r="A3" s="86" t="s">
        <v>4</v>
      </c>
      <c r="B3" s="308"/>
      <c r="C3" s="308"/>
      <c r="D3" s="87"/>
      <c r="E3" s="266"/>
      <c r="F3" s="271" t="s">
        <v>5</v>
      </c>
      <c r="G3" s="668">
        <v>3</v>
      </c>
      <c r="H3" s="668"/>
      <c r="I3" s="669" t="s">
        <v>39</v>
      </c>
      <c r="J3" s="668">
        <v>7</v>
      </c>
      <c r="K3" s="277"/>
      <c r="L3" s="271"/>
      <c r="M3" s="271"/>
      <c r="N3" s="271"/>
    </row>
    <row r="4" spans="1:14" ht="14.25" customHeight="1">
      <c r="A4" s="93"/>
      <c r="B4" s="308"/>
      <c r="C4" s="308"/>
      <c r="D4" s="87"/>
      <c r="E4" s="266"/>
      <c r="F4" s="271" t="s">
        <v>6</v>
      </c>
      <c r="G4" s="668" t="s">
        <v>488</v>
      </c>
      <c r="H4" s="668"/>
      <c r="I4" s="669"/>
      <c r="J4" s="25"/>
      <c r="K4" s="275" t="s">
        <v>85</v>
      </c>
      <c r="L4" s="271"/>
      <c r="M4" s="271"/>
      <c r="N4" s="271"/>
    </row>
    <row r="5" spans="1:14" ht="22.5" customHeight="1">
      <c r="A5" s="93" t="s">
        <v>7</v>
      </c>
      <c r="B5" s="308">
        <v>2</v>
      </c>
      <c r="C5" s="308"/>
      <c r="D5" s="87"/>
      <c r="E5" s="267"/>
      <c r="F5" s="271"/>
      <c r="G5" s="278" t="s">
        <v>8</v>
      </c>
      <c r="H5" s="279"/>
      <c r="I5" s="277"/>
      <c r="J5" s="277"/>
      <c r="K5" s="277"/>
      <c r="L5" s="280" t="s">
        <v>114</v>
      </c>
      <c r="M5" s="271"/>
      <c r="N5" s="271"/>
    </row>
    <row r="6" spans="1:14" ht="28.5">
      <c r="A6" s="65" t="s">
        <v>9</v>
      </c>
      <c r="B6" s="299" t="s">
        <v>163</v>
      </c>
      <c r="C6" s="299" t="s">
        <v>164</v>
      </c>
      <c r="D6" s="66"/>
      <c r="E6" s="258" t="s">
        <v>17</v>
      </c>
      <c r="F6" s="259" t="s">
        <v>10</v>
      </c>
      <c r="G6" s="259" t="s">
        <v>11</v>
      </c>
      <c r="H6" s="260" t="s">
        <v>14</v>
      </c>
      <c r="I6" s="259" t="s">
        <v>16</v>
      </c>
      <c r="J6" s="296" t="s">
        <v>13</v>
      </c>
      <c r="K6" s="259" t="s">
        <v>12</v>
      </c>
      <c r="L6" s="259" t="s">
        <v>16</v>
      </c>
      <c r="M6" s="260" t="s">
        <v>14</v>
      </c>
      <c r="N6" s="698" t="s">
        <v>15</v>
      </c>
    </row>
    <row r="7" spans="1:16" ht="18">
      <c r="A7" s="70"/>
      <c r="B7" s="309"/>
      <c r="C7" s="309"/>
      <c r="D7" s="71"/>
      <c r="E7" s="261">
        <v>20</v>
      </c>
      <c r="F7" s="262">
        <v>20</v>
      </c>
      <c r="G7" s="262">
        <v>20</v>
      </c>
      <c r="H7" s="263" t="s">
        <v>30</v>
      </c>
      <c r="I7" s="262">
        <v>60</v>
      </c>
      <c r="J7" s="262">
        <v>20</v>
      </c>
      <c r="K7" s="262">
        <v>20</v>
      </c>
      <c r="L7" s="263">
        <v>60</v>
      </c>
      <c r="M7" s="263" t="s">
        <v>31</v>
      </c>
      <c r="N7" s="699"/>
      <c r="O7" s="141"/>
      <c r="P7" s="38"/>
    </row>
    <row r="8" spans="1:16" ht="19.5" customHeight="1">
      <c r="A8" s="38">
        <v>1</v>
      </c>
      <c r="B8" s="673" t="s">
        <v>528</v>
      </c>
      <c r="C8" s="303" t="s">
        <v>529</v>
      </c>
      <c r="D8" s="679"/>
      <c r="E8" s="72">
        <v>17</v>
      </c>
      <c r="F8" s="72">
        <v>15.5</v>
      </c>
      <c r="G8" s="69">
        <f>(F8+E8)/2</f>
        <v>16.25</v>
      </c>
      <c r="H8" s="69"/>
      <c r="I8" s="69">
        <f>(3*G8)+H8</f>
        <v>48.75</v>
      </c>
      <c r="J8" s="94"/>
      <c r="K8" s="72" t="str">
        <f>IF(J8&gt;0,(J8+F8)/2," ")</f>
        <v> </v>
      </c>
      <c r="L8" s="72" t="str">
        <f>IF(J8&gt;0,((J8+F8)/2)*2," ")</f>
        <v> </v>
      </c>
      <c r="M8" s="38"/>
      <c r="N8" s="69">
        <f>IF(I8&gt;((J8+F8)/2)*3+M8,I8+M8,(((J8+F8)/2)*3)+M8)</f>
        <v>48.75</v>
      </c>
      <c r="O8" s="38" t="s">
        <v>30</v>
      </c>
      <c r="P8" s="38">
        <v>2018</v>
      </c>
    </row>
    <row r="9" spans="1:16" ht="19.5" customHeight="1">
      <c r="A9" s="38">
        <f>A8+1</f>
        <v>2</v>
      </c>
      <c r="B9" s="671" t="s">
        <v>530</v>
      </c>
      <c r="C9" s="303" t="s">
        <v>531</v>
      </c>
      <c r="D9" s="680"/>
      <c r="E9" s="72"/>
      <c r="F9" s="72">
        <v>11.5</v>
      </c>
      <c r="G9" s="69">
        <f aca="true" t="shared" si="0" ref="G9:G40">(F9+E9)/2</f>
        <v>5.75</v>
      </c>
      <c r="H9" s="69"/>
      <c r="I9" s="69">
        <f aca="true" t="shared" si="1" ref="I9:I40">(3*G9)+H9</f>
        <v>17.25</v>
      </c>
      <c r="J9" s="94"/>
      <c r="K9" s="72" t="str">
        <f aca="true" t="shared" si="2" ref="K9:K40">IF(J9&gt;0,(J9+F9)/2," ")</f>
        <v> </v>
      </c>
      <c r="L9" s="72" t="str">
        <f aca="true" t="shared" si="3" ref="L9:L40">IF(J9&gt;0,((J9+F9)/2)*2," ")</f>
        <v> </v>
      </c>
      <c r="M9" s="38"/>
      <c r="N9" s="69">
        <f aca="true" t="shared" si="4" ref="N9:N40">IF(I9&gt;((J9+F9)/2)*3+M9,I9+M9,(((J9+F9)/2)*3)+M9)</f>
        <v>17.25</v>
      </c>
      <c r="O9" s="38" t="s">
        <v>30</v>
      </c>
      <c r="P9" s="38">
        <v>2018</v>
      </c>
    </row>
    <row r="10" spans="1:16" ht="19.5" customHeight="1">
      <c r="A10" s="38">
        <f aca="true" t="shared" si="5" ref="A10:A41">A9+1</f>
        <v>3</v>
      </c>
      <c r="B10" s="304" t="s">
        <v>532</v>
      </c>
      <c r="C10" s="142" t="s">
        <v>533</v>
      </c>
      <c r="D10" s="681"/>
      <c r="E10" s="72">
        <v>15.5</v>
      </c>
      <c r="F10" s="72">
        <v>16</v>
      </c>
      <c r="G10" s="69">
        <f t="shared" si="0"/>
        <v>15.75</v>
      </c>
      <c r="H10" s="69"/>
      <c r="I10" s="69">
        <f t="shared" si="1"/>
        <v>47.25</v>
      </c>
      <c r="J10" s="94"/>
      <c r="K10" s="72" t="str">
        <f t="shared" si="2"/>
        <v> </v>
      </c>
      <c r="L10" s="72" t="str">
        <f t="shared" si="3"/>
        <v> </v>
      </c>
      <c r="M10" s="38"/>
      <c r="N10" s="69">
        <f t="shared" si="4"/>
        <v>47.25</v>
      </c>
      <c r="O10" s="38" t="s">
        <v>30</v>
      </c>
      <c r="P10" s="38">
        <v>2018</v>
      </c>
    </row>
    <row r="11" spans="1:16" ht="19.5" customHeight="1">
      <c r="A11" s="38">
        <f t="shared" si="5"/>
        <v>4</v>
      </c>
      <c r="B11" s="673" t="s">
        <v>534</v>
      </c>
      <c r="C11" s="303" t="s">
        <v>535</v>
      </c>
      <c r="D11" s="682"/>
      <c r="E11" s="72">
        <v>6</v>
      </c>
      <c r="F11" s="72">
        <v>15.5</v>
      </c>
      <c r="G11" s="69">
        <f t="shared" si="0"/>
        <v>10.75</v>
      </c>
      <c r="H11" s="69"/>
      <c r="I11" s="69">
        <f t="shared" si="1"/>
        <v>32.25</v>
      </c>
      <c r="J11" s="94"/>
      <c r="K11" s="72" t="str">
        <f t="shared" si="2"/>
        <v> </v>
      </c>
      <c r="L11" s="72" t="str">
        <f t="shared" si="3"/>
        <v> </v>
      </c>
      <c r="M11" s="38"/>
      <c r="N11" s="69">
        <f t="shared" si="4"/>
        <v>32.25</v>
      </c>
      <c r="O11" s="38" t="s">
        <v>30</v>
      </c>
      <c r="P11" s="38">
        <v>2018</v>
      </c>
    </row>
    <row r="12" spans="1:16" ht="19.5" customHeight="1">
      <c r="A12" s="38">
        <f t="shared" si="5"/>
        <v>5</v>
      </c>
      <c r="B12" s="304" t="s">
        <v>536</v>
      </c>
      <c r="C12" s="246" t="s">
        <v>537</v>
      </c>
      <c r="D12" s="682"/>
      <c r="E12" s="72">
        <v>12.5</v>
      </c>
      <c r="F12" s="72">
        <v>14.5</v>
      </c>
      <c r="G12" s="69">
        <f t="shared" si="0"/>
        <v>13.5</v>
      </c>
      <c r="H12" s="69"/>
      <c r="I12" s="69">
        <f t="shared" si="1"/>
        <v>40.5</v>
      </c>
      <c r="J12" s="94"/>
      <c r="K12" s="72" t="str">
        <f t="shared" si="2"/>
        <v> </v>
      </c>
      <c r="L12" s="72" t="str">
        <f t="shared" si="3"/>
        <v> </v>
      </c>
      <c r="M12" s="38"/>
      <c r="N12" s="69">
        <f t="shared" si="4"/>
        <v>40.5</v>
      </c>
      <c r="O12" s="38" t="s">
        <v>30</v>
      </c>
      <c r="P12" s="38">
        <v>2018</v>
      </c>
    </row>
    <row r="13" spans="1:16" ht="19.5" customHeight="1">
      <c r="A13" s="38">
        <f t="shared" si="5"/>
        <v>6</v>
      </c>
      <c r="B13" s="671" t="s">
        <v>538</v>
      </c>
      <c r="C13" s="301" t="s">
        <v>539</v>
      </c>
      <c r="D13" s="683"/>
      <c r="E13" s="72">
        <v>12.5</v>
      </c>
      <c r="F13" s="72">
        <v>14.5</v>
      </c>
      <c r="G13" s="69">
        <f t="shared" si="0"/>
        <v>13.5</v>
      </c>
      <c r="H13" s="69"/>
      <c r="I13" s="69">
        <f t="shared" si="1"/>
        <v>40.5</v>
      </c>
      <c r="J13" s="94"/>
      <c r="K13" s="72" t="str">
        <f t="shared" si="2"/>
        <v> </v>
      </c>
      <c r="L13" s="72" t="str">
        <f t="shared" si="3"/>
        <v> </v>
      </c>
      <c r="M13" s="38"/>
      <c r="N13" s="69">
        <f t="shared" si="4"/>
        <v>40.5</v>
      </c>
      <c r="O13" s="38" t="s">
        <v>30</v>
      </c>
      <c r="P13" s="38">
        <v>2018</v>
      </c>
    </row>
    <row r="14" spans="1:16" ht="19.5" customHeight="1">
      <c r="A14" s="38">
        <f t="shared" si="5"/>
        <v>7</v>
      </c>
      <c r="B14" s="671" t="s">
        <v>540</v>
      </c>
      <c r="C14" s="305" t="s">
        <v>489</v>
      </c>
      <c r="D14" s="682"/>
      <c r="E14" s="72">
        <v>10.5</v>
      </c>
      <c r="F14" s="72">
        <v>13</v>
      </c>
      <c r="G14" s="69">
        <f t="shared" si="0"/>
        <v>11.75</v>
      </c>
      <c r="H14" s="69"/>
      <c r="I14" s="69">
        <f t="shared" si="1"/>
        <v>35.25</v>
      </c>
      <c r="J14" s="94"/>
      <c r="K14" s="72" t="str">
        <f t="shared" si="2"/>
        <v> </v>
      </c>
      <c r="L14" s="72" t="str">
        <f t="shared" si="3"/>
        <v> </v>
      </c>
      <c r="M14" s="38"/>
      <c r="N14" s="69">
        <f t="shared" si="4"/>
        <v>35.25</v>
      </c>
      <c r="O14" s="38" t="s">
        <v>30</v>
      </c>
      <c r="P14" s="38">
        <v>2018</v>
      </c>
    </row>
    <row r="15" spans="1:16" ht="19.5" customHeight="1">
      <c r="A15" s="38">
        <f t="shared" si="5"/>
        <v>8</v>
      </c>
      <c r="B15" s="671" t="s">
        <v>541</v>
      </c>
      <c r="C15" s="301" t="s">
        <v>542</v>
      </c>
      <c r="D15" s="243"/>
      <c r="E15" s="72">
        <v>11</v>
      </c>
      <c r="F15" s="72">
        <v>14.5</v>
      </c>
      <c r="G15" s="69">
        <f t="shared" si="0"/>
        <v>12.75</v>
      </c>
      <c r="H15" s="69"/>
      <c r="I15" s="69">
        <f t="shared" si="1"/>
        <v>38.25</v>
      </c>
      <c r="J15" s="94"/>
      <c r="K15" s="72" t="str">
        <f t="shared" si="2"/>
        <v> </v>
      </c>
      <c r="L15" s="72" t="str">
        <f t="shared" si="3"/>
        <v> </v>
      </c>
      <c r="M15" s="38"/>
      <c r="N15" s="69">
        <f t="shared" si="4"/>
        <v>38.25</v>
      </c>
      <c r="O15" s="38" t="s">
        <v>30</v>
      </c>
      <c r="P15" s="38">
        <v>2018</v>
      </c>
    </row>
    <row r="16" spans="1:16" ht="19.5" customHeight="1">
      <c r="A16" s="38">
        <f t="shared" si="5"/>
        <v>9</v>
      </c>
      <c r="B16" s="671" t="s">
        <v>543</v>
      </c>
      <c r="C16" s="303" t="s">
        <v>544</v>
      </c>
      <c r="D16" s="680"/>
      <c r="E16" s="72">
        <v>9.5</v>
      </c>
      <c r="F16" s="72">
        <v>13.5</v>
      </c>
      <c r="G16" s="69">
        <f t="shared" si="0"/>
        <v>11.5</v>
      </c>
      <c r="H16" s="69"/>
      <c r="I16" s="69">
        <f t="shared" si="1"/>
        <v>34.5</v>
      </c>
      <c r="J16" s="94"/>
      <c r="K16" s="72" t="str">
        <f t="shared" si="2"/>
        <v> </v>
      </c>
      <c r="L16" s="72" t="str">
        <f t="shared" si="3"/>
        <v> </v>
      </c>
      <c r="M16" s="38"/>
      <c r="N16" s="69">
        <f t="shared" si="4"/>
        <v>34.5</v>
      </c>
      <c r="O16" s="38" t="s">
        <v>30</v>
      </c>
      <c r="P16" s="38">
        <v>2018</v>
      </c>
    </row>
    <row r="17" spans="1:16" ht="19.5" customHeight="1">
      <c r="A17" s="38">
        <f t="shared" si="5"/>
        <v>10</v>
      </c>
      <c r="B17" s="671" t="s">
        <v>545</v>
      </c>
      <c r="C17" s="303" t="s">
        <v>546</v>
      </c>
      <c r="D17" s="684"/>
      <c r="E17" s="72">
        <v>13</v>
      </c>
      <c r="F17" s="72">
        <v>16</v>
      </c>
      <c r="G17" s="69">
        <f t="shared" si="0"/>
        <v>14.5</v>
      </c>
      <c r="H17" s="69"/>
      <c r="I17" s="69">
        <f t="shared" si="1"/>
        <v>43.5</v>
      </c>
      <c r="J17" s="94"/>
      <c r="K17" s="72" t="str">
        <f t="shared" si="2"/>
        <v> </v>
      </c>
      <c r="L17" s="72" t="str">
        <f t="shared" si="3"/>
        <v> </v>
      </c>
      <c r="M17" s="38"/>
      <c r="N17" s="69">
        <f t="shared" si="4"/>
        <v>43.5</v>
      </c>
      <c r="O17" s="38" t="s">
        <v>30</v>
      </c>
      <c r="P17" s="38">
        <v>2018</v>
      </c>
    </row>
    <row r="18" spans="1:16" ht="19.5" customHeight="1">
      <c r="A18" s="38">
        <f t="shared" si="5"/>
        <v>11</v>
      </c>
      <c r="B18" s="671" t="s">
        <v>547</v>
      </c>
      <c r="C18" s="303" t="s">
        <v>548</v>
      </c>
      <c r="D18" s="682"/>
      <c r="E18" s="72">
        <v>15</v>
      </c>
      <c r="F18" s="72">
        <v>15</v>
      </c>
      <c r="G18" s="69">
        <f t="shared" si="0"/>
        <v>15</v>
      </c>
      <c r="H18" s="69"/>
      <c r="I18" s="69">
        <f t="shared" si="1"/>
        <v>45</v>
      </c>
      <c r="J18" s="94"/>
      <c r="K18" s="72" t="str">
        <f t="shared" si="2"/>
        <v> </v>
      </c>
      <c r="L18" s="72" t="str">
        <f t="shared" si="3"/>
        <v> </v>
      </c>
      <c r="M18" s="38"/>
      <c r="N18" s="69">
        <f t="shared" si="4"/>
        <v>45</v>
      </c>
      <c r="O18" s="38" t="s">
        <v>30</v>
      </c>
      <c r="P18" s="38">
        <v>2018</v>
      </c>
    </row>
    <row r="19" spans="1:16" ht="19.5" customHeight="1">
      <c r="A19" s="38">
        <f t="shared" si="5"/>
        <v>12</v>
      </c>
      <c r="B19" s="671" t="s">
        <v>549</v>
      </c>
      <c r="C19" s="301" t="s">
        <v>550</v>
      </c>
      <c r="D19" s="243"/>
      <c r="E19" s="72">
        <v>14.5</v>
      </c>
      <c r="F19" s="72">
        <v>13.5</v>
      </c>
      <c r="G19" s="69">
        <f t="shared" si="0"/>
        <v>14</v>
      </c>
      <c r="H19" s="69"/>
      <c r="I19" s="69">
        <f t="shared" si="1"/>
        <v>42</v>
      </c>
      <c r="J19" s="94"/>
      <c r="K19" s="72" t="str">
        <f t="shared" si="2"/>
        <v> </v>
      </c>
      <c r="L19" s="72" t="str">
        <f t="shared" si="3"/>
        <v> </v>
      </c>
      <c r="M19" s="38"/>
      <c r="N19" s="69">
        <f t="shared" si="4"/>
        <v>42</v>
      </c>
      <c r="O19" s="38" t="s">
        <v>30</v>
      </c>
      <c r="P19" s="38">
        <v>2018</v>
      </c>
    </row>
    <row r="20" spans="1:16" ht="19.5" customHeight="1">
      <c r="A20" s="38">
        <f t="shared" si="5"/>
        <v>13</v>
      </c>
      <c r="B20" s="685" t="s">
        <v>551</v>
      </c>
      <c r="C20" s="685" t="s">
        <v>552</v>
      </c>
      <c r="D20" s="682"/>
      <c r="E20" s="72">
        <v>17</v>
      </c>
      <c r="F20" s="72">
        <v>16</v>
      </c>
      <c r="G20" s="69">
        <f t="shared" si="0"/>
        <v>16.5</v>
      </c>
      <c r="H20" s="69"/>
      <c r="I20" s="69">
        <f t="shared" si="1"/>
        <v>49.5</v>
      </c>
      <c r="J20" s="94"/>
      <c r="K20" s="72" t="str">
        <f t="shared" si="2"/>
        <v> </v>
      </c>
      <c r="L20" s="72" t="str">
        <f t="shared" si="3"/>
        <v> </v>
      </c>
      <c r="M20" s="38"/>
      <c r="N20" s="69">
        <f t="shared" si="4"/>
        <v>49.5</v>
      </c>
      <c r="O20" s="38" t="s">
        <v>30</v>
      </c>
      <c r="P20" s="38">
        <v>2018</v>
      </c>
    </row>
    <row r="21" spans="1:16" ht="19.5" customHeight="1">
      <c r="A21" s="38">
        <f t="shared" si="5"/>
        <v>14</v>
      </c>
      <c r="B21" s="302" t="s">
        <v>553</v>
      </c>
      <c r="C21" s="659" t="s">
        <v>554</v>
      </c>
      <c r="D21" s="684"/>
      <c r="E21" s="72">
        <v>10.5</v>
      </c>
      <c r="F21" s="72">
        <v>15</v>
      </c>
      <c r="G21" s="69">
        <f t="shared" si="0"/>
        <v>12.75</v>
      </c>
      <c r="H21" s="69"/>
      <c r="I21" s="69">
        <f t="shared" si="1"/>
        <v>38.25</v>
      </c>
      <c r="J21" s="94"/>
      <c r="K21" s="72" t="str">
        <f t="shared" si="2"/>
        <v> </v>
      </c>
      <c r="L21" s="72" t="str">
        <f t="shared" si="3"/>
        <v> </v>
      </c>
      <c r="M21" s="38"/>
      <c r="N21" s="69">
        <f t="shared" si="4"/>
        <v>38.25</v>
      </c>
      <c r="O21" s="38" t="s">
        <v>30</v>
      </c>
      <c r="P21" s="38">
        <v>2018</v>
      </c>
    </row>
    <row r="22" spans="1:16" ht="19.5" customHeight="1">
      <c r="A22" s="38">
        <f t="shared" si="5"/>
        <v>15</v>
      </c>
      <c r="B22" s="673" t="s">
        <v>555</v>
      </c>
      <c r="C22" s="303" t="s">
        <v>489</v>
      </c>
      <c r="D22" s="243"/>
      <c r="E22" s="72">
        <v>13</v>
      </c>
      <c r="F22" s="72">
        <v>13.5</v>
      </c>
      <c r="G22" s="69">
        <f t="shared" si="0"/>
        <v>13.25</v>
      </c>
      <c r="H22" s="69"/>
      <c r="I22" s="69">
        <f t="shared" si="1"/>
        <v>39.75</v>
      </c>
      <c r="J22" s="94"/>
      <c r="K22" s="72" t="str">
        <f t="shared" si="2"/>
        <v> </v>
      </c>
      <c r="L22" s="72" t="str">
        <f t="shared" si="3"/>
        <v> </v>
      </c>
      <c r="M22" s="38"/>
      <c r="N22" s="69">
        <f t="shared" si="4"/>
        <v>39.75</v>
      </c>
      <c r="O22" s="38" t="s">
        <v>30</v>
      </c>
      <c r="P22" s="38">
        <v>2018</v>
      </c>
    </row>
    <row r="23" spans="1:16" ht="19.5" customHeight="1">
      <c r="A23" s="38">
        <f t="shared" si="5"/>
        <v>16</v>
      </c>
      <c r="B23" s="671" t="s">
        <v>556</v>
      </c>
      <c r="C23" s="671" t="s">
        <v>557</v>
      </c>
      <c r="D23" s="680"/>
      <c r="E23" s="72">
        <v>15</v>
      </c>
      <c r="F23" s="72">
        <v>13.5</v>
      </c>
      <c r="G23" s="69">
        <f t="shared" si="0"/>
        <v>14.25</v>
      </c>
      <c r="H23" s="69"/>
      <c r="I23" s="69">
        <f t="shared" si="1"/>
        <v>42.75</v>
      </c>
      <c r="J23" s="94"/>
      <c r="K23" s="72" t="str">
        <f t="shared" si="2"/>
        <v> </v>
      </c>
      <c r="L23" s="72" t="str">
        <f t="shared" si="3"/>
        <v> </v>
      </c>
      <c r="M23" s="38"/>
      <c r="N23" s="69">
        <f t="shared" si="4"/>
        <v>42.75</v>
      </c>
      <c r="O23" s="38" t="s">
        <v>30</v>
      </c>
      <c r="P23" s="38">
        <v>2018</v>
      </c>
    </row>
    <row r="24" spans="1:16" ht="19.5" customHeight="1">
      <c r="A24" s="38">
        <f t="shared" si="5"/>
        <v>17</v>
      </c>
      <c r="B24" s="685" t="s">
        <v>558</v>
      </c>
      <c r="C24" s="685" t="s">
        <v>489</v>
      </c>
      <c r="D24" s="686"/>
      <c r="E24" s="72">
        <v>17.5</v>
      </c>
      <c r="F24" s="72">
        <v>16</v>
      </c>
      <c r="G24" s="69">
        <f t="shared" si="0"/>
        <v>16.75</v>
      </c>
      <c r="H24" s="69"/>
      <c r="I24" s="69">
        <f t="shared" si="1"/>
        <v>50.25</v>
      </c>
      <c r="J24" s="94"/>
      <c r="K24" s="72" t="str">
        <f t="shared" si="2"/>
        <v> </v>
      </c>
      <c r="L24" s="72" t="str">
        <f t="shared" si="3"/>
        <v> </v>
      </c>
      <c r="M24" s="38"/>
      <c r="N24" s="69">
        <f t="shared" si="4"/>
        <v>50.25</v>
      </c>
      <c r="O24" s="38" t="s">
        <v>30</v>
      </c>
      <c r="P24" s="38">
        <v>2018</v>
      </c>
    </row>
    <row r="25" spans="1:16" ht="19.5" customHeight="1">
      <c r="A25" s="38">
        <f t="shared" si="5"/>
        <v>18</v>
      </c>
      <c r="B25" s="673" t="s">
        <v>559</v>
      </c>
      <c r="C25" s="303" t="s">
        <v>560</v>
      </c>
      <c r="D25" s="682"/>
      <c r="E25" s="72">
        <v>17</v>
      </c>
      <c r="F25" s="72">
        <v>16</v>
      </c>
      <c r="G25" s="69">
        <f t="shared" si="0"/>
        <v>16.5</v>
      </c>
      <c r="H25" s="69"/>
      <c r="I25" s="69">
        <f t="shared" si="1"/>
        <v>49.5</v>
      </c>
      <c r="J25" s="94"/>
      <c r="K25" s="72" t="str">
        <f t="shared" si="2"/>
        <v> </v>
      </c>
      <c r="L25" s="72" t="str">
        <f t="shared" si="3"/>
        <v> </v>
      </c>
      <c r="M25" s="38"/>
      <c r="N25" s="69">
        <f t="shared" si="4"/>
        <v>49.5</v>
      </c>
      <c r="O25" s="38" t="s">
        <v>30</v>
      </c>
      <c r="P25" s="38">
        <v>2018</v>
      </c>
    </row>
    <row r="26" spans="1:16" ht="19.5" customHeight="1">
      <c r="A26" s="38">
        <f t="shared" si="5"/>
        <v>19</v>
      </c>
      <c r="B26" s="302" t="s">
        <v>561</v>
      </c>
      <c r="C26" s="303" t="s">
        <v>562</v>
      </c>
      <c r="D26" s="682"/>
      <c r="E26" s="72">
        <v>10.5</v>
      </c>
      <c r="F26" s="72">
        <v>13.5</v>
      </c>
      <c r="G26" s="69">
        <f t="shared" si="0"/>
        <v>12</v>
      </c>
      <c r="H26" s="69"/>
      <c r="I26" s="69">
        <f t="shared" si="1"/>
        <v>36</v>
      </c>
      <c r="J26" s="94"/>
      <c r="K26" s="72" t="str">
        <f t="shared" si="2"/>
        <v> </v>
      </c>
      <c r="L26" s="72" t="str">
        <f t="shared" si="3"/>
        <v> </v>
      </c>
      <c r="M26" s="38"/>
      <c r="N26" s="69">
        <f t="shared" si="4"/>
        <v>36</v>
      </c>
      <c r="O26" s="38" t="s">
        <v>30</v>
      </c>
      <c r="P26" s="38">
        <v>2018</v>
      </c>
    </row>
    <row r="27" spans="1:16" ht="19.5" customHeight="1">
      <c r="A27" s="38">
        <f t="shared" si="5"/>
        <v>20</v>
      </c>
      <c r="B27" s="672" t="s">
        <v>563</v>
      </c>
      <c r="C27" s="659" t="s">
        <v>564</v>
      </c>
      <c r="D27" s="682"/>
      <c r="E27" s="72">
        <v>12.5</v>
      </c>
      <c r="F27" s="72">
        <v>13.5</v>
      </c>
      <c r="G27" s="69">
        <f t="shared" si="0"/>
        <v>13</v>
      </c>
      <c r="H27" s="69"/>
      <c r="I27" s="69">
        <f t="shared" si="1"/>
        <v>39</v>
      </c>
      <c r="J27" s="94"/>
      <c r="K27" s="72" t="str">
        <f t="shared" si="2"/>
        <v> </v>
      </c>
      <c r="L27" s="72" t="str">
        <f t="shared" si="3"/>
        <v> </v>
      </c>
      <c r="M27" s="38"/>
      <c r="N27" s="69">
        <f t="shared" si="4"/>
        <v>39</v>
      </c>
      <c r="O27" s="38" t="s">
        <v>30</v>
      </c>
      <c r="P27" s="38">
        <v>2018</v>
      </c>
    </row>
    <row r="28" spans="1:16" ht="19.5" customHeight="1">
      <c r="A28" s="38">
        <f t="shared" si="5"/>
        <v>21</v>
      </c>
      <c r="B28" s="685"/>
      <c r="C28" s="685"/>
      <c r="D28" s="680"/>
      <c r="E28" s="72"/>
      <c r="F28" s="72"/>
      <c r="G28" s="69">
        <f t="shared" si="0"/>
        <v>0</v>
      </c>
      <c r="H28" s="69"/>
      <c r="I28" s="69">
        <f t="shared" si="1"/>
        <v>0</v>
      </c>
      <c r="J28" s="94"/>
      <c r="K28" s="72" t="str">
        <f t="shared" si="2"/>
        <v> </v>
      </c>
      <c r="L28" s="72" t="str">
        <f t="shared" si="3"/>
        <v> </v>
      </c>
      <c r="M28" s="38"/>
      <c r="N28" s="69">
        <f t="shared" si="4"/>
        <v>0</v>
      </c>
      <c r="O28" s="38" t="s">
        <v>30</v>
      </c>
      <c r="P28" s="38">
        <v>2018</v>
      </c>
    </row>
    <row r="29" spans="1:16" ht="19.5" customHeight="1">
      <c r="A29" s="38">
        <f t="shared" si="5"/>
        <v>22</v>
      </c>
      <c r="B29" s="671"/>
      <c r="C29" s="303"/>
      <c r="D29" s="682"/>
      <c r="E29" s="72"/>
      <c r="F29" s="72"/>
      <c r="G29" s="69">
        <f t="shared" si="0"/>
        <v>0</v>
      </c>
      <c r="H29" s="69"/>
      <c r="I29" s="69">
        <f t="shared" si="1"/>
        <v>0</v>
      </c>
      <c r="J29" s="94"/>
      <c r="K29" s="72" t="str">
        <f t="shared" si="2"/>
        <v> </v>
      </c>
      <c r="L29" s="72" t="str">
        <f t="shared" si="3"/>
        <v> </v>
      </c>
      <c r="M29" s="38"/>
      <c r="N29" s="69">
        <f t="shared" si="4"/>
        <v>0</v>
      </c>
      <c r="O29" s="38" t="s">
        <v>30</v>
      </c>
      <c r="P29" s="38">
        <v>2018</v>
      </c>
    </row>
    <row r="30" spans="1:16" ht="19.5" customHeight="1">
      <c r="A30" s="38">
        <f t="shared" si="5"/>
        <v>23</v>
      </c>
      <c r="B30" s="246"/>
      <c r="C30" s="246"/>
      <c r="D30" s="248"/>
      <c r="E30" s="72"/>
      <c r="F30" s="72"/>
      <c r="G30" s="69">
        <f t="shared" si="0"/>
        <v>0</v>
      </c>
      <c r="H30" s="69"/>
      <c r="I30" s="69">
        <f t="shared" si="1"/>
        <v>0</v>
      </c>
      <c r="J30" s="94"/>
      <c r="K30" s="72" t="str">
        <f t="shared" si="2"/>
        <v> </v>
      </c>
      <c r="L30" s="72" t="str">
        <f t="shared" si="3"/>
        <v> </v>
      </c>
      <c r="M30" s="38"/>
      <c r="N30" s="69">
        <f t="shared" si="4"/>
        <v>0</v>
      </c>
      <c r="O30" s="38" t="s">
        <v>30</v>
      </c>
      <c r="P30" s="38">
        <v>2018</v>
      </c>
    </row>
    <row r="31" spans="1:16" ht="19.5" customHeight="1">
      <c r="A31" s="38">
        <f t="shared" si="5"/>
        <v>24</v>
      </c>
      <c r="B31" s="302"/>
      <c r="C31" s="303"/>
      <c r="D31" s="247"/>
      <c r="E31" s="114"/>
      <c r="F31" s="114"/>
      <c r="G31" s="69">
        <f t="shared" si="0"/>
        <v>0</v>
      </c>
      <c r="H31" s="69"/>
      <c r="I31" s="69">
        <f t="shared" si="1"/>
        <v>0</v>
      </c>
      <c r="J31" s="94"/>
      <c r="K31" s="72" t="str">
        <f t="shared" si="2"/>
        <v> </v>
      </c>
      <c r="L31" s="72" t="str">
        <f t="shared" si="3"/>
        <v> </v>
      </c>
      <c r="M31" s="38"/>
      <c r="N31" s="69">
        <f t="shared" si="4"/>
        <v>0</v>
      </c>
      <c r="O31" s="38" t="s">
        <v>30</v>
      </c>
      <c r="P31" s="38">
        <v>2018</v>
      </c>
    </row>
    <row r="32" spans="1:16" ht="19.5" customHeight="1">
      <c r="A32" s="38">
        <f t="shared" si="5"/>
        <v>25</v>
      </c>
      <c r="B32" s="246"/>
      <c r="C32" s="306"/>
      <c r="D32" s="76"/>
      <c r="E32" s="114"/>
      <c r="F32" s="114"/>
      <c r="G32" s="69">
        <f t="shared" si="0"/>
        <v>0</v>
      </c>
      <c r="H32" s="69"/>
      <c r="I32" s="69">
        <f t="shared" si="1"/>
        <v>0</v>
      </c>
      <c r="J32" s="94"/>
      <c r="K32" s="72" t="str">
        <f t="shared" si="2"/>
        <v> </v>
      </c>
      <c r="L32" s="72" t="str">
        <f t="shared" si="3"/>
        <v> </v>
      </c>
      <c r="M32" s="38"/>
      <c r="N32" s="69">
        <f t="shared" si="4"/>
        <v>0</v>
      </c>
      <c r="O32" s="38" t="s">
        <v>30</v>
      </c>
      <c r="P32" s="38">
        <v>2018</v>
      </c>
    </row>
    <row r="33" spans="1:16" ht="19.5" customHeight="1">
      <c r="A33" s="38">
        <f t="shared" si="5"/>
        <v>26</v>
      </c>
      <c r="B33" s="300"/>
      <c r="C33" s="300"/>
      <c r="D33" s="76"/>
      <c r="E33" s="72"/>
      <c r="F33" s="72"/>
      <c r="G33" s="69">
        <f t="shared" si="0"/>
        <v>0</v>
      </c>
      <c r="H33" s="69"/>
      <c r="I33" s="69">
        <f t="shared" si="1"/>
        <v>0</v>
      </c>
      <c r="J33" s="94"/>
      <c r="K33" s="72" t="str">
        <f t="shared" si="2"/>
        <v> </v>
      </c>
      <c r="L33" s="72" t="str">
        <f t="shared" si="3"/>
        <v> </v>
      </c>
      <c r="M33" s="38"/>
      <c r="N33" s="69">
        <f t="shared" si="4"/>
        <v>0</v>
      </c>
      <c r="O33" s="38" t="s">
        <v>30</v>
      </c>
      <c r="P33" s="38">
        <v>2018</v>
      </c>
    </row>
    <row r="34" spans="1:16" ht="19.5" customHeight="1">
      <c r="A34" s="38">
        <f t="shared" si="5"/>
        <v>27</v>
      </c>
      <c r="B34" s="302"/>
      <c r="C34" s="142"/>
      <c r="D34" s="76"/>
      <c r="E34" s="72"/>
      <c r="F34" s="72"/>
      <c r="G34" s="69">
        <f t="shared" si="0"/>
        <v>0</v>
      </c>
      <c r="H34" s="69"/>
      <c r="I34" s="69">
        <f t="shared" si="1"/>
        <v>0</v>
      </c>
      <c r="J34" s="94"/>
      <c r="K34" s="72" t="str">
        <f t="shared" si="2"/>
        <v> </v>
      </c>
      <c r="L34" s="72" t="str">
        <f t="shared" si="3"/>
        <v> </v>
      </c>
      <c r="M34" s="38"/>
      <c r="N34" s="69">
        <f t="shared" si="4"/>
        <v>0</v>
      </c>
      <c r="O34" s="38" t="s">
        <v>30</v>
      </c>
      <c r="P34" s="38">
        <v>2018</v>
      </c>
    </row>
    <row r="35" spans="1:16" ht="19.5" customHeight="1">
      <c r="A35" s="38">
        <f t="shared" si="5"/>
        <v>28</v>
      </c>
      <c r="B35" s="302"/>
      <c r="C35" s="142"/>
      <c r="D35" s="76"/>
      <c r="E35" s="72"/>
      <c r="F35" s="72"/>
      <c r="G35" s="69">
        <f t="shared" si="0"/>
        <v>0</v>
      </c>
      <c r="H35" s="69"/>
      <c r="I35" s="69">
        <f t="shared" si="1"/>
        <v>0</v>
      </c>
      <c r="J35" s="94"/>
      <c r="K35" s="72" t="str">
        <f t="shared" si="2"/>
        <v> </v>
      </c>
      <c r="L35" s="72" t="str">
        <f t="shared" si="3"/>
        <v> </v>
      </c>
      <c r="M35" s="38"/>
      <c r="N35" s="69">
        <f t="shared" si="4"/>
        <v>0</v>
      </c>
      <c r="O35" s="38" t="s">
        <v>30</v>
      </c>
      <c r="P35" s="38">
        <v>2018</v>
      </c>
    </row>
    <row r="36" spans="1:16" ht="19.5" customHeight="1">
      <c r="A36" s="38">
        <f t="shared" si="5"/>
        <v>29</v>
      </c>
      <c r="B36" s="246"/>
      <c r="C36" s="307"/>
      <c r="D36" s="76"/>
      <c r="E36" s="72"/>
      <c r="F36" s="72"/>
      <c r="G36" s="69">
        <f t="shared" si="0"/>
        <v>0</v>
      </c>
      <c r="H36" s="69"/>
      <c r="I36" s="69">
        <f t="shared" si="1"/>
        <v>0</v>
      </c>
      <c r="J36" s="94"/>
      <c r="K36" s="72" t="str">
        <f t="shared" si="2"/>
        <v> </v>
      </c>
      <c r="L36" s="72" t="str">
        <f t="shared" si="3"/>
        <v> </v>
      </c>
      <c r="M36" s="38"/>
      <c r="N36" s="69">
        <f t="shared" si="4"/>
        <v>0</v>
      </c>
      <c r="O36" s="38" t="s">
        <v>30</v>
      </c>
      <c r="P36" s="38">
        <v>2018</v>
      </c>
    </row>
    <row r="37" spans="1:16" ht="19.5" customHeight="1">
      <c r="A37" s="38">
        <f t="shared" si="5"/>
        <v>30</v>
      </c>
      <c r="B37" s="246"/>
      <c r="C37" s="246"/>
      <c r="D37" s="91"/>
      <c r="E37" s="72"/>
      <c r="F37" s="72"/>
      <c r="G37" s="69">
        <f t="shared" si="0"/>
        <v>0</v>
      </c>
      <c r="H37" s="69"/>
      <c r="I37" s="69">
        <f t="shared" si="1"/>
        <v>0</v>
      </c>
      <c r="J37" s="94"/>
      <c r="K37" s="72" t="str">
        <f t="shared" si="2"/>
        <v> </v>
      </c>
      <c r="L37" s="72" t="str">
        <f t="shared" si="3"/>
        <v> </v>
      </c>
      <c r="M37" s="38"/>
      <c r="N37" s="69">
        <f t="shared" si="4"/>
        <v>0</v>
      </c>
      <c r="O37" s="38" t="s">
        <v>30</v>
      </c>
      <c r="P37" s="38">
        <v>2018</v>
      </c>
    </row>
    <row r="38" spans="1:16" ht="14.25" customHeight="1" hidden="1">
      <c r="A38" s="38">
        <f t="shared" si="5"/>
        <v>31</v>
      </c>
      <c r="B38" s="310"/>
      <c r="C38" s="310"/>
      <c r="D38" s="185"/>
      <c r="E38" s="72"/>
      <c r="F38" s="72"/>
      <c r="G38" s="69">
        <f t="shared" si="0"/>
        <v>0</v>
      </c>
      <c r="H38" s="69"/>
      <c r="I38" s="69">
        <f t="shared" si="1"/>
        <v>0</v>
      </c>
      <c r="J38" s="94"/>
      <c r="K38" s="72" t="str">
        <f t="shared" si="2"/>
        <v> </v>
      </c>
      <c r="L38" s="72" t="str">
        <f t="shared" si="3"/>
        <v> </v>
      </c>
      <c r="M38" s="38"/>
      <c r="N38" s="69">
        <f t="shared" si="4"/>
        <v>0</v>
      </c>
      <c r="O38" s="38" t="s">
        <v>30</v>
      </c>
      <c r="P38" s="38">
        <v>2018</v>
      </c>
    </row>
    <row r="39" spans="1:16" ht="14.25" customHeight="1" hidden="1">
      <c r="A39" s="38">
        <f t="shared" si="5"/>
        <v>32</v>
      </c>
      <c r="B39" s="301"/>
      <c r="C39" s="301"/>
      <c r="D39" s="30"/>
      <c r="E39" s="38"/>
      <c r="F39" s="38"/>
      <c r="G39" s="69">
        <f t="shared" si="0"/>
        <v>0</v>
      </c>
      <c r="H39" s="69"/>
      <c r="I39" s="69">
        <f t="shared" si="1"/>
        <v>0</v>
      </c>
      <c r="J39" s="94"/>
      <c r="K39" s="72" t="str">
        <f t="shared" si="2"/>
        <v> </v>
      </c>
      <c r="L39" s="72" t="str">
        <f t="shared" si="3"/>
        <v> </v>
      </c>
      <c r="M39" s="38"/>
      <c r="N39" s="69">
        <f t="shared" si="4"/>
        <v>0</v>
      </c>
      <c r="O39" s="38" t="s">
        <v>30</v>
      </c>
      <c r="P39" s="38">
        <v>2018</v>
      </c>
    </row>
    <row r="40" spans="1:16" ht="14.25" customHeight="1" hidden="1">
      <c r="A40" s="38">
        <f t="shared" si="5"/>
        <v>33</v>
      </c>
      <c r="B40" s="301"/>
      <c r="C40" s="301"/>
      <c r="D40" s="30"/>
      <c r="E40" s="38"/>
      <c r="F40" s="38"/>
      <c r="G40" s="69">
        <f t="shared" si="0"/>
        <v>0</v>
      </c>
      <c r="H40" s="69"/>
      <c r="I40" s="69">
        <f t="shared" si="1"/>
        <v>0</v>
      </c>
      <c r="J40" s="94"/>
      <c r="K40" s="72" t="str">
        <f t="shared" si="2"/>
        <v> </v>
      </c>
      <c r="L40" s="72" t="str">
        <f t="shared" si="3"/>
        <v> </v>
      </c>
      <c r="M40" s="38"/>
      <c r="N40" s="69">
        <f t="shared" si="4"/>
        <v>0</v>
      </c>
      <c r="O40" s="38" t="s">
        <v>30</v>
      </c>
      <c r="P40" s="38">
        <v>2018</v>
      </c>
    </row>
    <row r="41" spans="1:16" ht="14.25" customHeight="1" hidden="1">
      <c r="A41" s="38">
        <f t="shared" si="5"/>
        <v>34</v>
      </c>
      <c r="B41" s="301"/>
      <c r="C41" s="301"/>
      <c r="D41" s="30"/>
      <c r="E41" s="38"/>
      <c r="F41" s="38"/>
      <c r="G41" s="69">
        <f>(F41+E41)/2</f>
        <v>0</v>
      </c>
      <c r="H41" s="38"/>
      <c r="I41" s="69">
        <f>(3*G41)+H41</f>
        <v>0</v>
      </c>
      <c r="J41" s="38"/>
      <c r="K41" s="38"/>
      <c r="L41" s="38"/>
      <c r="M41" s="38"/>
      <c r="N41" s="69">
        <f>IF(I41&gt;((J41+F41)/2)*3+M41,I41+M41,(((J41+F41)/2)*3)+M41)</f>
        <v>0</v>
      </c>
      <c r="O41" s="38" t="s">
        <v>30</v>
      </c>
      <c r="P41" s="38">
        <v>2018</v>
      </c>
    </row>
    <row r="42" ht="18">
      <c r="C42" s="264" t="s">
        <v>18</v>
      </c>
    </row>
    <row r="43" spans="1:11" ht="19.5" customHeight="1">
      <c r="A43" s="86" t="s">
        <v>0</v>
      </c>
      <c r="B43" s="308"/>
      <c r="C43" s="308"/>
      <c r="D43" s="87"/>
      <c r="E43" s="266"/>
      <c r="F43" s="8"/>
      <c r="G43" s="151"/>
      <c r="H43" s="151"/>
      <c r="I43" s="151"/>
      <c r="J43" s="271"/>
      <c r="K43" s="272" t="str">
        <f>K1</f>
        <v>السنة الثانية ماستر إقتصاد نقدي وبنكي </v>
      </c>
    </row>
    <row r="44" spans="1:14" ht="19.5" customHeight="1">
      <c r="A44" s="86" t="s">
        <v>2</v>
      </c>
      <c r="B44" s="308"/>
      <c r="C44" s="308"/>
      <c r="D44" s="87"/>
      <c r="E44" s="266"/>
      <c r="F44" s="271" t="s">
        <v>3</v>
      </c>
      <c r="G44" s="674" t="s">
        <v>490</v>
      </c>
      <c r="H44" s="668"/>
      <c r="I44" s="669"/>
      <c r="J44" s="670" t="s">
        <v>1</v>
      </c>
      <c r="K44" s="276"/>
      <c r="L44" s="271"/>
      <c r="M44" s="271"/>
      <c r="N44" s="271" t="str">
        <f>N2</f>
        <v>2017-2018</v>
      </c>
    </row>
    <row r="45" spans="1:14" ht="19.5" customHeight="1">
      <c r="A45" s="86" t="s">
        <v>4</v>
      </c>
      <c r="B45" s="308"/>
      <c r="C45" s="308"/>
      <c r="D45" s="87"/>
      <c r="E45" s="266"/>
      <c r="F45" s="271" t="s">
        <v>5</v>
      </c>
      <c r="G45" s="668">
        <v>2</v>
      </c>
      <c r="H45" s="668"/>
      <c r="I45" s="669" t="s">
        <v>86</v>
      </c>
      <c r="J45" s="668">
        <v>6</v>
      </c>
      <c r="K45" s="282"/>
      <c r="L45" s="271"/>
      <c r="M45" s="271"/>
      <c r="N45" s="271"/>
    </row>
    <row r="46" spans="1:14" ht="18">
      <c r="A46" s="93"/>
      <c r="B46" s="308"/>
      <c r="C46" s="308"/>
      <c r="D46" s="87"/>
      <c r="E46" s="266"/>
      <c r="F46" s="271" t="s">
        <v>6</v>
      </c>
      <c r="G46" s="674" t="s">
        <v>491</v>
      </c>
      <c r="H46" s="668"/>
      <c r="I46" s="669"/>
      <c r="J46" s="25"/>
      <c r="K46" s="275" t="s">
        <v>85</v>
      </c>
      <c r="L46" s="271"/>
      <c r="M46" s="271"/>
      <c r="N46" s="271"/>
    </row>
    <row r="47" spans="1:14" ht="22.5" customHeight="1">
      <c r="A47" s="93" t="s">
        <v>7</v>
      </c>
      <c r="B47" s="308">
        <f>B5</f>
        <v>2</v>
      </c>
      <c r="C47" s="308"/>
      <c r="D47" s="87"/>
      <c r="E47" s="267"/>
      <c r="F47" s="271"/>
      <c r="G47" s="278" t="s">
        <v>8</v>
      </c>
      <c r="H47" s="279"/>
      <c r="I47" s="277"/>
      <c r="J47" s="277"/>
      <c r="K47" s="271"/>
      <c r="L47" s="283" t="s">
        <v>114</v>
      </c>
      <c r="M47" s="271"/>
      <c r="N47" s="271"/>
    </row>
    <row r="48" spans="1:14" ht="18">
      <c r="A48" s="93"/>
      <c r="B48" s="308"/>
      <c r="C48" s="308"/>
      <c r="D48" s="87"/>
      <c r="E48" s="266"/>
      <c r="F48" s="271"/>
      <c r="G48" s="271"/>
      <c r="H48" s="271"/>
      <c r="I48" s="271"/>
      <c r="J48" s="271"/>
      <c r="K48" s="271"/>
      <c r="L48" s="271"/>
      <c r="M48" s="271"/>
      <c r="N48" s="271"/>
    </row>
    <row r="49" spans="1:14" ht="27.75" customHeight="1">
      <c r="A49" s="65" t="s">
        <v>9</v>
      </c>
      <c r="B49" s="299" t="s">
        <v>163</v>
      </c>
      <c r="C49" s="299" t="s">
        <v>164</v>
      </c>
      <c r="D49" s="66"/>
      <c r="E49" s="68" t="s">
        <v>17</v>
      </c>
      <c r="F49" s="88" t="s">
        <v>10</v>
      </c>
      <c r="G49" s="88" t="s">
        <v>11</v>
      </c>
      <c r="H49" s="66" t="s">
        <v>14</v>
      </c>
      <c r="I49" s="88" t="s">
        <v>16</v>
      </c>
      <c r="J49" s="88" t="s">
        <v>13</v>
      </c>
      <c r="K49" s="88" t="s">
        <v>12</v>
      </c>
      <c r="L49" s="88" t="s">
        <v>16</v>
      </c>
      <c r="M49" s="66" t="s">
        <v>14</v>
      </c>
      <c r="N49" s="88" t="s">
        <v>15</v>
      </c>
    </row>
    <row r="50" spans="1:16" ht="18">
      <c r="A50" s="70"/>
      <c r="B50" s="311"/>
      <c r="C50" s="311"/>
      <c r="D50" s="71"/>
      <c r="E50" s="89">
        <v>20</v>
      </c>
      <c r="F50" s="90">
        <v>20</v>
      </c>
      <c r="G50" s="90">
        <v>20</v>
      </c>
      <c r="H50" s="71" t="s">
        <v>30</v>
      </c>
      <c r="I50" s="90">
        <v>40</v>
      </c>
      <c r="J50" s="90">
        <v>20</v>
      </c>
      <c r="K50" s="90">
        <v>20</v>
      </c>
      <c r="L50" s="71">
        <v>40</v>
      </c>
      <c r="M50" s="71" t="s">
        <v>31</v>
      </c>
      <c r="N50" s="90"/>
      <c r="O50" s="141"/>
      <c r="P50" s="38"/>
    </row>
    <row r="51" spans="1:16" ht="17.25" customHeight="1">
      <c r="A51" s="30">
        <v>1</v>
      </c>
      <c r="B51" s="142" t="str">
        <f aca="true" t="shared" si="6" ref="B51:D82">IF(B8&gt;0,B8," ")</f>
        <v>الحاج </v>
      </c>
      <c r="C51" s="142" t="str">
        <f t="shared" si="6"/>
        <v>مروة</v>
      </c>
      <c r="D51" s="76" t="str">
        <f t="shared" si="6"/>
        <v> </v>
      </c>
      <c r="E51" s="72">
        <v>19</v>
      </c>
      <c r="F51" s="72">
        <v>18.5</v>
      </c>
      <c r="G51" s="69">
        <f>(F51+E51)/2</f>
        <v>18.75</v>
      </c>
      <c r="H51" s="69"/>
      <c r="I51" s="69">
        <f>(2*G51)+H51</f>
        <v>37.5</v>
      </c>
      <c r="J51" s="38"/>
      <c r="K51" s="72" t="str">
        <f>IF(J51&gt;0,(J51+F51)/2," ")</f>
        <v> </v>
      </c>
      <c r="L51" s="72" t="str">
        <f>IF(J51&gt;0,((J51+F51)/2)*2," ")</f>
        <v> </v>
      </c>
      <c r="M51" s="38"/>
      <c r="N51" s="69">
        <f>IF(I51&gt;((J51+F51)/2)*2+M51,I51+M51,(((J51+F51)/2)*2)+M51)</f>
        <v>37.5</v>
      </c>
      <c r="O51" s="38" t="s">
        <v>30</v>
      </c>
      <c r="P51" s="38">
        <v>2018</v>
      </c>
    </row>
    <row r="52" spans="1:16" ht="17.25" customHeight="1">
      <c r="A52" s="30">
        <v>2</v>
      </c>
      <c r="B52" s="142" t="str">
        <f t="shared" si="6"/>
        <v>العياشي </v>
      </c>
      <c r="C52" s="142" t="str">
        <f t="shared" si="6"/>
        <v>نوار</v>
      </c>
      <c r="D52" s="76" t="str">
        <f t="shared" si="6"/>
        <v> </v>
      </c>
      <c r="E52" s="72"/>
      <c r="F52" s="72">
        <v>10.5</v>
      </c>
      <c r="G52" s="69">
        <f aca="true" t="shared" si="7" ref="G52:G82">(F52+E52)/2</f>
        <v>5.25</v>
      </c>
      <c r="H52" s="69"/>
      <c r="I52" s="69">
        <f aca="true" t="shared" si="8" ref="I52:I82">(2*G52)+H52</f>
        <v>10.5</v>
      </c>
      <c r="J52" s="38"/>
      <c r="K52" s="72" t="str">
        <f aca="true" t="shared" si="9" ref="K52:K82">IF(J52&gt;0,(J52+F52)/2," ")</f>
        <v> </v>
      </c>
      <c r="L52" s="72" t="str">
        <f aca="true" t="shared" si="10" ref="L52:L82">IF(J52&gt;0,((J52+F52)/2)*2," ")</f>
        <v> </v>
      </c>
      <c r="M52" s="38"/>
      <c r="N52" s="69">
        <f aca="true" t="shared" si="11" ref="N52:N82">IF(I52&gt;((J52+F52)/2)*2+M52,I52+M52,(((J52+F52)/2)*2)+M52)</f>
        <v>10.5</v>
      </c>
      <c r="O52" s="38" t="s">
        <v>30</v>
      </c>
      <c r="P52" s="38">
        <v>2018</v>
      </c>
    </row>
    <row r="53" spans="1:16" ht="17.25" customHeight="1">
      <c r="A53" s="30">
        <v>3</v>
      </c>
      <c r="B53" s="142" t="str">
        <f t="shared" si="6"/>
        <v>باطح </v>
      </c>
      <c r="C53" s="142" t="str">
        <f t="shared" si="6"/>
        <v>محمد لمين</v>
      </c>
      <c r="D53" s="76" t="str">
        <f t="shared" si="6"/>
        <v> </v>
      </c>
      <c r="E53" s="72">
        <v>7.5</v>
      </c>
      <c r="F53" s="72">
        <v>15.5</v>
      </c>
      <c r="G53" s="69">
        <f t="shared" si="7"/>
        <v>11.5</v>
      </c>
      <c r="H53" s="69"/>
      <c r="I53" s="69">
        <f t="shared" si="8"/>
        <v>23</v>
      </c>
      <c r="J53" s="38"/>
      <c r="K53" s="72" t="str">
        <f t="shared" si="9"/>
        <v> </v>
      </c>
      <c r="L53" s="72" t="str">
        <f t="shared" si="10"/>
        <v> </v>
      </c>
      <c r="M53" s="38"/>
      <c r="N53" s="69">
        <f t="shared" si="11"/>
        <v>23</v>
      </c>
      <c r="O53" s="38" t="s">
        <v>30</v>
      </c>
      <c r="P53" s="38">
        <v>2018</v>
      </c>
    </row>
    <row r="54" spans="1:16" ht="17.25" customHeight="1">
      <c r="A54" s="30">
        <v>4</v>
      </c>
      <c r="B54" s="142" t="str">
        <f t="shared" si="6"/>
        <v>بوساحة </v>
      </c>
      <c r="C54" s="142" t="str">
        <f t="shared" si="6"/>
        <v>حسام الدين</v>
      </c>
      <c r="D54" s="76" t="str">
        <f t="shared" si="6"/>
        <v> </v>
      </c>
      <c r="E54" s="72">
        <v>0.5</v>
      </c>
      <c r="F54" s="72">
        <v>11</v>
      </c>
      <c r="G54" s="69">
        <f t="shared" si="7"/>
        <v>5.75</v>
      </c>
      <c r="H54" s="69"/>
      <c r="I54" s="69">
        <f t="shared" si="8"/>
        <v>11.5</v>
      </c>
      <c r="J54" s="38"/>
      <c r="K54" s="72" t="str">
        <f t="shared" si="9"/>
        <v> </v>
      </c>
      <c r="L54" s="72" t="str">
        <f t="shared" si="10"/>
        <v> </v>
      </c>
      <c r="M54" s="38"/>
      <c r="N54" s="69">
        <f t="shared" si="11"/>
        <v>11.5</v>
      </c>
      <c r="O54" s="38" t="s">
        <v>30</v>
      </c>
      <c r="P54" s="38">
        <v>2018</v>
      </c>
    </row>
    <row r="55" spans="1:16" ht="17.25" customHeight="1">
      <c r="A55" s="30">
        <v>5</v>
      </c>
      <c r="B55" s="142" t="str">
        <f t="shared" si="6"/>
        <v>بوسالم </v>
      </c>
      <c r="C55" s="142" t="str">
        <f t="shared" si="6"/>
        <v>محمد وليد</v>
      </c>
      <c r="D55" s="76" t="str">
        <f t="shared" si="6"/>
        <v> </v>
      </c>
      <c r="E55" s="72">
        <v>1.5</v>
      </c>
      <c r="F55" s="72">
        <v>13</v>
      </c>
      <c r="G55" s="69">
        <f t="shared" si="7"/>
        <v>7.25</v>
      </c>
      <c r="H55" s="69"/>
      <c r="I55" s="69">
        <f t="shared" si="8"/>
        <v>14.5</v>
      </c>
      <c r="J55" s="38"/>
      <c r="K55" s="72" t="str">
        <f t="shared" si="9"/>
        <v> </v>
      </c>
      <c r="L55" s="72" t="str">
        <f t="shared" si="10"/>
        <v> </v>
      </c>
      <c r="M55" s="38"/>
      <c r="N55" s="69">
        <f t="shared" si="11"/>
        <v>14.5</v>
      </c>
      <c r="O55" s="38" t="s">
        <v>30</v>
      </c>
      <c r="P55" s="38">
        <v>2018</v>
      </c>
    </row>
    <row r="56" spans="1:16" ht="17.25" customHeight="1">
      <c r="A56" s="30">
        <v>6</v>
      </c>
      <c r="B56" s="142" t="str">
        <f t="shared" si="6"/>
        <v>بوعروج </v>
      </c>
      <c r="C56" s="142" t="str">
        <f t="shared" si="6"/>
        <v>نسيمة</v>
      </c>
      <c r="D56" s="76" t="str">
        <f t="shared" si="6"/>
        <v> </v>
      </c>
      <c r="E56" s="72">
        <v>6</v>
      </c>
      <c r="F56" s="72">
        <v>13</v>
      </c>
      <c r="G56" s="69">
        <f t="shared" si="7"/>
        <v>9.5</v>
      </c>
      <c r="H56" s="69"/>
      <c r="I56" s="69">
        <f t="shared" si="8"/>
        <v>19</v>
      </c>
      <c r="J56" s="38"/>
      <c r="K56" s="72" t="str">
        <f t="shared" si="9"/>
        <v> </v>
      </c>
      <c r="L56" s="72" t="str">
        <f t="shared" si="10"/>
        <v> </v>
      </c>
      <c r="M56" s="38"/>
      <c r="N56" s="69">
        <f t="shared" si="11"/>
        <v>19</v>
      </c>
      <c r="O56" s="38" t="s">
        <v>30</v>
      </c>
      <c r="P56" s="38">
        <v>2018</v>
      </c>
    </row>
    <row r="57" spans="1:16" ht="17.25" customHeight="1">
      <c r="A57" s="30">
        <v>7</v>
      </c>
      <c r="B57" s="142" t="str">
        <f t="shared" si="6"/>
        <v>بولعيد </v>
      </c>
      <c r="C57" s="142" t="str">
        <f t="shared" si="6"/>
        <v>مريم</v>
      </c>
      <c r="D57" s="76" t="str">
        <f t="shared" si="6"/>
        <v> </v>
      </c>
      <c r="E57" s="72">
        <v>1</v>
      </c>
      <c r="F57" s="72">
        <v>11.5</v>
      </c>
      <c r="G57" s="69">
        <f t="shared" si="7"/>
        <v>6.25</v>
      </c>
      <c r="H57" s="69"/>
      <c r="I57" s="69">
        <f t="shared" si="8"/>
        <v>12.5</v>
      </c>
      <c r="J57" s="38"/>
      <c r="K57" s="72" t="str">
        <f t="shared" si="9"/>
        <v> </v>
      </c>
      <c r="L57" s="72" t="str">
        <f t="shared" si="10"/>
        <v> </v>
      </c>
      <c r="M57" s="38"/>
      <c r="N57" s="69">
        <f t="shared" si="11"/>
        <v>12.5</v>
      </c>
      <c r="O57" s="38" t="s">
        <v>30</v>
      </c>
      <c r="P57" s="38">
        <v>2018</v>
      </c>
    </row>
    <row r="58" spans="1:16" ht="17.25" customHeight="1">
      <c r="A58" s="30">
        <v>8</v>
      </c>
      <c r="B58" s="142" t="str">
        <f t="shared" si="6"/>
        <v>خاوة </v>
      </c>
      <c r="C58" s="142" t="str">
        <f t="shared" si="6"/>
        <v>أسماء</v>
      </c>
      <c r="D58" s="76" t="str">
        <f t="shared" si="6"/>
        <v> </v>
      </c>
      <c r="E58" s="72">
        <v>4</v>
      </c>
      <c r="F58" s="72">
        <v>12.5</v>
      </c>
      <c r="G58" s="69">
        <f t="shared" si="7"/>
        <v>8.25</v>
      </c>
      <c r="H58" s="69"/>
      <c r="I58" s="69">
        <f t="shared" si="8"/>
        <v>16.5</v>
      </c>
      <c r="J58" s="38"/>
      <c r="K58" s="72" t="str">
        <f t="shared" si="9"/>
        <v> </v>
      </c>
      <c r="L58" s="72" t="str">
        <f t="shared" si="10"/>
        <v> </v>
      </c>
      <c r="M58" s="38"/>
      <c r="N58" s="69">
        <f t="shared" si="11"/>
        <v>16.5</v>
      </c>
      <c r="O58" s="38" t="s">
        <v>30</v>
      </c>
      <c r="P58" s="38">
        <v>2018</v>
      </c>
    </row>
    <row r="59" spans="1:16" ht="17.25" customHeight="1">
      <c r="A59" s="30">
        <v>9</v>
      </c>
      <c r="B59" s="142" t="str">
        <f t="shared" si="6"/>
        <v>زغلاني </v>
      </c>
      <c r="C59" s="142" t="str">
        <f t="shared" si="6"/>
        <v>ساعد</v>
      </c>
      <c r="D59" s="76" t="str">
        <f t="shared" si="6"/>
        <v> </v>
      </c>
      <c r="E59" s="72">
        <v>1.5</v>
      </c>
      <c r="F59" s="72">
        <v>10.5</v>
      </c>
      <c r="G59" s="69">
        <f t="shared" si="7"/>
        <v>6</v>
      </c>
      <c r="H59" s="69"/>
      <c r="I59" s="69">
        <f t="shared" si="8"/>
        <v>12</v>
      </c>
      <c r="J59" s="38"/>
      <c r="K59" s="72" t="str">
        <f t="shared" si="9"/>
        <v> </v>
      </c>
      <c r="L59" s="72" t="str">
        <f t="shared" si="10"/>
        <v> </v>
      </c>
      <c r="M59" s="38"/>
      <c r="N59" s="69">
        <f t="shared" si="11"/>
        <v>12</v>
      </c>
      <c r="O59" s="38" t="s">
        <v>30</v>
      </c>
      <c r="P59" s="38">
        <v>2018</v>
      </c>
    </row>
    <row r="60" spans="1:16" ht="17.25" customHeight="1">
      <c r="A60" s="30">
        <v>10</v>
      </c>
      <c r="B60" s="142" t="str">
        <f t="shared" si="6"/>
        <v>زياني </v>
      </c>
      <c r="C60" s="142" t="str">
        <f t="shared" si="6"/>
        <v>أميرة</v>
      </c>
      <c r="D60" s="76" t="str">
        <f t="shared" si="6"/>
        <v> </v>
      </c>
      <c r="E60" s="72">
        <v>4</v>
      </c>
      <c r="F60" s="72">
        <v>13</v>
      </c>
      <c r="G60" s="69">
        <f t="shared" si="7"/>
        <v>8.5</v>
      </c>
      <c r="H60" s="69"/>
      <c r="I60" s="69">
        <f t="shared" si="8"/>
        <v>17</v>
      </c>
      <c r="J60" s="38"/>
      <c r="K60" s="72" t="str">
        <f t="shared" si="9"/>
        <v> </v>
      </c>
      <c r="L60" s="72" t="str">
        <f t="shared" si="10"/>
        <v> </v>
      </c>
      <c r="M60" s="38"/>
      <c r="N60" s="69">
        <f t="shared" si="11"/>
        <v>17</v>
      </c>
      <c r="O60" s="38" t="s">
        <v>30</v>
      </c>
      <c r="P60" s="38">
        <v>2018</v>
      </c>
    </row>
    <row r="61" spans="1:16" ht="17.25" customHeight="1">
      <c r="A61" s="30">
        <v>11</v>
      </c>
      <c r="B61" s="142" t="str">
        <f t="shared" si="6"/>
        <v>شلابي </v>
      </c>
      <c r="C61" s="142" t="str">
        <f t="shared" si="6"/>
        <v>هاجر</v>
      </c>
      <c r="D61" s="76" t="str">
        <f t="shared" si="6"/>
        <v> </v>
      </c>
      <c r="E61" s="72">
        <v>3</v>
      </c>
      <c r="F61" s="72">
        <v>17</v>
      </c>
      <c r="G61" s="69">
        <f t="shared" si="7"/>
        <v>10</v>
      </c>
      <c r="H61" s="69"/>
      <c r="I61" s="69">
        <f t="shared" si="8"/>
        <v>20</v>
      </c>
      <c r="J61" s="38"/>
      <c r="K61" s="72" t="str">
        <f t="shared" si="9"/>
        <v> </v>
      </c>
      <c r="L61" s="72" t="str">
        <f t="shared" si="10"/>
        <v> </v>
      </c>
      <c r="M61" s="38"/>
      <c r="N61" s="69">
        <f t="shared" si="11"/>
        <v>20</v>
      </c>
      <c r="O61" s="38" t="s">
        <v>30</v>
      </c>
      <c r="P61" s="38">
        <v>2018</v>
      </c>
    </row>
    <row r="62" spans="1:16" ht="17.25" customHeight="1">
      <c r="A62" s="30">
        <v>12</v>
      </c>
      <c r="B62" s="142" t="str">
        <f t="shared" si="6"/>
        <v>صولي </v>
      </c>
      <c r="C62" s="142" t="str">
        <f t="shared" si="6"/>
        <v>هشام</v>
      </c>
      <c r="D62" s="76" t="str">
        <f t="shared" si="6"/>
        <v> </v>
      </c>
      <c r="E62" s="72">
        <v>4</v>
      </c>
      <c r="F62" s="72">
        <v>12</v>
      </c>
      <c r="G62" s="69">
        <f t="shared" si="7"/>
        <v>8</v>
      </c>
      <c r="H62" s="69"/>
      <c r="I62" s="69">
        <f t="shared" si="8"/>
        <v>16</v>
      </c>
      <c r="J62" s="38"/>
      <c r="K62" s="72" t="str">
        <f t="shared" si="9"/>
        <v> </v>
      </c>
      <c r="L62" s="72" t="str">
        <f t="shared" si="10"/>
        <v> </v>
      </c>
      <c r="M62" s="38"/>
      <c r="N62" s="69">
        <f t="shared" si="11"/>
        <v>16</v>
      </c>
      <c r="O62" s="38" t="s">
        <v>30</v>
      </c>
      <c r="P62" s="38">
        <v>2018</v>
      </c>
    </row>
    <row r="63" spans="1:16" ht="17.25" customHeight="1">
      <c r="A63" s="30">
        <v>13</v>
      </c>
      <c r="B63" s="142" t="str">
        <f t="shared" si="6"/>
        <v>عطيل</v>
      </c>
      <c r="C63" s="142" t="str">
        <f t="shared" si="6"/>
        <v>آسيا</v>
      </c>
      <c r="D63" s="76" t="str">
        <f t="shared" si="6"/>
        <v> </v>
      </c>
      <c r="E63" s="72">
        <v>14</v>
      </c>
      <c r="F63" s="72">
        <v>17</v>
      </c>
      <c r="G63" s="69">
        <f t="shared" si="7"/>
        <v>15.5</v>
      </c>
      <c r="H63" s="69"/>
      <c r="I63" s="69">
        <f t="shared" si="8"/>
        <v>31</v>
      </c>
      <c r="J63" s="38"/>
      <c r="K63" s="72" t="str">
        <f t="shared" si="9"/>
        <v> </v>
      </c>
      <c r="L63" s="72" t="str">
        <f t="shared" si="10"/>
        <v> </v>
      </c>
      <c r="M63" s="38"/>
      <c r="N63" s="69">
        <f t="shared" si="11"/>
        <v>31</v>
      </c>
      <c r="O63" s="38" t="s">
        <v>30</v>
      </c>
      <c r="P63" s="38">
        <v>2018</v>
      </c>
    </row>
    <row r="64" spans="1:16" ht="17.25" customHeight="1">
      <c r="A64" s="30">
        <v>14</v>
      </c>
      <c r="B64" s="142" t="str">
        <f t="shared" si="6"/>
        <v>عيدود </v>
      </c>
      <c r="C64" s="142" t="str">
        <f t="shared" si="6"/>
        <v>صبرينة</v>
      </c>
      <c r="D64" s="76" t="str">
        <f t="shared" si="6"/>
        <v> </v>
      </c>
      <c r="E64" s="72">
        <v>2</v>
      </c>
      <c r="F64" s="72">
        <v>10</v>
      </c>
      <c r="G64" s="69">
        <f t="shared" si="7"/>
        <v>6</v>
      </c>
      <c r="H64" s="69"/>
      <c r="I64" s="69">
        <f t="shared" si="8"/>
        <v>12</v>
      </c>
      <c r="J64" s="38"/>
      <c r="K64" s="72" t="str">
        <f t="shared" si="9"/>
        <v> </v>
      </c>
      <c r="L64" s="72" t="str">
        <f t="shared" si="10"/>
        <v> </v>
      </c>
      <c r="M64" s="38"/>
      <c r="N64" s="69">
        <f t="shared" si="11"/>
        <v>12</v>
      </c>
      <c r="O64" s="38" t="s">
        <v>30</v>
      </c>
      <c r="P64" s="38">
        <v>2018</v>
      </c>
    </row>
    <row r="65" spans="1:16" ht="17.25" customHeight="1">
      <c r="A65" s="30">
        <v>15</v>
      </c>
      <c r="B65" s="142" t="str">
        <f t="shared" si="6"/>
        <v>قايدي </v>
      </c>
      <c r="C65" s="142" t="str">
        <f t="shared" si="6"/>
        <v>مريم</v>
      </c>
      <c r="D65" s="76" t="str">
        <f t="shared" si="6"/>
        <v> </v>
      </c>
      <c r="E65" s="72">
        <v>11</v>
      </c>
      <c r="F65" s="72">
        <v>14.5</v>
      </c>
      <c r="G65" s="69">
        <f t="shared" si="7"/>
        <v>12.75</v>
      </c>
      <c r="H65" s="69"/>
      <c r="I65" s="69">
        <f t="shared" si="8"/>
        <v>25.5</v>
      </c>
      <c r="J65" s="38"/>
      <c r="K65" s="72" t="str">
        <f t="shared" si="9"/>
        <v> </v>
      </c>
      <c r="L65" s="72" t="str">
        <f t="shared" si="10"/>
        <v> </v>
      </c>
      <c r="M65" s="38"/>
      <c r="N65" s="69">
        <f t="shared" si="11"/>
        <v>25.5</v>
      </c>
      <c r="O65" s="38" t="s">
        <v>30</v>
      </c>
      <c r="P65" s="38">
        <v>2018</v>
      </c>
    </row>
    <row r="66" spans="1:16" ht="17.25" customHeight="1">
      <c r="A66" s="30">
        <v>16</v>
      </c>
      <c r="B66" s="142" t="str">
        <f t="shared" si="6"/>
        <v>قرايفية </v>
      </c>
      <c r="C66" s="142" t="str">
        <f t="shared" si="6"/>
        <v>فؤاد</v>
      </c>
      <c r="D66" s="76" t="str">
        <f t="shared" si="6"/>
        <v> </v>
      </c>
      <c r="E66" s="72">
        <v>3</v>
      </c>
      <c r="F66" s="72">
        <v>11</v>
      </c>
      <c r="G66" s="69">
        <f t="shared" si="7"/>
        <v>7</v>
      </c>
      <c r="H66" s="69"/>
      <c r="I66" s="69">
        <f t="shared" si="8"/>
        <v>14</v>
      </c>
      <c r="J66" s="38"/>
      <c r="K66" s="72" t="str">
        <f t="shared" si="9"/>
        <v> </v>
      </c>
      <c r="L66" s="72" t="str">
        <f t="shared" si="10"/>
        <v> </v>
      </c>
      <c r="M66" s="38"/>
      <c r="N66" s="69">
        <f t="shared" si="11"/>
        <v>14</v>
      </c>
      <c r="O66" s="38" t="s">
        <v>30</v>
      </c>
      <c r="P66" s="38">
        <v>2018</v>
      </c>
    </row>
    <row r="67" spans="1:16" ht="17.25" customHeight="1">
      <c r="A67" s="30">
        <v>17</v>
      </c>
      <c r="B67" s="142" t="str">
        <f t="shared" si="6"/>
        <v>قوادرية</v>
      </c>
      <c r="C67" s="142" t="str">
        <f t="shared" si="6"/>
        <v>مريم</v>
      </c>
      <c r="D67" s="76" t="str">
        <f t="shared" si="6"/>
        <v> </v>
      </c>
      <c r="E67" s="72">
        <v>16.5</v>
      </c>
      <c r="F67" s="72">
        <v>18.5</v>
      </c>
      <c r="G67" s="69">
        <f t="shared" si="7"/>
        <v>17.5</v>
      </c>
      <c r="H67" s="69"/>
      <c r="I67" s="69">
        <f t="shared" si="8"/>
        <v>35</v>
      </c>
      <c r="J67" s="38"/>
      <c r="K67" s="72" t="str">
        <f t="shared" si="9"/>
        <v> </v>
      </c>
      <c r="L67" s="72" t="str">
        <f t="shared" si="10"/>
        <v> </v>
      </c>
      <c r="M67" s="38"/>
      <c r="N67" s="69">
        <f t="shared" si="11"/>
        <v>35</v>
      </c>
      <c r="O67" s="38" t="s">
        <v>30</v>
      </c>
      <c r="P67" s="38">
        <v>2018</v>
      </c>
    </row>
    <row r="68" spans="1:16" ht="17.25" customHeight="1">
      <c r="A68" s="30">
        <v>18</v>
      </c>
      <c r="B68" s="142" t="str">
        <f t="shared" si="6"/>
        <v>محفوظ </v>
      </c>
      <c r="C68" s="142" t="str">
        <f t="shared" si="6"/>
        <v>بشرى</v>
      </c>
      <c r="D68" s="76" t="str">
        <f t="shared" si="6"/>
        <v> </v>
      </c>
      <c r="E68" s="72">
        <v>19</v>
      </c>
      <c r="F68" s="72">
        <v>17.75</v>
      </c>
      <c r="G68" s="69">
        <f t="shared" si="7"/>
        <v>18.375</v>
      </c>
      <c r="H68" s="69"/>
      <c r="I68" s="69">
        <f t="shared" si="8"/>
        <v>36.75</v>
      </c>
      <c r="J68" s="38"/>
      <c r="K68" s="72" t="str">
        <f t="shared" si="9"/>
        <v> </v>
      </c>
      <c r="L68" s="72" t="str">
        <f t="shared" si="10"/>
        <v> </v>
      </c>
      <c r="M68" s="38"/>
      <c r="N68" s="69">
        <f t="shared" si="11"/>
        <v>36.75</v>
      </c>
      <c r="O68" s="38" t="s">
        <v>30</v>
      </c>
      <c r="P68" s="38">
        <v>2018</v>
      </c>
    </row>
    <row r="69" spans="1:16" ht="17.25" customHeight="1">
      <c r="A69" s="30">
        <v>19</v>
      </c>
      <c r="B69" s="142" t="str">
        <f t="shared" si="6"/>
        <v>مسطوري </v>
      </c>
      <c r="C69" s="142" t="str">
        <f t="shared" si="6"/>
        <v>سارة</v>
      </c>
      <c r="D69" s="76" t="str">
        <f t="shared" si="6"/>
        <v> </v>
      </c>
      <c r="E69" s="72">
        <v>0.5</v>
      </c>
      <c r="F69" s="72">
        <v>12</v>
      </c>
      <c r="G69" s="69">
        <f t="shared" si="7"/>
        <v>6.25</v>
      </c>
      <c r="H69" s="69"/>
      <c r="I69" s="69">
        <f t="shared" si="8"/>
        <v>12.5</v>
      </c>
      <c r="J69" s="38"/>
      <c r="K69" s="72" t="str">
        <f t="shared" si="9"/>
        <v> </v>
      </c>
      <c r="L69" s="72" t="str">
        <f t="shared" si="10"/>
        <v> </v>
      </c>
      <c r="M69" s="38"/>
      <c r="N69" s="69">
        <f t="shared" si="11"/>
        <v>12.5</v>
      </c>
      <c r="O69" s="38" t="s">
        <v>30</v>
      </c>
      <c r="P69" s="38">
        <v>2018</v>
      </c>
    </row>
    <row r="70" spans="1:16" ht="17.25" customHeight="1">
      <c r="A70" s="30">
        <v>20</v>
      </c>
      <c r="B70" s="142" t="str">
        <f t="shared" si="6"/>
        <v>هداف </v>
      </c>
      <c r="C70" s="142" t="str">
        <f t="shared" si="6"/>
        <v>حياة</v>
      </c>
      <c r="D70" s="76" t="str">
        <f t="shared" si="6"/>
        <v> </v>
      </c>
      <c r="E70" s="72">
        <v>11.25</v>
      </c>
      <c r="F70" s="72">
        <v>14.5</v>
      </c>
      <c r="G70" s="69">
        <f t="shared" si="7"/>
        <v>12.875</v>
      </c>
      <c r="H70" s="69"/>
      <c r="I70" s="69">
        <f t="shared" si="8"/>
        <v>25.75</v>
      </c>
      <c r="J70" s="38"/>
      <c r="K70" s="72" t="str">
        <f t="shared" si="9"/>
        <v> </v>
      </c>
      <c r="L70" s="72" t="str">
        <f t="shared" si="10"/>
        <v> </v>
      </c>
      <c r="M70" s="38"/>
      <c r="N70" s="69">
        <f t="shared" si="11"/>
        <v>25.75</v>
      </c>
      <c r="O70" s="38" t="s">
        <v>30</v>
      </c>
      <c r="P70" s="38">
        <v>2018</v>
      </c>
    </row>
    <row r="71" spans="1:16" ht="17.25" customHeight="1">
      <c r="A71" s="30">
        <v>21</v>
      </c>
      <c r="B71" s="142" t="str">
        <f t="shared" si="6"/>
        <v> </v>
      </c>
      <c r="C71" s="142" t="str">
        <f t="shared" si="6"/>
        <v> </v>
      </c>
      <c r="D71" s="76" t="str">
        <f t="shared" si="6"/>
        <v> </v>
      </c>
      <c r="E71" s="72"/>
      <c r="F71" s="72"/>
      <c r="G71" s="69">
        <f t="shared" si="7"/>
        <v>0</v>
      </c>
      <c r="H71" s="69"/>
      <c r="I71" s="69">
        <f t="shared" si="8"/>
        <v>0</v>
      </c>
      <c r="J71" s="38"/>
      <c r="K71" s="72" t="str">
        <f t="shared" si="9"/>
        <v> </v>
      </c>
      <c r="L71" s="72" t="str">
        <f t="shared" si="10"/>
        <v> </v>
      </c>
      <c r="M71" s="38"/>
      <c r="N71" s="69">
        <f t="shared" si="11"/>
        <v>0</v>
      </c>
      <c r="O71" s="38" t="s">
        <v>30</v>
      </c>
      <c r="P71" s="38">
        <v>2018</v>
      </c>
    </row>
    <row r="72" spans="1:18" ht="17.25" customHeight="1">
      <c r="A72" s="30">
        <v>22</v>
      </c>
      <c r="B72" s="142" t="str">
        <f t="shared" si="6"/>
        <v> </v>
      </c>
      <c r="C72" s="142" t="str">
        <f t="shared" si="6"/>
        <v> </v>
      </c>
      <c r="D72" s="76" t="str">
        <f t="shared" si="6"/>
        <v> </v>
      </c>
      <c r="E72" s="72"/>
      <c r="F72" s="72"/>
      <c r="G72" s="69">
        <f t="shared" si="7"/>
        <v>0</v>
      </c>
      <c r="H72" s="69"/>
      <c r="I72" s="69">
        <f t="shared" si="8"/>
        <v>0</v>
      </c>
      <c r="J72" s="38"/>
      <c r="K72" s="72" t="str">
        <f t="shared" si="9"/>
        <v> </v>
      </c>
      <c r="L72" s="72" t="str">
        <f t="shared" si="10"/>
        <v> </v>
      </c>
      <c r="M72" s="38"/>
      <c r="N72" s="69">
        <f t="shared" si="11"/>
        <v>0</v>
      </c>
      <c r="O72" s="38" t="s">
        <v>30</v>
      </c>
      <c r="P72" s="38">
        <v>2018</v>
      </c>
      <c r="Q72" s="52"/>
      <c r="R72" s="52"/>
    </row>
    <row r="73" spans="1:16" ht="17.25" customHeight="1">
      <c r="A73" s="30">
        <v>23</v>
      </c>
      <c r="B73" s="142" t="str">
        <f t="shared" si="6"/>
        <v> </v>
      </c>
      <c r="C73" s="142" t="str">
        <f t="shared" si="6"/>
        <v> </v>
      </c>
      <c r="D73" s="76" t="str">
        <f t="shared" si="6"/>
        <v> </v>
      </c>
      <c r="E73" s="72"/>
      <c r="F73" s="72"/>
      <c r="G73" s="69">
        <f t="shared" si="7"/>
        <v>0</v>
      </c>
      <c r="H73" s="69"/>
      <c r="I73" s="69">
        <f t="shared" si="8"/>
        <v>0</v>
      </c>
      <c r="J73" s="38"/>
      <c r="K73" s="72" t="str">
        <f t="shared" si="9"/>
        <v> </v>
      </c>
      <c r="L73" s="72" t="str">
        <f t="shared" si="10"/>
        <v> </v>
      </c>
      <c r="M73" s="38"/>
      <c r="N73" s="69">
        <f t="shared" si="11"/>
        <v>0</v>
      </c>
      <c r="O73" s="38" t="s">
        <v>30</v>
      </c>
      <c r="P73" s="38">
        <v>2018</v>
      </c>
    </row>
    <row r="74" spans="1:16" ht="17.25" customHeight="1">
      <c r="A74" s="30">
        <v>24</v>
      </c>
      <c r="B74" s="142" t="str">
        <f t="shared" si="6"/>
        <v> </v>
      </c>
      <c r="C74" s="142" t="str">
        <f t="shared" si="6"/>
        <v> </v>
      </c>
      <c r="D74" s="76" t="str">
        <f t="shared" si="6"/>
        <v> </v>
      </c>
      <c r="E74" s="72"/>
      <c r="F74" s="72"/>
      <c r="G74" s="69">
        <f t="shared" si="7"/>
        <v>0</v>
      </c>
      <c r="H74" s="69"/>
      <c r="I74" s="69">
        <f t="shared" si="8"/>
        <v>0</v>
      </c>
      <c r="J74" s="38"/>
      <c r="K74" s="72" t="str">
        <f t="shared" si="9"/>
        <v> </v>
      </c>
      <c r="L74" s="72" t="str">
        <f t="shared" si="10"/>
        <v> </v>
      </c>
      <c r="M74" s="38"/>
      <c r="N74" s="69">
        <f t="shared" si="11"/>
        <v>0</v>
      </c>
      <c r="O74" s="38" t="s">
        <v>30</v>
      </c>
      <c r="P74" s="38">
        <v>2018</v>
      </c>
    </row>
    <row r="75" spans="1:16" ht="17.25" customHeight="1">
      <c r="A75" s="30">
        <v>25</v>
      </c>
      <c r="B75" s="142" t="str">
        <f t="shared" si="6"/>
        <v> </v>
      </c>
      <c r="C75" s="142" t="str">
        <f t="shared" si="6"/>
        <v> </v>
      </c>
      <c r="D75" s="76" t="str">
        <f t="shared" si="6"/>
        <v> </v>
      </c>
      <c r="E75" s="72"/>
      <c r="F75" s="72"/>
      <c r="G75" s="69">
        <f t="shared" si="7"/>
        <v>0</v>
      </c>
      <c r="H75" s="69"/>
      <c r="I75" s="69">
        <f t="shared" si="8"/>
        <v>0</v>
      </c>
      <c r="J75" s="38"/>
      <c r="K75" s="72" t="str">
        <f t="shared" si="9"/>
        <v> </v>
      </c>
      <c r="L75" s="72" t="str">
        <f t="shared" si="10"/>
        <v> </v>
      </c>
      <c r="M75" s="38"/>
      <c r="N75" s="69">
        <f t="shared" si="11"/>
        <v>0</v>
      </c>
      <c r="O75" s="38" t="s">
        <v>30</v>
      </c>
      <c r="P75" s="38">
        <v>2018</v>
      </c>
    </row>
    <row r="76" spans="1:16" ht="17.25" customHeight="1">
      <c r="A76" s="30">
        <v>26</v>
      </c>
      <c r="B76" s="142" t="str">
        <f t="shared" si="6"/>
        <v> </v>
      </c>
      <c r="C76" s="142" t="str">
        <f t="shared" si="6"/>
        <v> </v>
      </c>
      <c r="D76" s="76" t="str">
        <f t="shared" si="6"/>
        <v> </v>
      </c>
      <c r="E76" s="72"/>
      <c r="F76" s="72"/>
      <c r="G76" s="69">
        <f t="shared" si="7"/>
        <v>0</v>
      </c>
      <c r="H76" s="69"/>
      <c r="I76" s="69">
        <f t="shared" si="8"/>
        <v>0</v>
      </c>
      <c r="J76" s="38"/>
      <c r="K76" s="72" t="str">
        <f t="shared" si="9"/>
        <v> </v>
      </c>
      <c r="L76" s="72" t="str">
        <f t="shared" si="10"/>
        <v> </v>
      </c>
      <c r="M76" s="38"/>
      <c r="N76" s="69">
        <f t="shared" si="11"/>
        <v>0</v>
      </c>
      <c r="O76" s="38" t="s">
        <v>30</v>
      </c>
      <c r="P76" s="38">
        <v>2018</v>
      </c>
    </row>
    <row r="77" spans="1:16" ht="17.25" customHeight="1">
      <c r="A77" s="30">
        <v>27</v>
      </c>
      <c r="B77" s="142" t="str">
        <f t="shared" si="6"/>
        <v> </v>
      </c>
      <c r="C77" s="142" t="str">
        <f t="shared" si="6"/>
        <v> </v>
      </c>
      <c r="D77" s="76" t="str">
        <f t="shared" si="6"/>
        <v> </v>
      </c>
      <c r="E77" s="72"/>
      <c r="F77" s="72"/>
      <c r="G77" s="69">
        <f t="shared" si="7"/>
        <v>0</v>
      </c>
      <c r="H77" s="69"/>
      <c r="I77" s="69">
        <f t="shared" si="8"/>
        <v>0</v>
      </c>
      <c r="J77" s="38"/>
      <c r="K77" s="72" t="str">
        <f t="shared" si="9"/>
        <v> </v>
      </c>
      <c r="L77" s="72" t="str">
        <f t="shared" si="10"/>
        <v> </v>
      </c>
      <c r="M77" s="38"/>
      <c r="N77" s="69">
        <f t="shared" si="11"/>
        <v>0</v>
      </c>
      <c r="O77" s="38" t="s">
        <v>30</v>
      </c>
      <c r="P77" s="38">
        <v>2018</v>
      </c>
    </row>
    <row r="78" spans="1:16" ht="17.25" customHeight="1">
      <c r="A78" s="30">
        <v>28</v>
      </c>
      <c r="B78" s="142" t="str">
        <f t="shared" si="6"/>
        <v> </v>
      </c>
      <c r="C78" s="142" t="str">
        <f t="shared" si="6"/>
        <v> </v>
      </c>
      <c r="D78" s="76" t="str">
        <f t="shared" si="6"/>
        <v> </v>
      </c>
      <c r="E78" s="72"/>
      <c r="F78" s="72"/>
      <c r="G78" s="69">
        <f t="shared" si="7"/>
        <v>0</v>
      </c>
      <c r="H78" s="69"/>
      <c r="I78" s="69">
        <f t="shared" si="8"/>
        <v>0</v>
      </c>
      <c r="J78" s="38"/>
      <c r="K78" s="72" t="str">
        <f t="shared" si="9"/>
        <v> </v>
      </c>
      <c r="L78" s="72" t="str">
        <f t="shared" si="10"/>
        <v> </v>
      </c>
      <c r="M78" s="38"/>
      <c r="N78" s="69">
        <f t="shared" si="11"/>
        <v>0</v>
      </c>
      <c r="O78" s="38" t="s">
        <v>30</v>
      </c>
      <c r="P78" s="38">
        <v>2018</v>
      </c>
    </row>
    <row r="79" spans="1:16" ht="17.25" customHeight="1">
      <c r="A79" s="30">
        <v>29</v>
      </c>
      <c r="B79" s="142" t="str">
        <f t="shared" si="6"/>
        <v> </v>
      </c>
      <c r="C79" s="142" t="str">
        <f t="shared" si="6"/>
        <v> </v>
      </c>
      <c r="D79" s="76" t="str">
        <f t="shared" si="6"/>
        <v> </v>
      </c>
      <c r="E79" s="72"/>
      <c r="F79" s="72"/>
      <c r="G79" s="69">
        <f t="shared" si="7"/>
        <v>0</v>
      </c>
      <c r="H79" s="69"/>
      <c r="I79" s="69">
        <f t="shared" si="8"/>
        <v>0</v>
      </c>
      <c r="J79" s="38"/>
      <c r="K79" s="72" t="str">
        <f t="shared" si="9"/>
        <v> </v>
      </c>
      <c r="L79" s="72" t="str">
        <f t="shared" si="10"/>
        <v> </v>
      </c>
      <c r="M79" s="38"/>
      <c r="N79" s="69">
        <f t="shared" si="11"/>
        <v>0</v>
      </c>
      <c r="O79" s="38" t="s">
        <v>30</v>
      </c>
      <c r="P79" s="38">
        <v>2018</v>
      </c>
    </row>
    <row r="80" spans="1:16" ht="17.25" customHeight="1">
      <c r="A80" s="30">
        <v>30</v>
      </c>
      <c r="B80" s="142" t="str">
        <f t="shared" si="6"/>
        <v> </v>
      </c>
      <c r="C80" s="142" t="str">
        <f t="shared" si="6"/>
        <v> </v>
      </c>
      <c r="D80" s="76" t="str">
        <f t="shared" si="6"/>
        <v> </v>
      </c>
      <c r="E80" s="72"/>
      <c r="F80" s="72"/>
      <c r="G80" s="69">
        <f t="shared" si="7"/>
        <v>0</v>
      </c>
      <c r="H80" s="69"/>
      <c r="I80" s="69">
        <f t="shared" si="8"/>
        <v>0</v>
      </c>
      <c r="J80" s="38"/>
      <c r="K80" s="72" t="str">
        <f t="shared" si="9"/>
        <v> </v>
      </c>
      <c r="L80" s="72" t="str">
        <f t="shared" si="10"/>
        <v> </v>
      </c>
      <c r="M80" s="38"/>
      <c r="N80" s="69">
        <f t="shared" si="11"/>
        <v>0</v>
      </c>
      <c r="O80" s="38" t="s">
        <v>30</v>
      </c>
      <c r="P80" s="38">
        <v>2018</v>
      </c>
    </row>
    <row r="81" spans="1:16" ht="17.25" customHeight="1" hidden="1">
      <c r="A81" s="30">
        <v>31</v>
      </c>
      <c r="B81" s="142" t="str">
        <f t="shared" si="6"/>
        <v> </v>
      </c>
      <c r="C81" s="142" t="str">
        <f t="shared" si="6"/>
        <v> </v>
      </c>
      <c r="D81" s="76" t="str">
        <f t="shared" si="6"/>
        <v> </v>
      </c>
      <c r="E81" s="72"/>
      <c r="F81" s="72"/>
      <c r="G81" s="69">
        <f t="shared" si="7"/>
        <v>0</v>
      </c>
      <c r="H81" s="69"/>
      <c r="I81" s="69">
        <f t="shared" si="8"/>
        <v>0</v>
      </c>
      <c r="J81" s="38"/>
      <c r="K81" s="72" t="str">
        <f t="shared" si="9"/>
        <v> </v>
      </c>
      <c r="L81" s="72" t="str">
        <f t="shared" si="10"/>
        <v> </v>
      </c>
      <c r="M81" s="38"/>
      <c r="N81" s="69">
        <f t="shared" si="11"/>
        <v>0</v>
      </c>
      <c r="O81" s="38" t="s">
        <v>30</v>
      </c>
      <c r="P81" s="38">
        <v>2018</v>
      </c>
    </row>
    <row r="82" spans="1:16" ht="17.25" customHeight="1" hidden="1">
      <c r="A82" s="30">
        <v>32</v>
      </c>
      <c r="B82" s="142" t="str">
        <f t="shared" si="6"/>
        <v> </v>
      </c>
      <c r="C82" s="142" t="str">
        <f t="shared" si="6"/>
        <v> </v>
      </c>
      <c r="D82" s="76" t="str">
        <f t="shared" si="6"/>
        <v> </v>
      </c>
      <c r="E82" s="72"/>
      <c r="F82" s="72"/>
      <c r="G82" s="69">
        <f t="shared" si="7"/>
        <v>0</v>
      </c>
      <c r="H82" s="69"/>
      <c r="I82" s="69">
        <f t="shared" si="8"/>
        <v>0</v>
      </c>
      <c r="J82" s="38"/>
      <c r="K82" s="72" t="str">
        <f t="shared" si="9"/>
        <v> </v>
      </c>
      <c r="L82" s="72" t="str">
        <f t="shared" si="10"/>
        <v> </v>
      </c>
      <c r="M82" s="38"/>
      <c r="N82" s="69">
        <f t="shared" si="11"/>
        <v>0</v>
      </c>
      <c r="O82" s="38" t="s">
        <v>30</v>
      </c>
      <c r="P82" s="38">
        <v>2018</v>
      </c>
    </row>
    <row r="83" spans="15:16" ht="18">
      <c r="O83" s="38" t="s">
        <v>30</v>
      </c>
      <c r="P83" s="38">
        <v>2018</v>
      </c>
    </row>
    <row r="84" spans="2:16" ht="18">
      <c r="B84" s="19"/>
      <c r="C84" s="264" t="s">
        <v>18</v>
      </c>
      <c r="O84" s="38" t="s">
        <v>30</v>
      </c>
      <c r="P84" s="38">
        <v>2018</v>
      </c>
    </row>
    <row r="85" spans="2:16" ht="18">
      <c r="B85" s="19"/>
      <c r="C85" s="264"/>
      <c r="P85" s="297"/>
    </row>
    <row r="86" spans="2:16" ht="18">
      <c r="B86" s="19"/>
      <c r="C86" s="264"/>
      <c r="P86" s="297"/>
    </row>
    <row r="87" spans="1:14" ht="24" customHeight="1">
      <c r="A87" s="86" t="s">
        <v>0</v>
      </c>
      <c r="B87" s="308"/>
      <c r="C87" s="308"/>
      <c r="D87" s="87"/>
      <c r="E87" s="266"/>
      <c r="F87" s="8"/>
      <c r="G87" s="284"/>
      <c r="H87" s="284"/>
      <c r="I87" s="284"/>
      <c r="J87" s="277"/>
      <c r="K87" s="276" t="str">
        <f>K1</f>
        <v>السنة الثانية ماستر إقتصاد نقدي وبنكي </v>
      </c>
      <c r="N87" s="271"/>
    </row>
    <row r="88" spans="1:14" ht="24" customHeight="1">
      <c r="A88" s="86" t="s">
        <v>2</v>
      </c>
      <c r="B88" s="308"/>
      <c r="C88" s="308"/>
      <c r="D88" s="87"/>
      <c r="E88" s="266"/>
      <c r="F88" s="271" t="s">
        <v>3</v>
      </c>
      <c r="G88" s="674" t="s">
        <v>492</v>
      </c>
      <c r="H88" s="668"/>
      <c r="I88" s="275"/>
      <c r="J88" s="275"/>
      <c r="K88" s="276" t="s">
        <v>1</v>
      </c>
      <c r="L88" s="271"/>
      <c r="M88" s="271"/>
      <c r="N88" s="271" t="str">
        <f>N2</f>
        <v>2017-2018</v>
      </c>
    </row>
    <row r="89" spans="1:14" ht="24" customHeight="1">
      <c r="A89" s="86" t="s">
        <v>4</v>
      </c>
      <c r="B89" s="308"/>
      <c r="C89" s="308"/>
      <c r="D89" s="87"/>
      <c r="E89" s="266"/>
      <c r="F89" s="271" t="s">
        <v>5</v>
      </c>
      <c r="G89" s="668">
        <v>2</v>
      </c>
      <c r="H89" s="668"/>
      <c r="I89" s="275" t="s">
        <v>39</v>
      </c>
      <c r="J89" s="274">
        <v>5</v>
      </c>
      <c r="K89" s="271"/>
      <c r="L89" s="271"/>
      <c r="M89" s="271"/>
      <c r="N89" s="271"/>
    </row>
    <row r="90" spans="1:14" ht="18">
      <c r="A90" s="93"/>
      <c r="B90" s="308"/>
      <c r="C90" s="308"/>
      <c r="D90" s="87"/>
      <c r="E90" s="266"/>
      <c r="F90" s="271" t="s">
        <v>6</v>
      </c>
      <c r="G90" s="674" t="s">
        <v>493</v>
      </c>
      <c r="H90" s="668"/>
      <c r="I90" s="275"/>
      <c r="K90" s="275" t="s">
        <v>85</v>
      </c>
      <c r="L90" s="271"/>
      <c r="M90" s="271"/>
      <c r="N90" s="271"/>
    </row>
    <row r="91" spans="1:14" ht="24" customHeight="1">
      <c r="A91" s="93" t="s">
        <v>7</v>
      </c>
      <c r="B91" s="308">
        <f>B5</f>
        <v>2</v>
      </c>
      <c r="C91" s="308"/>
      <c r="D91" s="87"/>
      <c r="E91" s="267"/>
      <c r="F91" s="271"/>
      <c r="G91" s="285" t="s">
        <v>8</v>
      </c>
      <c r="H91" s="280"/>
      <c r="I91" s="271"/>
      <c r="J91" s="271"/>
      <c r="K91" s="271"/>
      <c r="L91" s="283" t="s">
        <v>114</v>
      </c>
      <c r="M91" s="271"/>
      <c r="N91" s="271"/>
    </row>
    <row r="92" spans="1:14" ht="27.75" customHeight="1">
      <c r="A92" s="65" t="s">
        <v>9</v>
      </c>
      <c r="B92" s="299" t="s">
        <v>163</v>
      </c>
      <c r="C92" s="299" t="s">
        <v>164</v>
      </c>
      <c r="D92" s="66"/>
      <c r="E92" s="68" t="s">
        <v>17</v>
      </c>
      <c r="F92" s="88" t="s">
        <v>10</v>
      </c>
      <c r="G92" s="88" t="s">
        <v>11</v>
      </c>
      <c r="H92" s="66" t="s">
        <v>14</v>
      </c>
      <c r="I92" s="88" t="s">
        <v>16</v>
      </c>
      <c r="J92" s="88" t="s">
        <v>13</v>
      </c>
      <c r="K92" s="88" t="s">
        <v>12</v>
      </c>
      <c r="L92" s="88" t="s">
        <v>16</v>
      </c>
      <c r="M92" s="66" t="s">
        <v>14</v>
      </c>
      <c r="N92" s="700" t="s">
        <v>15</v>
      </c>
    </row>
    <row r="93" spans="1:16" ht="18">
      <c r="A93" s="70"/>
      <c r="B93" s="311"/>
      <c r="C93" s="311"/>
      <c r="D93" s="71"/>
      <c r="E93" s="89">
        <v>20</v>
      </c>
      <c r="F93" s="90">
        <v>20</v>
      </c>
      <c r="G93" s="90">
        <v>20</v>
      </c>
      <c r="H93" s="71" t="s">
        <v>30</v>
      </c>
      <c r="I93" s="90">
        <v>40</v>
      </c>
      <c r="J93" s="90">
        <v>20</v>
      </c>
      <c r="K93" s="90">
        <v>20</v>
      </c>
      <c r="L93" s="71">
        <v>40</v>
      </c>
      <c r="M93" s="71" t="s">
        <v>31</v>
      </c>
      <c r="N93" s="701"/>
      <c r="O93" s="141"/>
      <c r="P93" s="38"/>
    </row>
    <row r="94" spans="1:16" ht="17.25" customHeight="1">
      <c r="A94" s="30">
        <v>1</v>
      </c>
      <c r="B94" s="142" t="str">
        <f aca="true" t="shared" si="12" ref="B94:D125">IF(B8&gt;0,B8," ")</f>
        <v>الحاج </v>
      </c>
      <c r="C94" s="142" t="str">
        <f t="shared" si="12"/>
        <v>مروة</v>
      </c>
      <c r="D94" s="76" t="str">
        <f t="shared" si="12"/>
        <v> </v>
      </c>
      <c r="E94" s="72">
        <v>16</v>
      </c>
      <c r="F94" s="72">
        <v>15</v>
      </c>
      <c r="G94" s="69">
        <f>(F94+E94)/2</f>
        <v>15.5</v>
      </c>
      <c r="H94" s="69"/>
      <c r="I94" s="69">
        <f>(2*G94)+H94</f>
        <v>31</v>
      </c>
      <c r="J94" s="38"/>
      <c r="K94" s="72" t="str">
        <f>IF(J94&gt;0,(J94+F94)/2," ")</f>
        <v> </v>
      </c>
      <c r="L94" s="72" t="str">
        <f>IF(J94&gt;0,((J94+F94)/2)*2," ")</f>
        <v> </v>
      </c>
      <c r="M94" s="38"/>
      <c r="N94" s="69">
        <f>IF(I94&gt;((J94+F94)/2)*2+M94,I94+M94,(((J94+F94)/2)*2)+M94)</f>
        <v>31</v>
      </c>
      <c r="O94" s="38" t="s">
        <v>30</v>
      </c>
      <c r="P94" s="38">
        <v>2018</v>
      </c>
    </row>
    <row r="95" spans="1:16" ht="17.25" customHeight="1">
      <c r="A95" s="30">
        <v>2</v>
      </c>
      <c r="B95" s="142" t="str">
        <f t="shared" si="12"/>
        <v>العياشي </v>
      </c>
      <c r="C95" s="142" t="str">
        <f t="shared" si="12"/>
        <v>نوار</v>
      </c>
      <c r="D95" s="76" t="str">
        <f t="shared" si="12"/>
        <v> </v>
      </c>
      <c r="E95" s="72"/>
      <c r="F95" s="72">
        <v>12</v>
      </c>
      <c r="G95" s="69">
        <f aca="true" t="shared" si="13" ref="G95:G124">(F95+E95)/2</f>
        <v>6</v>
      </c>
      <c r="H95" s="69"/>
      <c r="I95" s="69">
        <f aca="true" t="shared" si="14" ref="I95:I124">(2*G95)+H95</f>
        <v>12</v>
      </c>
      <c r="J95" s="38"/>
      <c r="K95" s="72" t="str">
        <f aca="true" t="shared" si="15" ref="K95:K124">IF(J95&gt;0,(J95+F95)/2," ")</f>
        <v> </v>
      </c>
      <c r="L95" s="72" t="str">
        <f aca="true" t="shared" si="16" ref="L95:L124">IF(J95&gt;0,((J95+F95)/2)*2," ")</f>
        <v> </v>
      </c>
      <c r="M95" s="38"/>
      <c r="N95" s="69">
        <f aca="true" t="shared" si="17" ref="N95:N124">IF(I95&gt;((J95+F95)/2)*2+M95,I95+M95,(((J95+F95)/2)*2)+M95)</f>
        <v>12</v>
      </c>
      <c r="O95" s="38" t="s">
        <v>30</v>
      </c>
      <c r="P95" s="38">
        <v>2018</v>
      </c>
    </row>
    <row r="96" spans="1:16" ht="17.25" customHeight="1">
      <c r="A96" s="30">
        <v>3</v>
      </c>
      <c r="B96" s="142" t="str">
        <f t="shared" si="12"/>
        <v>باطح </v>
      </c>
      <c r="C96" s="142" t="str">
        <f t="shared" si="12"/>
        <v>محمد لمين</v>
      </c>
      <c r="D96" s="76" t="str">
        <f t="shared" si="12"/>
        <v> </v>
      </c>
      <c r="E96" s="72">
        <v>15</v>
      </c>
      <c r="F96" s="72">
        <v>15</v>
      </c>
      <c r="G96" s="69">
        <f t="shared" si="13"/>
        <v>15</v>
      </c>
      <c r="H96" s="69"/>
      <c r="I96" s="69">
        <f t="shared" si="14"/>
        <v>30</v>
      </c>
      <c r="J96" s="38"/>
      <c r="K96" s="72" t="str">
        <f t="shared" si="15"/>
        <v> </v>
      </c>
      <c r="L96" s="72" t="str">
        <f t="shared" si="16"/>
        <v> </v>
      </c>
      <c r="M96" s="38"/>
      <c r="N96" s="69">
        <f t="shared" si="17"/>
        <v>30</v>
      </c>
      <c r="O96" s="38" t="s">
        <v>30</v>
      </c>
      <c r="P96" s="38">
        <v>2018</v>
      </c>
    </row>
    <row r="97" spans="1:16" ht="17.25" customHeight="1">
      <c r="A97" s="30">
        <v>4</v>
      </c>
      <c r="B97" s="142" t="str">
        <f t="shared" si="12"/>
        <v>بوساحة </v>
      </c>
      <c r="C97" s="142" t="str">
        <f t="shared" si="12"/>
        <v>حسام الدين</v>
      </c>
      <c r="D97" s="76" t="str">
        <f t="shared" si="12"/>
        <v> </v>
      </c>
      <c r="E97" s="72">
        <v>1</v>
      </c>
      <c r="F97" s="72">
        <v>15</v>
      </c>
      <c r="G97" s="69">
        <f t="shared" si="13"/>
        <v>8</v>
      </c>
      <c r="H97" s="69"/>
      <c r="I97" s="69">
        <f t="shared" si="14"/>
        <v>16</v>
      </c>
      <c r="J97" s="38"/>
      <c r="K97" s="72" t="str">
        <f t="shared" si="15"/>
        <v> </v>
      </c>
      <c r="L97" s="72" t="str">
        <f t="shared" si="16"/>
        <v> </v>
      </c>
      <c r="M97" s="38"/>
      <c r="N97" s="69">
        <f t="shared" si="17"/>
        <v>16</v>
      </c>
      <c r="O97" s="38" t="s">
        <v>30</v>
      </c>
      <c r="P97" s="38">
        <v>2018</v>
      </c>
    </row>
    <row r="98" spans="1:16" ht="17.25" customHeight="1">
      <c r="A98" s="30">
        <v>5</v>
      </c>
      <c r="B98" s="142" t="str">
        <f t="shared" si="12"/>
        <v>بوسالم </v>
      </c>
      <c r="C98" s="142" t="str">
        <f t="shared" si="12"/>
        <v>محمد وليد</v>
      </c>
      <c r="D98" s="76" t="str">
        <f t="shared" si="12"/>
        <v> </v>
      </c>
      <c r="E98" s="72">
        <v>9</v>
      </c>
      <c r="F98" s="72">
        <v>14.5</v>
      </c>
      <c r="G98" s="69">
        <f t="shared" si="13"/>
        <v>11.75</v>
      </c>
      <c r="H98" s="69"/>
      <c r="I98" s="69">
        <f t="shared" si="14"/>
        <v>23.5</v>
      </c>
      <c r="J98" s="38"/>
      <c r="K98" s="72" t="str">
        <f t="shared" si="15"/>
        <v> </v>
      </c>
      <c r="L98" s="72" t="str">
        <f t="shared" si="16"/>
        <v> </v>
      </c>
      <c r="M98" s="38"/>
      <c r="N98" s="69">
        <f t="shared" si="17"/>
        <v>23.5</v>
      </c>
      <c r="O98" s="38" t="s">
        <v>30</v>
      </c>
      <c r="P98" s="38">
        <v>2018</v>
      </c>
    </row>
    <row r="99" spans="1:16" ht="17.25" customHeight="1">
      <c r="A99" s="30">
        <v>6</v>
      </c>
      <c r="B99" s="142" t="str">
        <f t="shared" si="12"/>
        <v>بوعروج </v>
      </c>
      <c r="C99" s="142" t="str">
        <f t="shared" si="12"/>
        <v>نسيمة</v>
      </c>
      <c r="D99" s="76" t="str">
        <f t="shared" si="12"/>
        <v> </v>
      </c>
      <c r="E99" s="72">
        <v>5</v>
      </c>
      <c r="F99" s="72">
        <v>12</v>
      </c>
      <c r="G99" s="69">
        <f t="shared" si="13"/>
        <v>8.5</v>
      </c>
      <c r="H99" s="69"/>
      <c r="I99" s="69">
        <f t="shared" si="14"/>
        <v>17</v>
      </c>
      <c r="J99" s="38"/>
      <c r="K99" s="72" t="str">
        <f t="shared" si="15"/>
        <v> </v>
      </c>
      <c r="L99" s="72" t="str">
        <f t="shared" si="16"/>
        <v> </v>
      </c>
      <c r="M99" s="38"/>
      <c r="N99" s="69">
        <f t="shared" si="17"/>
        <v>17</v>
      </c>
      <c r="O99" s="38" t="s">
        <v>30</v>
      </c>
      <c r="P99" s="38">
        <v>2018</v>
      </c>
    </row>
    <row r="100" spans="1:16" ht="17.25" customHeight="1">
      <c r="A100" s="30">
        <v>7</v>
      </c>
      <c r="B100" s="142" t="str">
        <f t="shared" si="12"/>
        <v>بولعيد </v>
      </c>
      <c r="C100" s="142" t="str">
        <f t="shared" si="12"/>
        <v>مريم</v>
      </c>
      <c r="D100" s="76" t="str">
        <f t="shared" si="12"/>
        <v> </v>
      </c>
      <c r="E100" s="72">
        <v>6.5</v>
      </c>
      <c r="F100" s="72">
        <v>12</v>
      </c>
      <c r="G100" s="69">
        <f t="shared" si="13"/>
        <v>9.25</v>
      </c>
      <c r="H100" s="69"/>
      <c r="I100" s="69">
        <f t="shared" si="14"/>
        <v>18.5</v>
      </c>
      <c r="J100" s="38"/>
      <c r="K100" s="72" t="str">
        <f t="shared" si="15"/>
        <v> </v>
      </c>
      <c r="L100" s="72" t="str">
        <f t="shared" si="16"/>
        <v> </v>
      </c>
      <c r="M100" s="38"/>
      <c r="N100" s="69">
        <f t="shared" si="17"/>
        <v>18.5</v>
      </c>
      <c r="O100" s="38" t="s">
        <v>30</v>
      </c>
      <c r="P100" s="38">
        <v>2018</v>
      </c>
    </row>
    <row r="101" spans="1:16" ht="17.25" customHeight="1">
      <c r="A101" s="30">
        <v>8</v>
      </c>
      <c r="B101" s="142" t="str">
        <f t="shared" si="12"/>
        <v>خاوة </v>
      </c>
      <c r="C101" s="142" t="str">
        <f t="shared" si="12"/>
        <v>أسماء</v>
      </c>
      <c r="D101" s="76" t="str">
        <f t="shared" si="12"/>
        <v> </v>
      </c>
      <c r="E101" s="72">
        <v>8.5</v>
      </c>
      <c r="F101" s="72">
        <v>13</v>
      </c>
      <c r="G101" s="69">
        <f t="shared" si="13"/>
        <v>10.75</v>
      </c>
      <c r="H101" s="69"/>
      <c r="I101" s="69">
        <f t="shared" si="14"/>
        <v>21.5</v>
      </c>
      <c r="J101" s="38"/>
      <c r="K101" s="72" t="str">
        <f t="shared" si="15"/>
        <v> </v>
      </c>
      <c r="L101" s="72" t="str">
        <f t="shared" si="16"/>
        <v> </v>
      </c>
      <c r="M101" s="38"/>
      <c r="N101" s="69">
        <f t="shared" si="17"/>
        <v>21.5</v>
      </c>
      <c r="O101" s="38" t="s">
        <v>30</v>
      </c>
      <c r="P101" s="38">
        <v>2018</v>
      </c>
    </row>
    <row r="102" spans="1:16" ht="17.25" customHeight="1">
      <c r="A102" s="30">
        <v>9</v>
      </c>
      <c r="B102" s="142" t="str">
        <f t="shared" si="12"/>
        <v>زغلاني </v>
      </c>
      <c r="C102" s="142" t="str">
        <f t="shared" si="12"/>
        <v>ساعد</v>
      </c>
      <c r="D102" s="76" t="str">
        <f t="shared" si="12"/>
        <v> </v>
      </c>
      <c r="E102" s="72">
        <v>7.5</v>
      </c>
      <c r="F102" s="72">
        <v>12.5</v>
      </c>
      <c r="G102" s="69">
        <f t="shared" si="13"/>
        <v>10</v>
      </c>
      <c r="H102" s="69"/>
      <c r="I102" s="69">
        <f t="shared" si="14"/>
        <v>20</v>
      </c>
      <c r="J102" s="38"/>
      <c r="K102" s="72" t="str">
        <f t="shared" si="15"/>
        <v> </v>
      </c>
      <c r="L102" s="72" t="str">
        <f t="shared" si="16"/>
        <v> </v>
      </c>
      <c r="M102" s="38"/>
      <c r="N102" s="69">
        <f t="shared" si="17"/>
        <v>20</v>
      </c>
      <c r="O102" s="38" t="s">
        <v>30</v>
      </c>
      <c r="P102" s="38">
        <v>2018</v>
      </c>
    </row>
    <row r="103" spans="1:16" ht="17.25" customHeight="1">
      <c r="A103" s="30">
        <v>10</v>
      </c>
      <c r="B103" s="142" t="str">
        <f t="shared" si="12"/>
        <v>زياني </v>
      </c>
      <c r="C103" s="142" t="str">
        <f t="shared" si="12"/>
        <v>أميرة</v>
      </c>
      <c r="D103" s="76" t="str">
        <f t="shared" si="12"/>
        <v> </v>
      </c>
      <c r="E103" s="72">
        <v>6</v>
      </c>
      <c r="F103" s="72">
        <v>13</v>
      </c>
      <c r="G103" s="69">
        <f t="shared" si="13"/>
        <v>9.5</v>
      </c>
      <c r="H103" s="69"/>
      <c r="I103" s="69">
        <f t="shared" si="14"/>
        <v>19</v>
      </c>
      <c r="J103" s="38"/>
      <c r="K103" s="72" t="str">
        <f t="shared" si="15"/>
        <v> </v>
      </c>
      <c r="L103" s="72" t="str">
        <f t="shared" si="16"/>
        <v> </v>
      </c>
      <c r="M103" s="38"/>
      <c r="N103" s="69">
        <f t="shared" si="17"/>
        <v>19</v>
      </c>
      <c r="O103" s="38" t="s">
        <v>30</v>
      </c>
      <c r="P103" s="38">
        <v>2018</v>
      </c>
    </row>
    <row r="104" spans="1:16" ht="17.25" customHeight="1">
      <c r="A104" s="30">
        <v>11</v>
      </c>
      <c r="B104" s="142" t="str">
        <f t="shared" si="12"/>
        <v>شلابي </v>
      </c>
      <c r="C104" s="142" t="str">
        <f t="shared" si="12"/>
        <v>هاجر</v>
      </c>
      <c r="D104" s="76" t="str">
        <f t="shared" si="12"/>
        <v> </v>
      </c>
      <c r="E104" s="72">
        <v>7</v>
      </c>
      <c r="F104" s="72">
        <v>14</v>
      </c>
      <c r="G104" s="69">
        <f t="shared" si="13"/>
        <v>10.5</v>
      </c>
      <c r="H104" s="69"/>
      <c r="I104" s="69">
        <f t="shared" si="14"/>
        <v>21</v>
      </c>
      <c r="J104" s="38"/>
      <c r="K104" s="72" t="str">
        <f t="shared" si="15"/>
        <v> </v>
      </c>
      <c r="L104" s="72" t="str">
        <f t="shared" si="16"/>
        <v> </v>
      </c>
      <c r="M104" s="38"/>
      <c r="N104" s="69">
        <f t="shared" si="17"/>
        <v>21</v>
      </c>
      <c r="O104" s="38" t="s">
        <v>30</v>
      </c>
      <c r="P104" s="38">
        <v>2018</v>
      </c>
    </row>
    <row r="105" spans="1:16" ht="17.25" customHeight="1">
      <c r="A105" s="30">
        <v>12</v>
      </c>
      <c r="B105" s="142" t="str">
        <f t="shared" si="12"/>
        <v>صولي </v>
      </c>
      <c r="C105" s="142" t="str">
        <f t="shared" si="12"/>
        <v>هشام</v>
      </c>
      <c r="D105" s="76" t="str">
        <f t="shared" si="12"/>
        <v> </v>
      </c>
      <c r="E105" s="72">
        <v>10</v>
      </c>
      <c r="F105" s="72">
        <v>12.5</v>
      </c>
      <c r="G105" s="69">
        <f t="shared" si="13"/>
        <v>11.25</v>
      </c>
      <c r="H105" s="69"/>
      <c r="I105" s="69">
        <f t="shared" si="14"/>
        <v>22.5</v>
      </c>
      <c r="J105" s="38"/>
      <c r="K105" s="72" t="str">
        <f t="shared" si="15"/>
        <v> </v>
      </c>
      <c r="L105" s="72" t="str">
        <f t="shared" si="16"/>
        <v> </v>
      </c>
      <c r="M105" s="38"/>
      <c r="N105" s="69">
        <f t="shared" si="17"/>
        <v>22.5</v>
      </c>
      <c r="O105" s="38" t="s">
        <v>30</v>
      </c>
      <c r="P105" s="38">
        <v>2018</v>
      </c>
    </row>
    <row r="106" spans="1:16" ht="17.25" customHeight="1">
      <c r="A106" s="30">
        <v>13</v>
      </c>
      <c r="B106" s="142" t="str">
        <f t="shared" si="12"/>
        <v>عطيل</v>
      </c>
      <c r="C106" s="142" t="str">
        <f t="shared" si="12"/>
        <v>آسيا</v>
      </c>
      <c r="D106" s="76" t="str">
        <f t="shared" si="12"/>
        <v> </v>
      </c>
      <c r="E106" s="72">
        <v>15</v>
      </c>
      <c r="F106" s="72">
        <v>17</v>
      </c>
      <c r="G106" s="69">
        <f t="shared" si="13"/>
        <v>16</v>
      </c>
      <c r="H106" s="69"/>
      <c r="I106" s="69">
        <f t="shared" si="14"/>
        <v>32</v>
      </c>
      <c r="J106" s="38"/>
      <c r="K106" s="72" t="str">
        <f t="shared" si="15"/>
        <v> </v>
      </c>
      <c r="L106" s="72" t="str">
        <f t="shared" si="16"/>
        <v> </v>
      </c>
      <c r="M106" s="38"/>
      <c r="N106" s="69">
        <f t="shared" si="17"/>
        <v>32</v>
      </c>
      <c r="O106" s="38" t="s">
        <v>30</v>
      </c>
      <c r="P106" s="38">
        <v>2018</v>
      </c>
    </row>
    <row r="107" spans="1:16" ht="17.25" customHeight="1">
      <c r="A107" s="30">
        <v>14</v>
      </c>
      <c r="B107" s="142" t="str">
        <f t="shared" si="12"/>
        <v>عيدود </v>
      </c>
      <c r="C107" s="142" t="str">
        <f t="shared" si="12"/>
        <v>صبرينة</v>
      </c>
      <c r="D107" s="76" t="str">
        <f t="shared" si="12"/>
        <v> </v>
      </c>
      <c r="E107" s="72">
        <v>1</v>
      </c>
      <c r="F107" s="72">
        <v>14</v>
      </c>
      <c r="G107" s="69">
        <f t="shared" si="13"/>
        <v>7.5</v>
      </c>
      <c r="H107" s="69"/>
      <c r="I107" s="69">
        <f t="shared" si="14"/>
        <v>15</v>
      </c>
      <c r="J107" s="38"/>
      <c r="K107" s="72" t="str">
        <f t="shared" si="15"/>
        <v> </v>
      </c>
      <c r="L107" s="72" t="str">
        <f t="shared" si="16"/>
        <v> </v>
      </c>
      <c r="M107" s="38"/>
      <c r="N107" s="69">
        <f t="shared" si="17"/>
        <v>15</v>
      </c>
      <c r="O107" s="38" t="s">
        <v>30</v>
      </c>
      <c r="P107" s="38">
        <v>2018</v>
      </c>
    </row>
    <row r="108" spans="1:16" ht="17.25" customHeight="1">
      <c r="A108" s="30">
        <v>15</v>
      </c>
      <c r="B108" s="142" t="str">
        <f t="shared" si="12"/>
        <v>قايدي </v>
      </c>
      <c r="C108" s="142" t="str">
        <f t="shared" si="12"/>
        <v>مريم</v>
      </c>
      <c r="D108" s="76" t="str">
        <f t="shared" si="12"/>
        <v> </v>
      </c>
      <c r="E108" s="72">
        <v>8</v>
      </c>
      <c r="F108" s="72">
        <v>14</v>
      </c>
      <c r="G108" s="69">
        <f t="shared" si="13"/>
        <v>11</v>
      </c>
      <c r="H108" s="69"/>
      <c r="I108" s="69">
        <f t="shared" si="14"/>
        <v>22</v>
      </c>
      <c r="J108" s="38"/>
      <c r="K108" s="72" t="str">
        <f t="shared" si="15"/>
        <v> </v>
      </c>
      <c r="L108" s="72" t="str">
        <f t="shared" si="16"/>
        <v> </v>
      </c>
      <c r="M108" s="38"/>
      <c r="N108" s="69">
        <f t="shared" si="17"/>
        <v>22</v>
      </c>
      <c r="O108" s="38" t="s">
        <v>30</v>
      </c>
      <c r="P108" s="38">
        <v>2018</v>
      </c>
    </row>
    <row r="109" spans="1:16" ht="17.25" customHeight="1">
      <c r="A109" s="30">
        <v>16</v>
      </c>
      <c r="B109" s="142" t="str">
        <f t="shared" si="12"/>
        <v>قرايفية </v>
      </c>
      <c r="C109" s="142" t="str">
        <f t="shared" si="12"/>
        <v>فؤاد</v>
      </c>
      <c r="D109" s="76" t="str">
        <f t="shared" si="12"/>
        <v> </v>
      </c>
      <c r="E109" s="72">
        <v>12</v>
      </c>
      <c r="F109" s="72">
        <v>11</v>
      </c>
      <c r="G109" s="69">
        <f t="shared" si="13"/>
        <v>11.5</v>
      </c>
      <c r="H109" s="69"/>
      <c r="I109" s="69">
        <f t="shared" si="14"/>
        <v>23</v>
      </c>
      <c r="J109" s="38"/>
      <c r="K109" s="72" t="str">
        <f t="shared" si="15"/>
        <v> </v>
      </c>
      <c r="L109" s="72" t="str">
        <f t="shared" si="16"/>
        <v> </v>
      </c>
      <c r="M109" s="38"/>
      <c r="N109" s="69">
        <f t="shared" si="17"/>
        <v>23</v>
      </c>
      <c r="O109" s="38" t="s">
        <v>30</v>
      </c>
      <c r="P109" s="38">
        <v>2018</v>
      </c>
    </row>
    <row r="110" spans="1:16" ht="17.25" customHeight="1">
      <c r="A110" s="30">
        <v>17</v>
      </c>
      <c r="B110" s="142" t="str">
        <f t="shared" si="12"/>
        <v>قوادرية</v>
      </c>
      <c r="C110" s="142" t="str">
        <f t="shared" si="12"/>
        <v>مريم</v>
      </c>
      <c r="D110" s="76" t="str">
        <f t="shared" si="12"/>
        <v> </v>
      </c>
      <c r="E110" s="72">
        <v>16</v>
      </c>
      <c r="F110" s="72">
        <v>17</v>
      </c>
      <c r="G110" s="69">
        <f t="shared" si="13"/>
        <v>16.5</v>
      </c>
      <c r="H110" s="69"/>
      <c r="I110" s="69">
        <f t="shared" si="14"/>
        <v>33</v>
      </c>
      <c r="J110" s="38"/>
      <c r="K110" s="72" t="str">
        <f t="shared" si="15"/>
        <v> </v>
      </c>
      <c r="L110" s="72" t="str">
        <f t="shared" si="16"/>
        <v> </v>
      </c>
      <c r="M110" s="38"/>
      <c r="N110" s="69">
        <f t="shared" si="17"/>
        <v>33</v>
      </c>
      <c r="O110" s="38" t="s">
        <v>30</v>
      </c>
      <c r="P110" s="38">
        <v>2018</v>
      </c>
    </row>
    <row r="111" spans="1:16" ht="17.25" customHeight="1">
      <c r="A111" s="30">
        <v>18</v>
      </c>
      <c r="B111" s="142" t="str">
        <f t="shared" si="12"/>
        <v>محفوظ </v>
      </c>
      <c r="C111" s="142" t="str">
        <f t="shared" si="12"/>
        <v>بشرى</v>
      </c>
      <c r="D111" s="76" t="str">
        <f t="shared" si="12"/>
        <v> </v>
      </c>
      <c r="E111" s="72">
        <v>15</v>
      </c>
      <c r="F111" s="72">
        <v>17</v>
      </c>
      <c r="G111" s="69">
        <f t="shared" si="13"/>
        <v>16</v>
      </c>
      <c r="H111" s="69"/>
      <c r="I111" s="69">
        <f t="shared" si="14"/>
        <v>32</v>
      </c>
      <c r="J111" s="38"/>
      <c r="K111" s="72" t="str">
        <f t="shared" si="15"/>
        <v> </v>
      </c>
      <c r="L111" s="72" t="str">
        <f t="shared" si="16"/>
        <v> </v>
      </c>
      <c r="M111" s="38"/>
      <c r="N111" s="69">
        <f t="shared" si="17"/>
        <v>32</v>
      </c>
      <c r="O111" s="38" t="s">
        <v>30</v>
      </c>
      <c r="P111" s="38">
        <v>2018</v>
      </c>
    </row>
    <row r="112" spans="1:16" ht="17.25" customHeight="1">
      <c r="A112" s="30">
        <v>19</v>
      </c>
      <c r="B112" s="142" t="str">
        <f t="shared" si="12"/>
        <v>مسطوري </v>
      </c>
      <c r="C112" s="142" t="str">
        <f t="shared" si="12"/>
        <v>سارة</v>
      </c>
      <c r="D112" s="76" t="str">
        <f t="shared" si="12"/>
        <v> </v>
      </c>
      <c r="E112" s="72">
        <v>3</v>
      </c>
      <c r="F112" s="72">
        <v>12</v>
      </c>
      <c r="G112" s="69">
        <f t="shared" si="13"/>
        <v>7.5</v>
      </c>
      <c r="H112" s="69"/>
      <c r="I112" s="69">
        <f t="shared" si="14"/>
        <v>15</v>
      </c>
      <c r="J112" s="38"/>
      <c r="K112" s="72" t="str">
        <f t="shared" si="15"/>
        <v> </v>
      </c>
      <c r="L112" s="72" t="str">
        <f t="shared" si="16"/>
        <v> </v>
      </c>
      <c r="M112" s="38"/>
      <c r="N112" s="69">
        <f t="shared" si="17"/>
        <v>15</v>
      </c>
      <c r="O112" s="38" t="s">
        <v>30</v>
      </c>
      <c r="P112" s="38">
        <v>2018</v>
      </c>
    </row>
    <row r="113" spans="1:16" ht="17.25" customHeight="1">
      <c r="A113" s="30">
        <v>20</v>
      </c>
      <c r="B113" s="142" t="str">
        <f t="shared" si="12"/>
        <v>هداف </v>
      </c>
      <c r="C113" s="142" t="str">
        <f t="shared" si="12"/>
        <v>حياة</v>
      </c>
      <c r="D113" s="76" t="str">
        <f t="shared" si="12"/>
        <v> </v>
      </c>
      <c r="E113" s="72">
        <v>8</v>
      </c>
      <c r="F113" s="72">
        <v>13.5</v>
      </c>
      <c r="G113" s="69">
        <f t="shared" si="13"/>
        <v>10.75</v>
      </c>
      <c r="H113" s="69"/>
      <c r="I113" s="69">
        <f t="shared" si="14"/>
        <v>21.5</v>
      </c>
      <c r="J113" s="38"/>
      <c r="K113" s="72" t="str">
        <f t="shared" si="15"/>
        <v> </v>
      </c>
      <c r="L113" s="72" t="str">
        <f t="shared" si="16"/>
        <v> </v>
      </c>
      <c r="M113" s="38"/>
      <c r="N113" s="69">
        <f t="shared" si="17"/>
        <v>21.5</v>
      </c>
      <c r="O113" s="38" t="s">
        <v>30</v>
      </c>
      <c r="P113" s="38">
        <v>2018</v>
      </c>
    </row>
    <row r="114" spans="1:16" ht="17.25" customHeight="1">
      <c r="A114" s="30">
        <v>21</v>
      </c>
      <c r="B114" s="142" t="str">
        <f t="shared" si="12"/>
        <v> </v>
      </c>
      <c r="C114" s="142" t="str">
        <f t="shared" si="12"/>
        <v> </v>
      </c>
      <c r="D114" s="76" t="str">
        <f t="shared" si="12"/>
        <v> </v>
      </c>
      <c r="E114" s="72"/>
      <c r="F114" s="72"/>
      <c r="G114" s="69">
        <f t="shared" si="13"/>
        <v>0</v>
      </c>
      <c r="H114" s="69"/>
      <c r="I114" s="69">
        <f t="shared" si="14"/>
        <v>0</v>
      </c>
      <c r="J114" s="38"/>
      <c r="K114" s="72" t="str">
        <f t="shared" si="15"/>
        <v> </v>
      </c>
      <c r="L114" s="72" t="str">
        <f t="shared" si="16"/>
        <v> </v>
      </c>
      <c r="M114" s="38"/>
      <c r="N114" s="69">
        <f t="shared" si="17"/>
        <v>0</v>
      </c>
      <c r="O114" s="38" t="s">
        <v>30</v>
      </c>
      <c r="P114" s="38">
        <v>2018</v>
      </c>
    </row>
    <row r="115" spans="1:16" ht="17.25" customHeight="1">
      <c r="A115" s="30">
        <v>22</v>
      </c>
      <c r="B115" s="142" t="str">
        <f t="shared" si="12"/>
        <v> </v>
      </c>
      <c r="C115" s="142" t="str">
        <f t="shared" si="12"/>
        <v> </v>
      </c>
      <c r="D115" s="76" t="str">
        <f t="shared" si="12"/>
        <v> </v>
      </c>
      <c r="E115" s="72"/>
      <c r="F115" s="72"/>
      <c r="G115" s="69">
        <f t="shared" si="13"/>
        <v>0</v>
      </c>
      <c r="H115" s="69"/>
      <c r="I115" s="69">
        <f t="shared" si="14"/>
        <v>0</v>
      </c>
      <c r="J115" s="38"/>
      <c r="K115" s="72" t="str">
        <f t="shared" si="15"/>
        <v> </v>
      </c>
      <c r="L115" s="72" t="str">
        <f t="shared" si="16"/>
        <v> </v>
      </c>
      <c r="M115" s="38"/>
      <c r="N115" s="69">
        <f t="shared" si="17"/>
        <v>0</v>
      </c>
      <c r="O115" s="38" t="s">
        <v>30</v>
      </c>
      <c r="P115" s="38">
        <v>2018</v>
      </c>
    </row>
    <row r="116" spans="1:16" ht="17.25" customHeight="1">
      <c r="A116" s="30">
        <v>23</v>
      </c>
      <c r="B116" s="142" t="str">
        <f t="shared" si="12"/>
        <v> </v>
      </c>
      <c r="C116" s="142" t="str">
        <f t="shared" si="12"/>
        <v> </v>
      </c>
      <c r="D116" s="76" t="str">
        <f t="shared" si="12"/>
        <v> </v>
      </c>
      <c r="E116" s="72"/>
      <c r="F116" s="72"/>
      <c r="G116" s="69">
        <f t="shared" si="13"/>
        <v>0</v>
      </c>
      <c r="H116" s="69"/>
      <c r="I116" s="69">
        <f t="shared" si="14"/>
        <v>0</v>
      </c>
      <c r="J116" s="38"/>
      <c r="K116" s="72" t="str">
        <f t="shared" si="15"/>
        <v> </v>
      </c>
      <c r="L116" s="72" t="str">
        <f t="shared" si="16"/>
        <v> </v>
      </c>
      <c r="M116" s="38"/>
      <c r="N116" s="69">
        <f t="shared" si="17"/>
        <v>0</v>
      </c>
      <c r="O116" s="38" t="s">
        <v>30</v>
      </c>
      <c r="P116" s="38">
        <v>2018</v>
      </c>
    </row>
    <row r="117" spans="1:16" ht="17.25" customHeight="1">
      <c r="A117" s="30">
        <v>24</v>
      </c>
      <c r="B117" s="142" t="str">
        <f t="shared" si="12"/>
        <v> </v>
      </c>
      <c r="C117" s="142" t="str">
        <f t="shared" si="12"/>
        <v> </v>
      </c>
      <c r="D117" s="76" t="str">
        <f t="shared" si="12"/>
        <v> </v>
      </c>
      <c r="E117" s="72"/>
      <c r="F117" s="72"/>
      <c r="G117" s="69">
        <f t="shared" si="13"/>
        <v>0</v>
      </c>
      <c r="H117" s="69"/>
      <c r="I117" s="69">
        <f t="shared" si="14"/>
        <v>0</v>
      </c>
      <c r="J117" s="38"/>
      <c r="K117" s="72" t="str">
        <f t="shared" si="15"/>
        <v> </v>
      </c>
      <c r="L117" s="72" t="str">
        <f t="shared" si="16"/>
        <v> </v>
      </c>
      <c r="M117" s="38"/>
      <c r="N117" s="69">
        <f t="shared" si="17"/>
        <v>0</v>
      </c>
      <c r="O117" s="38" t="s">
        <v>30</v>
      </c>
      <c r="P117" s="38">
        <v>2018</v>
      </c>
    </row>
    <row r="118" spans="1:16" ht="17.25" customHeight="1">
      <c r="A118" s="30">
        <v>25</v>
      </c>
      <c r="B118" s="142" t="str">
        <f t="shared" si="12"/>
        <v> </v>
      </c>
      <c r="C118" s="142" t="str">
        <f t="shared" si="12"/>
        <v> </v>
      </c>
      <c r="D118" s="76" t="str">
        <f t="shared" si="12"/>
        <v> </v>
      </c>
      <c r="E118" s="72"/>
      <c r="F118" s="72"/>
      <c r="G118" s="69">
        <f t="shared" si="13"/>
        <v>0</v>
      </c>
      <c r="H118" s="69"/>
      <c r="I118" s="69">
        <f t="shared" si="14"/>
        <v>0</v>
      </c>
      <c r="J118" s="38"/>
      <c r="K118" s="72" t="str">
        <f t="shared" si="15"/>
        <v> </v>
      </c>
      <c r="L118" s="72" t="str">
        <f t="shared" si="16"/>
        <v> </v>
      </c>
      <c r="M118" s="38"/>
      <c r="N118" s="69">
        <f t="shared" si="17"/>
        <v>0</v>
      </c>
      <c r="O118" s="38" t="s">
        <v>30</v>
      </c>
      <c r="P118" s="38">
        <v>2018</v>
      </c>
    </row>
    <row r="119" spans="1:16" ht="17.25" customHeight="1">
      <c r="A119" s="30">
        <v>26</v>
      </c>
      <c r="B119" s="142" t="str">
        <f t="shared" si="12"/>
        <v> </v>
      </c>
      <c r="C119" s="142" t="str">
        <f t="shared" si="12"/>
        <v> </v>
      </c>
      <c r="D119" s="76" t="str">
        <f t="shared" si="12"/>
        <v> </v>
      </c>
      <c r="E119" s="72"/>
      <c r="F119" s="72"/>
      <c r="G119" s="69">
        <f t="shared" si="13"/>
        <v>0</v>
      </c>
      <c r="H119" s="69"/>
      <c r="I119" s="69">
        <f t="shared" si="14"/>
        <v>0</v>
      </c>
      <c r="J119" s="38"/>
      <c r="K119" s="72" t="str">
        <f t="shared" si="15"/>
        <v> </v>
      </c>
      <c r="L119" s="72" t="str">
        <f t="shared" si="16"/>
        <v> </v>
      </c>
      <c r="M119" s="38"/>
      <c r="N119" s="69">
        <f t="shared" si="17"/>
        <v>0</v>
      </c>
      <c r="O119" s="38" t="s">
        <v>30</v>
      </c>
      <c r="P119" s="38">
        <v>2018</v>
      </c>
    </row>
    <row r="120" spans="1:16" ht="17.25" customHeight="1">
      <c r="A120" s="30">
        <v>27</v>
      </c>
      <c r="B120" s="142" t="str">
        <f t="shared" si="12"/>
        <v> </v>
      </c>
      <c r="C120" s="142" t="str">
        <f t="shared" si="12"/>
        <v> </v>
      </c>
      <c r="D120" s="76" t="str">
        <f t="shared" si="12"/>
        <v> </v>
      </c>
      <c r="E120" s="72"/>
      <c r="F120" s="72"/>
      <c r="G120" s="69">
        <f t="shared" si="13"/>
        <v>0</v>
      </c>
      <c r="H120" s="69"/>
      <c r="I120" s="69">
        <f t="shared" si="14"/>
        <v>0</v>
      </c>
      <c r="J120" s="38"/>
      <c r="K120" s="72" t="str">
        <f t="shared" si="15"/>
        <v> </v>
      </c>
      <c r="L120" s="72" t="str">
        <f t="shared" si="16"/>
        <v> </v>
      </c>
      <c r="M120" s="38"/>
      <c r="N120" s="69">
        <f t="shared" si="17"/>
        <v>0</v>
      </c>
      <c r="O120" s="38" t="s">
        <v>30</v>
      </c>
      <c r="P120" s="38">
        <v>2018</v>
      </c>
    </row>
    <row r="121" spans="1:16" ht="17.25" customHeight="1">
      <c r="A121" s="30">
        <v>28</v>
      </c>
      <c r="B121" s="142" t="str">
        <f t="shared" si="12"/>
        <v> </v>
      </c>
      <c r="C121" s="142" t="str">
        <f t="shared" si="12"/>
        <v> </v>
      </c>
      <c r="D121" s="76" t="str">
        <f t="shared" si="12"/>
        <v> </v>
      </c>
      <c r="E121" s="72"/>
      <c r="F121" s="72"/>
      <c r="G121" s="69">
        <f t="shared" si="13"/>
        <v>0</v>
      </c>
      <c r="H121" s="69"/>
      <c r="I121" s="69">
        <f t="shared" si="14"/>
        <v>0</v>
      </c>
      <c r="J121" s="38"/>
      <c r="K121" s="72" t="str">
        <f t="shared" si="15"/>
        <v> </v>
      </c>
      <c r="L121" s="72" t="str">
        <f t="shared" si="16"/>
        <v> </v>
      </c>
      <c r="M121" s="38"/>
      <c r="N121" s="69">
        <f t="shared" si="17"/>
        <v>0</v>
      </c>
      <c r="O121" s="38" t="s">
        <v>30</v>
      </c>
      <c r="P121" s="38">
        <v>2018</v>
      </c>
    </row>
    <row r="122" spans="1:16" ht="17.25" customHeight="1">
      <c r="A122" s="30">
        <v>29</v>
      </c>
      <c r="B122" s="142" t="str">
        <f t="shared" si="12"/>
        <v> </v>
      </c>
      <c r="C122" s="142" t="str">
        <f t="shared" si="12"/>
        <v> </v>
      </c>
      <c r="D122" s="76" t="str">
        <f t="shared" si="12"/>
        <v> </v>
      </c>
      <c r="E122" s="72"/>
      <c r="F122" s="72"/>
      <c r="G122" s="69">
        <f t="shared" si="13"/>
        <v>0</v>
      </c>
      <c r="H122" s="69"/>
      <c r="I122" s="69">
        <f t="shared" si="14"/>
        <v>0</v>
      </c>
      <c r="J122" s="38"/>
      <c r="K122" s="72" t="str">
        <f t="shared" si="15"/>
        <v> </v>
      </c>
      <c r="L122" s="72" t="str">
        <f t="shared" si="16"/>
        <v> </v>
      </c>
      <c r="M122" s="38"/>
      <c r="N122" s="69">
        <f t="shared" si="17"/>
        <v>0</v>
      </c>
      <c r="O122" s="38" t="s">
        <v>30</v>
      </c>
      <c r="P122" s="38">
        <v>2018</v>
      </c>
    </row>
    <row r="123" spans="1:16" ht="17.25" customHeight="1">
      <c r="A123" s="30">
        <v>30</v>
      </c>
      <c r="B123" s="142" t="str">
        <f t="shared" si="12"/>
        <v> </v>
      </c>
      <c r="C123" s="142" t="str">
        <f t="shared" si="12"/>
        <v> </v>
      </c>
      <c r="D123" s="76" t="str">
        <f t="shared" si="12"/>
        <v> </v>
      </c>
      <c r="E123" s="72"/>
      <c r="F123" s="72"/>
      <c r="G123" s="69">
        <f t="shared" si="13"/>
        <v>0</v>
      </c>
      <c r="H123" s="69"/>
      <c r="I123" s="69">
        <f t="shared" si="14"/>
        <v>0</v>
      </c>
      <c r="J123" s="38"/>
      <c r="K123" s="72" t="str">
        <f t="shared" si="15"/>
        <v> </v>
      </c>
      <c r="L123" s="72" t="str">
        <f t="shared" si="16"/>
        <v> </v>
      </c>
      <c r="M123" s="38"/>
      <c r="N123" s="69">
        <f t="shared" si="17"/>
        <v>0</v>
      </c>
      <c r="O123" s="38" t="s">
        <v>30</v>
      </c>
      <c r="P123" s="38">
        <v>2018</v>
      </c>
    </row>
    <row r="124" spans="1:16" ht="17.25" customHeight="1" hidden="1">
      <c r="A124" s="30">
        <v>31</v>
      </c>
      <c r="B124" s="142" t="str">
        <f t="shared" si="12"/>
        <v> </v>
      </c>
      <c r="C124" s="142" t="str">
        <f t="shared" si="12"/>
        <v> </v>
      </c>
      <c r="D124" s="76" t="str">
        <f t="shared" si="12"/>
        <v> </v>
      </c>
      <c r="E124" s="72"/>
      <c r="F124" s="72"/>
      <c r="G124" s="69">
        <f t="shared" si="13"/>
        <v>0</v>
      </c>
      <c r="H124" s="69"/>
      <c r="I124" s="69">
        <f t="shared" si="14"/>
        <v>0</v>
      </c>
      <c r="J124" s="38"/>
      <c r="K124" s="72" t="str">
        <f t="shared" si="15"/>
        <v> </v>
      </c>
      <c r="L124" s="72" t="str">
        <f t="shared" si="16"/>
        <v> </v>
      </c>
      <c r="M124" s="38"/>
      <c r="N124" s="69">
        <f t="shared" si="17"/>
        <v>0</v>
      </c>
      <c r="O124" s="38" t="s">
        <v>30</v>
      </c>
      <c r="P124" s="38">
        <v>2018</v>
      </c>
    </row>
    <row r="125" spans="1:16" ht="17.25" customHeight="1" hidden="1">
      <c r="A125" s="30">
        <v>32</v>
      </c>
      <c r="B125" s="142" t="str">
        <f t="shared" si="12"/>
        <v> </v>
      </c>
      <c r="C125" s="142" t="str">
        <f t="shared" si="12"/>
        <v> </v>
      </c>
      <c r="D125" s="76" t="str">
        <f t="shared" si="12"/>
        <v> </v>
      </c>
      <c r="E125" s="72"/>
      <c r="F125" s="72"/>
      <c r="G125" s="69">
        <f>(F125+E125)/2</f>
        <v>0</v>
      </c>
      <c r="H125" s="69"/>
      <c r="I125" s="69">
        <f>(2*G125)+H125</f>
        <v>0</v>
      </c>
      <c r="J125" s="38"/>
      <c r="K125" s="72" t="str">
        <f>IF(J125&gt;0,(J125+F125)/2," ")</f>
        <v> </v>
      </c>
      <c r="L125" s="72" t="str">
        <f>IF(J125&gt;0,((J125+F125)/2)*5," ")</f>
        <v> </v>
      </c>
      <c r="M125" s="38"/>
      <c r="N125" s="69">
        <f>IF(I125&gt;((J125+F125)/2)*2,I125+M125,(((J125+F125)/2)*2)+M125)</f>
        <v>0</v>
      </c>
      <c r="O125" s="38" t="s">
        <v>30</v>
      </c>
      <c r="P125" s="38">
        <v>2018</v>
      </c>
    </row>
    <row r="126" spans="15:16" ht="18">
      <c r="O126" s="38" t="s">
        <v>30</v>
      </c>
      <c r="P126" s="38">
        <v>2018</v>
      </c>
    </row>
    <row r="127" spans="15:16" ht="18">
      <c r="O127" s="38" t="s">
        <v>30</v>
      </c>
      <c r="P127" s="38">
        <v>2018</v>
      </c>
    </row>
    <row r="128" ht="18">
      <c r="B128" s="264" t="s">
        <v>18</v>
      </c>
    </row>
    <row r="130" spans="1:14" ht="19.5" customHeight="1">
      <c r="A130" s="86" t="s">
        <v>0</v>
      </c>
      <c r="B130" s="308"/>
      <c r="C130" s="308"/>
      <c r="D130" s="87"/>
      <c r="E130" s="266"/>
      <c r="F130" s="8"/>
      <c r="G130" s="286"/>
      <c r="H130" s="286"/>
      <c r="I130" s="286"/>
      <c r="J130" s="277"/>
      <c r="K130" s="287" t="str">
        <f>K1</f>
        <v>السنة الثانية ماستر إقتصاد نقدي وبنكي </v>
      </c>
      <c r="N130" s="271"/>
    </row>
    <row r="131" spans="1:14" ht="19.5" customHeight="1">
      <c r="A131" s="86" t="s">
        <v>2</v>
      </c>
      <c r="B131" s="308"/>
      <c r="C131" s="308"/>
      <c r="D131" s="87"/>
      <c r="E131" s="266"/>
      <c r="F131" s="271" t="s">
        <v>3</v>
      </c>
      <c r="G131" s="674" t="s">
        <v>494</v>
      </c>
      <c r="H131" s="668"/>
      <c r="I131" s="669"/>
      <c r="J131" s="275"/>
      <c r="K131" s="276" t="s">
        <v>1</v>
      </c>
      <c r="L131" s="271"/>
      <c r="M131" s="271"/>
      <c r="N131" s="271" t="str">
        <f>N2</f>
        <v>2017-2018</v>
      </c>
    </row>
    <row r="132" spans="1:14" ht="19.5" customHeight="1">
      <c r="A132" s="86" t="s">
        <v>4</v>
      </c>
      <c r="B132" s="308"/>
      <c r="C132" s="308"/>
      <c r="D132" s="87"/>
      <c r="E132" s="266"/>
      <c r="F132" s="271" t="s">
        <v>5</v>
      </c>
      <c r="G132" s="668">
        <v>2</v>
      </c>
      <c r="H132" s="668"/>
      <c r="I132" s="669" t="s">
        <v>39</v>
      </c>
      <c r="J132" s="274">
        <v>5</v>
      </c>
      <c r="K132" s="275"/>
      <c r="L132" s="271"/>
      <c r="M132" s="271"/>
      <c r="N132" s="271"/>
    </row>
    <row r="133" spans="1:14" ht="18">
      <c r="A133" s="93"/>
      <c r="B133" s="308"/>
      <c r="C133" s="308"/>
      <c r="D133" s="87"/>
      <c r="E133" s="266"/>
      <c r="F133" s="271" t="s">
        <v>6</v>
      </c>
      <c r="G133" s="674" t="s">
        <v>495</v>
      </c>
      <c r="H133" s="668"/>
      <c r="I133" s="669"/>
      <c r="K133" s="275" t="s">
        <v>85</v>
      </c>
      <c r="L133" s="271"/>
      <c r="M133" s="271"/>
      <c r="N133" s="271"/>
    </row>
    <row r="134" spans="1:14" ht="24" customHeight="1">
      <c r="A134" s="93" t="s">
        <v>7</v>
      </c>
      <c r="B134" s="308">
        <f>B5</f>
        <v>2</v>
      </c>
      <c r="C134" s="308"/>
      <c r="D134" s="87"/>
      <c r="E134" s="267"/>
      <c r="F134" s="271"/>
      <c r="G134" s="278" t="s">
        <v>8</v>
      </c>
      <c r="H134" s="279"/>
      <c r="I134" s="277"/>
      <c r="J134" s="277"/>
      <c r="K134" s="277"/>
      <c r="L134" s="283" t="s">
        <v>114</v>
      </c>
      <c r="M134" s="271"/>
      <c r="N134" s="271"/>
    </row>
    <row r="135" spans="1:14" ht="18">
      <c r="A135" s="93"/>
      <c r="B135" s="308"/>
      <c r="C135" s="308"/>
      <c r="D135" s="87"/>
      <c r="E135" s="266"/>
      <c r="F135" s="271"/>
      <c r="G135" s="271"/>
      <c r="H135" s="271"/>
      <c r="I135" s="271"/>
      <c r="J135" s="271"/>
      <c r="K135" s="271"/>
      <c r="L135" s="271"/>
      <c r="M135" s="271"/>
      <c r="N135" s="271"/>
    </row>
    <row r="136" spans="1:14" ht="27.75" customHeight="1">
      <c r="A136" s="65" t="s">
        <v>9</v>
      </c>
      <c r="B136" s="299" t="s">
        <v>163</v>
      </c>
      <c r="C136" s="299" t="s">
        <v>164</v>
      </c>
      <c r="D136" s="66"/>
      <c r="E136" s="68" t="s">
        <v>17</v>
      </c>
      <c r="F136" s="88" t="s">
        <v>10</v>
      </c>
      <c r="G136" s="88" t="s">
        <v>11</v>
      </c>
      <c r="H136" s="66" t="s">
        <v>14</v>
      </c>
      <c r="I136" s="88" t="s">
        <v>16</v>
      </c>
      <c r="J136" s="88" t="s">
        <v>13</v>
      </c>
      <c r="K136" s="88" t="s">
        <v>12</v>
      </c>
      <c r="L136" s="88" t="s">
        <v>16</v>
      </c>
      <c r="M136" s="66" t="s">
        <v>14</v>
      </c>
      <c r="N136" s="700" t="s">
        <v>15</v>
      </c>
    </row>
    <row r="137" spans="1:16" ht="18">
      <c r="A137" s="70"/>
      <c r="B137" s="311"/>
      <c r="C137" s="311"/>
      <c r="D137" s="71"/>
      <c r="E137" s="89">
        <v>20</v>
      </c>
      <c r="F137" s="90">
        <v>20</v>
      </c>
      <c r="G137" s="90">
        <v>20</v>
      </c>
      <c r="H137" s="71" t="s">
        <v>30</v>
      </c>
      <c r="I137" s="90">
        <v>40</v>
      </c>
      <c r="J137" s="90">
        <v>20</v>
      </c>
      <c r="K137" s="90">
        <v>20</v>
      </c>
      <c r="L137" s="71">
        <v>60</v>
      </c>
      <c r="M137" s="71" t="s">
        <v>31</v>
      </c>
      <c r="N137" s="701"/>
      <c r="O137" s="141"/>
      <c r="P137" s="38"/>
    </row>
    <row r="138" spans="1:16" ht="17.25" customHeight="1">
      <c r="A138" s="30">
        <v>1</v>
      </c>
      <c r="B138" s="142" t="str">
        <f aca="true" t="shared" si="18" ref="B138:D169">IF(B8&gt;0,B8," ")</f>
        <v>الحاج </v>
      </c>
      <c r="C138" s="142" t="str">
        <f t="shared" si="18"/>
        <v>مروة</v>
      </c>
      <c r="D138" s="76" t="str">
        <f t="shared" si="18"/>
        <v> </v>
      </c>
      <c r="E138" s="72">
        <v>18</v>
      </c>
      <c r="F138" s="72">
        <v>17.4</v>
      </c>
      <c r="G138" s="69">
        <f>(F138+E138)/2</f>
        <v>17.7</v>
      </c>
      <c r="H138" s="69"/>
      <c r="I138" s="69">
        <f>(2*G138)+H138</f>
        <v>35.4</v>
      </c>
      <c r="J138" s="72"/>
      <c r="K138" s="72" t="str">
        <f>IF(J138&gt;0,(J138+F138)/2," ")</f>
        <v> </v>
      </c>
      <c r="L138" s="72" t="str">
        <f>IF(J138&gt;0,((J138+F138)/2)*2," ")</f>
        <v> </v>
      </c>
      <c r="M138" s="38"/>
      <c r="N138" s="69">
        <f>IF(I138&gt;((J138+F138)/2)*2+M138,I138+M138,(((J138+F138)/2)*2)+M138)</f>
        <v>35.4</v>
      </c>
      <c r="O138" s="38" t="s">
        <v>30</v>
      </c>
      <c r="P138" s="38">
        <v>2018</v>
      </c>
    </row>
    <row r="139" spans="1:16" ht="17.25" customHeight="1">
      <c r="A139" s="30">
        <v>2</v>
      </c>
      <c r="B139" s="142" t="str">
        <f t="shared" si="18"/>
        <v>العياشي </v>
      </c>
      <c r="C139" s="142" t="str">
        <f t="shared" si="18"/>
        <v>نوار</v>
      </c>
      <c r="D139" s="76" t="str">
        <f t="shared" si="18"/>
        <v> </v>
      </c>
      <c r="E139" s="72"/>
      <c r="F139" s="72">
        <v>12.4</v>
      </c>
      <c r="G139" s="69">
        <f aca="true" t="shared" si="19" ref="G139:G169">(F139+E139)/2</f>
        <v>6.2</v>
      </c>
      <c r="H139" s="69"/>
      <c r="I139" s="69">
        <f aca="true" t="shared" si="20" ref="I139:I169">(2*G139)+H139</f>
        <v>12.4</v>
      </c>
      <c r="J139" s="72"/>
      <c r="K139" s="72" t="str">
        <f aca="true" t="shared" si="21" ref="K139:K169">IF(J139&gt;0,(J139+F139)/2," ")</f>
        <v> </v>
      </c>
      <c r="L139" s="72" t="str">
        <f aca="true" t="shared" si="22" ref="L139:L169">IF(J139&gt;0,((J139+F139)/2)*2," ")</f>
        <v> </v>
      </c>
      <c r="M139" s="38"/>
      <c r="N139" s="69">
        <f aca="true" t="shared" si="23" ref="N139:N169">IF(I139&gt;((J139+F139)/2)*2+M139,I139+M139,(((J139+F139)/2)*2)+M139)</f>
        <v>12.4</v>
      </c>
      <c r="O139" s="38" t="s">
        <v>30</v>
      </c>
      <c r="P139" s="38">
        <v>2018</v>
      </c>
    </row>
    <row r="140" spans="1:16" ht="17.25" customHeight="1">
      <c r="A140" s="30">
        <v>3</v>
      </c>
      <c r="B140" s="142" t="str">
        <f t="shared" si="18"/>
        <v>باطح </v>
      </c>
      <c r="C140" s="142" t="str">
        <f t="shared" si="18"/>
        <v>محمد لمين</v>
      </c>
      <c r="D140" s="76" t="str">
        <f t="shared" si="18"/>
        <v> </v>
      </c>
      <c r="E140" s="72">
        <v>8</v>
      </c>
      <c r="F140" s="72">
        <v>13.4</v>
      </c>
      <c r="G140" s="69">
        <f t="shared" si="19"/>
        <v>10.7</v>
      </c>
      <c r="H140" s="69"/>
      <c r="I140" s="69">
        <f t="shared" si="20"/>
        <v>21.4</v>
      </c>
      <c r="J140" s="72"/>
      <c r="K140" s="72" t="str">
        <f t="shared" si="21"/>
        <v> </v>
      </c>
      <c r="L140" s="72" t="str">
        <f t="shared" si="22"/>
        <v> </v>
      </c>
      <c r="M140" s="38"/>
      <c r="N140" s="69">
        <f t="shared" si="23"/>
        <v>21.4</v>
      </c>
      <c r="O140" s="38" t="s">
        <v>30</v>
      </c>
      <c r="P140" s="38">
        <v>2018</v>
      </c>
    </row>
    <row r="141" spans="1:16" ht="17.25" customHeight="1">
      <c r="A141" s="30">
        <v>4</v>
      </c>
      <c r="B141" s="142" t="str">
        <f t="shared" si="18"/>
        <v>بوساحة </v>
      </c>
      <c r="C141" s="142" t="str">
        <f t="shared" si="18"/>
        <v>حسام الدين</v>
      </c>
      <c r="D141" s="76" t="str">
        <f t="shared" si="18"/>
        <v> </v>
      </c>
      <c r="E141" s="72">
        <v>12</v>
      </c>
      <c r="F141" s="72">
        <v>12</v>
      </c>
      <c r="G141" s="69">
        <f t="shared" si="19"/>
        <v>12</v>
      </c>
      <c r="H141" s="69"/>
      <c r="I141" s="69">
        <f t="shared" si="20"/>
        <v>24</v>
      </c>
      <c r="J141" s="72"/>
      <c r="K141" s="72" t="str">
        <f t="shared" si="21"/>
        <v> </v>
      </c>
      <c r="L141" s="72" t="str">
        <f t="shared" si="22"/>
        <v> </v>
      </c>
      <c r="M141" s="38"/>
      <c r="N141" s="69">
        <f t="shared" si="23"/>
        <v>24</v>
      </c>
      <c r="O141" s="38" t="s">
        <v>30</v>
      </c>
      <c r="P141" s="38">
        <v>2018</v>
      </c>
    </row>
    <row r="142" spans="1:16" ht="17.25" customHeight="1">
      <c r="A142" s="30">
        <v>5</v>
      </c>
      <c r="B142" s="142" t="str">
        <f t="shared" si="18"/>
        <v>بوسالم </v>
      </c>
      <c r="C142" s="142" t="str">
        <f t="shared" si="18"/>
        <v>محمد وليد</v>
      </c>
      <c r="D142" s="76" t="str">
        <f t="shared" si="18"/>
        <v> </v>
      </c>
      <c r="E142" s="72">
        <v>10</v>
      </c>
      <c r="F142" s="72">
        <v>12.6</v>
      </c>
      <c r="G142" s="69">
        <f t="shared" si="19"/>
        <v>11.3</v>
      </c>
      <c r="H142" s="69"/>
      <c r="I142" s="69">
        <f t="shared" si="20"/>
        <v>22.6</v>
      </c>
      <c r="J142" s="72"/>
      <c r="K142" s="72" t="str">
        <f t="shared" si="21"/>
        <v> </v>
      </c>
      <c r="L142" s="72" t="str">
        <f t="shared" si="22"/>
        <v> </v>
      </c>
      <c r="M142" s="38"/>
      <c r="N142" s="69">
        <f t="shared" si="23"/>
        <v>22.6</v>
      </c>
      <c r="O142" s="38" t="s">
        <v>30</v>
      </c>
      <c r="P142" s="38">
        <v>2018</v>
      </c>
    </row>
    <row r="143" spans="1:16" ht="17.25" customHeight="1">
      <c r="A143" s="30">
        <v>6</v>
      </c>
      <c r="B143" s="142" t="str">
        <f t="shared" si="18"/>
        <v>بوعروج </v>
      </c>
      <c r="C143" s="142" t="str">
        <f t="shared" si="18"/>
        <v>نسيمة</v>
      </c>
      <c r="D143" s="76" t="str">
        <f t="shared" si="18"/>
        <v> </v>
      </c>
      <c r="E143" s="72">
        <v>8</v>
      </c>
      <c r="F143" s="72">
        <v>12.4</v>
      </c>
      <c r="G143" s="69">
        <f t="shared" si="19"/>
        <v>10.2</v>
      </c>
      <c r="H143" s="69"/>
      <c r="I143" s="69">
        <f t="shared" si="20"/>
        <v>20.4</v>
      </c>
      <c r="J143" s="72"/>
      <c r="K143" s="72" t="str">
        <f t="shared" si="21"/>
        <v> </v>
      </c>
      <c r="L143" s="72" t="str">
        <f t="shared" si="22"/>
        <v> </v>
      </c>
      <c r="M143" s="38"/>
      <c r="N143" s="69">
        <f t="shared" si="23"/>
        <v>20.4</v>
      </c>
      <c r="O143" s="38" t="s">
        <v>30</v>
      </c>
      <c r="P143" s="38">
        <v>2018</v>
      </c>
    </row>
    <row r="144" spans="1:16" ht="17.25" customHeight="1">
      <c r="A144" s="30">
        <v>7</v>
      </c>
      <c r="B144" s="142" t="str">
        <f t="shared" si="18"/>
        <v>بولعيد </v>
      </c>
      <c r="C144" s="142" t="str">
        <f t="shared" si="18"/>
        <v>مريم</v>
      </c>
      <c r="D144" s="76" t="str">
        <f t="shared" si="18"/>
        <v> </v>
      </c>
      <c r="E144" s="72">
        <v>2</v>
      </c>
      <c r="F144" s="72">
        <v>10</v>
      </c>
      <c r="G144" s="69">
        <f t="shared" si="19"/>
        <v>6</v>
      </c>
      <c r="H144" s="69"/>
      <c r="I144" s="69">
        <f t="shared" si="20"/>
        <v>12</v>
      </c>
      <c r="J144" s="72"/>
      <c r="K144" s="72" t="str">
        <f t="shared" si="21"/>
        <v> </v>
      </c>
      <c r="L144" s="72" t="str">
        <f t="shared" si="22"/>
        <v> </v>
      </c>
      <c r="M144" s="38"/>
      <c r="N144" s="69">
        <f t="shared" si="23"/>
        <v>12</v>
      </c>
      <c r="O144" s="38" t="s">
        <v>30</v>
      </c>
      <c r="P144" s="38">
        <v>2018</v>
      </c>
    </row>
    <row r="145" spans="1:16" ht="17.25" customHeight="1">
      <c r="A145" s="30">
        <v>8</v>
      </c>
      <c r="B145" s="142" t="str">
        <f t="shared" si="18"/>
        <v>خاوة </v>
      </c>
      <c r="C145" s="142" t="str">
        <f t="shared" si="18"/>
        <v>أسماء</v>
      </c>
      <c r="D145" s="76" t="str">
        <f t="shared" si="18"/>
        <v> </v>
      </c>
      <c r="E145" s="72">
        <v>5</v>
      </c>
      <c r="F145" s="72">
        <v>12</v>
      </c>
      <c r="G145" s="69">
        <f t="shared" si="19"/>
        <v>8.5</v>
      </c>
      <c r="H145" s="69"/>
      <c r="I145" s="69">
        <f t="shared" si="20"/>
        <v>17</v>
      </c>
      <c r="J145" s="72"/>
      <c r="K145" s="72" t="str">
        <f t="shared" si="21"/>
        <v> </v>
      </c>
      <c r="L145" s="72" t="str">
        <f t="shared" si="22"/>
        <v> </v>
      </c>
      <c r="M145" s="38"/>
      <c r="N145" s="69">
        <f t="shared" si="23"/>
        <v>17</v>
      </c>
      <c r="O145" s="38" t="s">
        <v>30</v>
      </c>
      <c r="P145" s="38">
        <v>2018</v>
      </c>
    </row>
    <row r="146" spans="1:16" ht="17.25" customHeight="1">
      <c r="A146" s="30">
        <v>9</v>
      </c>
      <c r="B146" s="142" t="str">
        <f t="shared" si="18"/>
        <v>زغلاني </v>
      </c>
      <c r="C146" s="142" t="str">
        <f t="shared" si="18"/>
        <v>ساعد</v>
      </c>
      <c r="D146" s="76" t="str">
        <f t="shared" si="18"/>
        <v> </v>
      </c>
      <c r="E146" s="72">
        <v>7</v>
      </c>
      <c r="F146" s="72">
        <v>7</v>
      </c>
      <c r="G146" s="69">
        <f t="shared" si="19"/>
        <v>7</v>
      </c>
      <c r="H146" s="69"/>
      <c r="I146" s="69">
        <f t="shared" si="20"/>
        <v>14</v>
      </c>
      <c r="J146" s="72"/>
      <c r="K146" s="72" t="str">
        <f t="shared" si="21"/>
        <v> </v>
      </c>
      <c r="L146" s="72" t="str">
        <f t="shared" si="22"/>
        <v> </v>
      </c>
      <c r="M146" s="38"/>
      <c r="N146" s="69">
        <f t="shared" si="23"/>
        <v>14</v>
      </c>
      <c r="O146" s="38" t="s">
        <v>30</v>
      </c>
      <c r="P146" s="38">
        <v>2018</v>
      </c>
    </row>
    <row r="147" spans="1:16" ht="17.25" customHeight="1">
      <c r="A147" s="30">
        <v>10</v>
      </c>
      <c r="B147" s="142" t="str">
        <f t="shared" si="18"/>
        <v>زياني </v>
      </c>
      <c r="C147" s="142" t="str">
        <f t="shared" si="18"/>
        <v>أميرة</v>
      </c>
      <c r="D147" s="76" t="str">
        <f t="shared" si="18"/>
        <v> </v>
      </c>
      <c r="E147" s="72">
        <v>7</v>
      </c>
      <c r="F147" s="72">
        <v>9</v>
      </c>
      <c r="G147" s="69">
        <f t="shared" si="19"/>
        <v>8</v>
      </c>
      <c r="H147" s="69"/>
      <c r="I147" s="69">
        <f t="shared" si="20"/>
        <v>16</v>
      </c>
      <c r="J147" s="72"/>
      <c r="K147" s="72" t="str">
        <f t="shared" si="21"/>
        <v> </v>
      </c>
      <c r="L147" s="72" t="str">
        <f t="shared" si="22"/>
        <v> </v>
      </c>
      <c r="M147" s="38"/>
      <c r="N147" s="69">
        <f t="shared" si="23"/>
        <v>16</v>
      </c>
      <c r="O147" s="38" t="s">
        <v>30</v>
      </c>
      <c r="P147" s="38">
        <v>2018</v>
      </c>
    </row>
    <row r="148" spans="1:16" ht="17.25" customHeight="1">
      <c r="A148" s="30">
        <v>11</v>
      </c>
      <c r="B148" s="142" t="str">
        <f t="shared" si="18"/>
        <v>شلابي </v>
      </c>
      <c r="C148" s="142" t="str">
        <f t="shared" si="18"/>
        <v>هاجر</v>
      </c>
      <c r="D148" s="76" t="str">
        <f t="shared" si="18"/>
        <v> </v>
      </c>
      <c r="E148" s="72">
        <v>8.5</v>
      </c>
      <c r="F148" s="72">
        <v>13.2</v>
      </c>
      <c r="G148" s="69">
        <f t="shared" si="19"/>
        <v>10.85</v>
      </c>
      <c r="H148" s="69"/>
      <c r="I148" s="69">
        <f t="shared" si="20"/>
        <v>21.7</v>
      </c>
      <c r="J148" s="72"/>
      <c r="K148" s="72" t="str">
        <f t="shared" si="21"/>
        <v> </v>
      </c>
      <c r="L148" s="72" t="str">
        <f t="shared" si="22"/>
        <v> </v>
      </c>
      <c r="M148" s="38"/>
      <c r="N148" s="69">
        <f t="shared" si="23"/>
        <v>21.7</v>
      </c>
      <c r="O148" s="38" t="s">
        <v>30</v>
      </c>
      <c r="P148" s="38">
        <v>2018</v>
      </c>
    </row>
    <row r="149" spans="1:16" ht="17.25" customHeight="1">
      <c r="A149" s="30">
        <v>12</v>
      </c>
      <c r="B149" s="142" t="str">
        <f t="shared" si="18"/>
        <v>صولي </v>
      </c>
      <c r="C149" s="142" t="str">
        <f t="shared" si="18"/>
        <v>هشام</v>
      </c>
      <c r="D149" s="76" t="str">
        <f t="shared" si="18"/>
        <v> </v>
      </c>
      <c r="E149" s="72">
        <v>6</v>
      </c>
      <c r="F149" s="72">
        <v>10</v>
      </c>
      <c r="G149" s="69">
        <f t="shared" si="19"/>
        <v>8</v>
      </c>
      <c r="H149" s="69"/>
      <c r="I149" s="69">
        <f t="shared" si="20"/>
        <v>16</v>
      </c>
      <c r="J149" s="72"/>
      <c r="K149" s="72" t="str">
        <f t="shared" si="21"/>
        <v> </v>
      </c>
      <c r="L149" s="72" t="str">
        <f t="shared" si="22"/>
        <v> </v>
      </c>
      <c r="M149" s="38"/>
      <c r="N149" s="69">
        <f t="shared" si="23"/>
        <v>16</v>
      </c>
      <c r="O149" s="38" t="s">
        <v>30</v>
      </c>
      <c r="P149" s="38">
        <v>2018</v>
      </c>
    </row>
    <row r="150" spans="1:16" ht="17.25" customHeight="1">
      <c r="A150" s="30">
        <v>13</v>
      </c>
      <c r="B150" s="142" t="str">
        <f t="shared" si="18"/>
        <v>عطيل</v>
      </c>
      <c r="C150" s="142" t="str">
        <f t="shared" si="18"/>
        <v>آسيا</v>
      </c>
      <c r="D150" s="76" t="str">
        <f t="shared" si="18"/>
        <v> </v>
      </c>
      <c r="E150" s="72">
        <v>18</v>
      </c>
      <c r="F150" s="72">
        <v>17.4</v>
      </c>
      <c r="G150" s="69">
        <f t="shared" si="19"/>
        <v>17.7</v>
      </c>
      <c r="H150" s="69"/>
      <c r="I150" s="69">
        <f t="shared" si="20"/>
        <v>35.4</v>
      </c>
      <c r="J150" s="72"/>
      <c r="K150" s="72" t="str">
        <f t="shared" si="21"/>
        <v> </v>
      </c>
      <c r="L150" s="72" t="str">
        <f t="shared" si="22"/>
        <v> </v>
      </c>
      <c r="M150" s="38"/>
      <c r="N150" s="69">
        <f t="shared" si="23"/>
        <v>35.4</v>
      </c>
      <c r="O150" s="38" t="s">
        <v>30</v>
      </c>
      <c r="P150" s="38">
        <v>2018</v>
      </c>
    </row>
    <row r="151" spans="1:16" ht="17.25" customHeight="1">
      <c r="A151" s="30">
        <v>14</v>
      </c>
      <c r="B151" s="142" t="str">
        <f t="shared" si="18"/>
        <v>عيدود </v>
      </c>
      <c r="C151" s="142" t="str">
        <f t="shared" si="18"/>
        <v>صبرينة</v>
      </c>
      <c r="D151" s="76" t="str">
        <f t="shared" si="18"/>
        <v> </v>
      </c>
      <c r="E151" s="72">
        <v>5</v>
      </c>
      <c r="F151" s="72">
        <v>11.4</v>
      </c>
      <c r="G151" s="69">
        <f t="shared" si="19"/>
        <v>8.2</v>
      </c>
      <c r="H151" s="69"/>
      <c r="I151" s="69">
        <f t="shared" si="20"/>
        <v>16.4</v>
      </c>
      <c r="J151" s="72"/>
      <c r="K151" s="72" t="str">
        <f t="shared" si="21"/>
        <v> </v>
      </c>
      <c r="L151" s="72" t="str">
        <f t="shared" si="22"/>
        <v> </v>
      </c>
      <c r="M151" s="38"/>
      <c r="N151" s="69">
        <f t="shared" si="23"/>
        <v>16.4</v>
      </c>
      <c r="O151" s="38" t="s">
        <v>30</v>
      </c>
      <c r="P151" s="38">
        <v>2018</v>
      </c>
    </row>
    <row r="152" spans="1:16" ht="17.25" customHeight="1">
      <c r="A152" s="30">
        <v>15</v>
      </c>
      <c r="B152" s="142" t="str">
        <f t="shared" si="18"/>
        <v>قايدي </v>
      </c>
      <c r="C152" s="142" t="str">
        <f t="shared" si="18"/>
        <v>مريم</v>
      </c>
      <c r="D152" s="76" t="str">
        <f t="shared" si="18"/>
        <v> </v>
      </c>
      <c r="E152" s="72">
        <v>5</v>
      </c>
      <c r="F152" s="72">
        <v>15</v>
      </c>
      <c r="G152" s="69">
        <f t="shared" si="19"/>
        <v>10</v>
      </c>
      <c r="H152" s="69"/>
      <c r="I152" s="69">
        <f t="shared" si="20"/>
        <v>20</v>
      </c>
      <c r="J152" s="72"/>
      <c r="K152" s="72" t="str">
        <f t="shared" si="21"/>
        <v> </v>
      </c>
      <c r="L152" s="72" t="str">
        <f t="shared" si="22"/>
        <v> </v>
      </c>
      <c r="M152" s="38"/>
      <c r="N152" s="69">
        <f t="shared" si="23"/>
        <v>20</v>
      </c>
      <c r="O152" s="38" t="s">
        <v>30</v>
      </c>
      <c r="P152" s="38">
        <v>2018</v>
      </c>
    </row>
    <row r="153" spans="1:16" ht="17.25" customHeight="1">
      <c r="A153" s="30">
        <v>16</v>
      </c>
      <c r="B153" s="142" t="str">
        <f t="shared" si="18"/>
        <v>قرايفية </v>
      </c>
      <c r="C153" s="142" t="str">
        <f t="shared" si="18"/>
        <v>فؤاد</v>
      </c>
      <c r="D153" s="76" t="str">
        <f t="shared" si="18"/>
        <v> </v>
      </c>
      <c r="E153" s="72">
        <v>12</v>
      </c>
      <c r="F153" s="72">
        <v>12.2</v>
      </c>
      <c r="G153" s="69">
        <f t="shared" si="19"/>
        <v>12.1</v>
      </c>
      <c r="H153" s="69"/>
      <c r="I153" s="69">
        <f t="shared" si="20"/>
        <v>24.2</v>
      </c>
      <c r="J153" s="72"/>
      <c r="K153" s="72" t="str">
        <f t="shared" si="21"/>
        <v> </v>
      </c>
      <c r="L153" s="72" t="str">
        <f t="shared" si="22"/>
        <v> </v>
      </c>
      <c r="M153" s="38"/>
      <c r="N153" s="69">
        <f t="shared" si="23"/>
        <v>24.2</v>
      </c>
      <c r="O153" s="38" t="s">
        <v>30</v>
      </c>
      <c r="P153" s="38">
        <v>2018</v>
      </c>
    </row>
    <row r="154" spans="1:16" ht="17.25" customHeight="1">
      <c r="A154" s="30">
        <v>17</v>
      </c>
      <c r="B154" s="142" t="str">
        <f t="shared" si="18"/>
        <v>قوادرية</v>
      </c>
      <c r="C154" s="142" t="str">
        <f t="shared" si="18"/>
        <v>مريم</v>
      </c>
      <c r="D154" s="76" t="str">
        <f t="shared" si="18"/>
        <v> </v>
      </c>
      <c r="E154" s="72">
        <v>18.5</v>
      </c>
      <c r="F154" s="72">
        <v>18.8</v>
      </c>
      <c r="G154" s="69">
        <f t="shared" si="19"/>
        <v>18.65</v>
      </c>
      <c r="H154" s="69"/>
      <c r="I154" s="69">
        <f t="shared" si="20"/>
        <v>37.3</v>
      </c>
      <c r="J154" s="72"/>
      <c r="K154" s="72" t="str">
        <f t="shared" si="21"/>
        <v> </v>
      </c>
      <c r="L154" s="72" t="str">
        <f t="shared" si="22"/>
        <v> </v>
      </c>
      <c r="M154" s="38"/>
      <c r="N154" s="69">
        <f t="shared" si="23"/>
        <v>37.3</v>
      </c>
      <c r="O154" s="38" t="s">
        <v>30</v>
      </c>
      <c r="P154" s="38">
        <v>2018</v>
      </c>
    </row>
    <row r="155" spans="1:16" ht="17.25" customHeight="1">
      <c r="A155" s="30">
        <v>18</v>
      </c>
      <c r="B155" s="142" t="str">
        <f t="shared" si="18"/>
        <v>محفوظ </v>
      </c>
      <c r="C155" s="142" t="str">
        <f t="shared" si="18"/>
        <v>بشرى</v>
      </c>
      <c r="D155" s="76" t="str">
        <f t="shared" si="18"/>
        <v> </v>
      </c>
      <c r="E155" s="72">
        <v>18</v>
      </c>
      <c r="F155" s="72">
        <v>18.8</v>
      </c>
      <c r="G155" s="69">
        <f t="shared" si="19"/>
        <v>18.4</v>
      </c>
      <c r="H155" s="69"/>
      <c r="I155" s="69">
        <f t="shared" si="20"/>
        <v>36.8</v>
      </c>
      <c r="J155" s="72"/>
      <c r="K155" s="72" t="str">
        <f t="shared" si="21"/>
        <v> </v>
      </c>
      <c r="L155" s="72" t="str">
        <f t="shared" si="22"/>
        <v> </v>
      </c>
      <c r="M155" s="38"/>
      <c r="N155" s="69">
        <f t="shared" si="23"/>
        <v>36.8</v>
      </c>
      <c r="O155" s="38" t="s">
        <v>30</v>
      </c>
      <c r="P155" s="38">
        <v>2018</v>
      </c>
    </row>
    <row r="156" spans="1:16" ht="17.25" customHeight="1">
      <c r="A156" s="30">
        <v>19</v>
      </c>
      <c r="B156" s="142" t="str">
        <f t="shared" si="18"/>
        <v>مسطوري </v>
      </c>
      <c r="C156" s="142" t="str">
        <f t="shared" si="18"/>
        <v>سارة</v>
      </c>
      <c r="D156" s="76" t="str">
        <f t="shared" si="18"/>
        <v> </v>
      </c>
      <c r="E156" s="72">
        <v>8</v>
      </c>
      <c r="F156" s="72">
        <v>13</v>
      </c>
      <c r="G156" s="69">
        <f t="shared" si="19"/>
        <v>10.5</v>
      </c>
      <c r="H156" s="69"/>
      <c r="I156" s="69">
        <f t="shared" si="20"/>
        <v>21</v>
      </c>
      <c r="J156" s="72"/>
      <c r="K156" s="72" t="str">
        <f t="shared" si="21"/>
        <v> </v>
      </c>
      <c r="L156" s="72" t="str">
        <f t="shared" si="22"/>
        <v> </v>
      </c>
      <c r="M156" s="38"/>
      <c r="N156" s="69">
        <f t="shared" si="23"/>
        <v>21</v>
      </c>
      <c r="O156" s="38" t="s">
        <v>30</v>
      </c>
      <c r="P156" s="38">
        <v>2018</v>
      </c>
    </row>
    <row r="157" spans="1:16" ht="17.25" customHeight="1">
      <c r="A157" s="30">
        <v>20</v>
      </c>
      <c r="B157" s="142" t="str">
        <f t="shared" si="18"/>
        <v>هداف </v>
      </c>
      <c r="C157" s="142" t="str">
        <f t="shared" si="18"/>
        <v>حياة</v>
      </c>
      <c r="D157" s="76" t="str">
        <f t="shared" si="18"/>
        <v> </v>
      </c>
      <c r="E157" s="72">
        <v>6</v>
      </c>
      <c r="F157" s="72">
        <v>12.2</v>
      </c>
      <c r="G157" s="69">
        <f t="shared" si="19"/>
        <v>9.1</v>
      </c>
      <c r="H157" s="69"/>
      <c r="I157" s="69">
        <f t="shared" si="20"/>
        <v>18.2</v>
      </c>
      <c r="J157" s="72"/>
      <c r="K157" s="72" t="str">
        <f t="shared" si="21"/>
        <v> </v>
      </c>
      <c r="L157" s="72" t="str">
        <f t="shared" si="22"/>
        <v> </v>
      </c>
      <c r="M157" s="38"/>
      <c r="N157" s="69">
        <f t="shared" si="23"/>
        <v>18.2</v>
      </c>
      <c r="O157" s="38" t="s">
        <v>30</v>
      </c>
      <c r="P157" s="38">
        <v>2018</v>
      </c>
    </row>
    <row r="158" spans="1:16" ht="17.25" customHeight="1">
      <c r="A158" s="30">
        <v>21</v>
      </c>
      <c r="B158" s="142" t="str">
        <f t="shared" si="18"/>
        <v> </v>
      </c>
      <c r="C158" s="142" t="str">
        <f t="shared" si="18"/>
        <v> </v>
      </c>
      <c r="D158" s="76" t="str">
        <f t="shared" si="18"/>
        <v> </v>
      </c>
      <c r="E158" s="72"/>
      <c r="F158" s="72"/>
      <c r="G158" s="69">
        <f t="shared" si="19"/>
        <v>0</v>
      </c>
      <c r="H158" s="69"/>
      <c r="I158" s="69">
        <f t="shared" si="20"/>
        <v>0</v>
      </c>
      <c r="J158" s="72"/>
      <c r="K158" s="72" t="str">
        <f t="shared" si="21"/>
        <v> </v>
      </c>
      <c r="L158" s="72" t="str">
        <f t="shared" si="22"/>
        <v> </v>
      </c>
      <c r="M158" s="38"/>
      <c r="N158" s="69">
        <f t="shared" si="23"/>
        <v>0</v>
      </c>
      <c r="O158" s="38" t="s">
        <v>30</v>
      </c>
      <c r="P158" s="38">
        <v>2018</v>
      </c>
    </row>
    <row r="159" spans="1:16" ht="17.25" customHeight="1">
      <c r="A159" s="30">
        <v>22</v>
      </c>
      <c r="B159" s="142" t="str">
        <f t="shared" si="18"/>
        <v> </v>
      </c>
      <c r="C159" s="142" t="str">
        <f t="shared" si="18"/>
        <v> </v>
      </c>
      <c r="D159" s="76" t="str">
        <f t="shared" si="18"/>
        <v> </v>
      </c>
      <c r="E159" s="72"/>
      <c r="F159" s="72"/>
      <c r="G159" s="69">
        <f t="shared" si="19"/>
        <v>0</v>
      </c>
      <c r="H159" s="69"/>
      <c r="I159" s="69">
        <f t="shared" si="20"/>
        <v>0</v>
      </c>
      <c r="J159" s="72"/>
      <c r="K159" s="72" t="str">
        <f t="shared" si="21"/>
        <v> </v>
      </c>
      <c r="L159" s="72" t="str">
        <f t="shared" si="22"/>
        <v> </v>
      </c>
      <c r="M159" s="38"/>
      <c r="N159" s="69">
        <f t="shared" si="23"/>
        <v>0</v>
      </c>
      <c r="O159" s="38" t="s">
        <v>30</v>
      </c>
      <c r="P159" s="38">
        <v>2018</v>
      </c>
    </row>
    <row r="160" spans="1:16" ht="17.25" customHeight="1">
      <c r="A160" s="30">
        <v>23</v>
      </c>
      <c r="B160" s="142" t="str">
        <f t="shared" si="18"/>
        <v> </v>
      </c>
      <c r="C160" s="142" t="str">
        <f t="shared" si="18"/>
        <v> </v>
      </c>
      <c r="D160" s="76" t="str">
        <f t="shared" si="18"/>
        <v> </v>
      </c>
      <c r="E160" s="72"/>
      <c r="F160" s="72"/>
      <c r="G160" s="69">
        <f t="shared" si="19"/>
        <v>0</v>
      </c>
      <c r="H160" s="69"/>
      <c r="I160" s="69">
        <f t="shared" si="20"/>
        <v>0</v>
      </c>
      <c r="J160" s="72"/>
      <c r="K160" s="72" t="str">
        <f t="shared" si="21"/>
        <v> </v>
      </c>
      <c r="L160" s="72" t="str">
        <f t="shared" si="22"/>
        <v> </v>
      </c>
      <c r="M160" s="38"/>
      <c r="N160" s="69">
        <f t="shared" si="23"/>
        <v>0</v>
      </c>
      <c r="O160" s="38" t="s">
        <v>30</v>
      </c>
      <c r="P160" s="38">
        <v>2018</v>
      </c>
    </row>
    <row r="161" spans="1:16" ht="17.25" customHeight="1">
      <c r="A161" s="30">
        <v>24</v>
      </c>
      <c r="B161" s="142" t="str">
        <f t="shared" si="18"/>
        <v> </v>
      </c>
      <c r="C161" s="142" t="str">
        <f t="shared" si="18"/>
        <v> </v>
      </c>
      <c r="D161" s="76" t="str">
        <f t="shared" si="18"/>
        <v> </v>
      </c>
      <c r="E161" s="72"/>
      <c r="F161" s="72"/>
      <c r="G161" s="69">
        <f t="shared" si="19"/>
        <v>0</v>
      </c>
      <c r="H161" s="69"/>
      <c r="I161" s="69">
        <f t="shared" si="20"/>
        <v>0</v>
      </c>
      <c r="J161" s="72"/>
      <c r="K161" s="72" t="str">
        <f t="shared" si="21"/>
        <v> </v>
      </c>
      <c r="L161" s="72" t="str">
        <f t="shared" si="22"/>
        <v> </v>
      </c>
      <c r="M161" s="38"/>
      <c r="N161" s="69">
        <f t="shared" si="23"/>
        <v>0</v>
      </c>
      <c r="O161" s="38" t="s">
        <v>30</v>
      </c>
      <c r="P161" s="38">
        <v>2018</v>
      </c>
    </row>
    <row r="162" spans="1:16" ht="17.25" customHeight="1">
      <c r="A162" s="30">
        <v>25</v>
      </c>
      <c r="B162" s="142" t="str">
        <f t="shared" si="18"/>
        <v> </v>
      </c>
      <c r="C162" s="142" t="str">
        <f t="shared" si="18"/>
        <v> </v>
      </c>
      <c r="D162" s="76" t="str">
        <f t="shared" si="18"/>
        <v> </v>
      </c>
      <c r="E162" s="72"/>
      <c r="F162" s="72"/>
      <c r="G162" s="69">
        <f t="shared" si="19"/>
        <v>0</v>
      </c>
      <c r="H162" s="69"/>
      <c r="I162" s="69">
        <f t="shared" si="20"/>
        <v>0</v>
      </c>
      <c r="J162" s="72"/>
      <c r="K162" s="72" t="str">
        <f t="shared" si="21"/>
        <v> </v>
      </c>
      <c r="L162" s="72" t="str">
        <f t="shared" si="22"/>
        <v> </v>
      </c>
      <c r="M162" s="38"/>
      <c r="N162" s="69">
        <f t="shared" si="23"/>
        <v>0</v>
      </c>
      <c r="O162" s="38" t="s">
        <v>30</v>
      </c>
      <c r="P162" s="38">
        <v>2018</v>
      </c>
    </row>
    <row r="163" spans="1:16" ht="17.25" customHeight="1">
      <c r="A163" s="30">
        <v>26</v>
      </c>
      <c r="B163" s="142" t="str">
        <f t="shared" si="18"/>
        <v> </v>
      </c>
      <c r="C163" s="142" t="str">
        <f t="shared" si="18"/>
        <v> </v>
      </c>
      <c r="D163" s="76" t="str">
        <f t="shared" si="18"/>
        <v> </v>
      </c>
      <c r="E163" s="72"/>
      <c r="F163" s="72"/>
      <c r="G163" s="69">
        <f t="shared" si="19"/>
        <v>0</v>
      </c>
      <c r="H163" s="69"/>
      <c r="I163" s="69">
        <f t="shared" si="20"/>
        <v>0</v>
      </c>
      <c r="J163" s="72"/>
      <c r="K163" s="72" t="str">
        <f t="shared" si="21"/>
        <v> </v>
      </c>
      <c r="L163" s="72" t="str">
        <f t="shared" si="22"/>
        <v> </v>
      </c>
      <c r="M163" s="38"/>
      <c r="N163" s="69">
        <f t="shared" si="23"/>
        <v>0</v>
      </c>
      <c r="O163" s="38" t="s">
        <v>30</v>
      </c>
      <c r="P163" s="38">
        <v>2018</v>
      </c>
    </row>
    <row r="164" spans="1:16" ht="17.25" customHeight="1">
      <c r="A164" s="30">
        <v>27</v>
      </c>
      <c r="B164" s="142" t="str">
        <f t="shared" si="18"/>
        <v> </v>
      </c>
      <c r="C164" s="142" t="str">
        <f t="shared" si="18"/>
        <v> </v>
      </c>
      <c r="D164" s="76" t="str">
        <f t="shared" si="18"/>
        <v> </v>
      </c>
      <c r="E164" s="72"/>
      <c r="F164" s="72"/>
      <c r="G164" s="69">
        <f t="shared" si="19"/>
        <v>0</v>
      </c>
      <c r="H164" s="69"/>
      <c r="I164" s="69">
        <f t="shared" si="20"/>
        <v>0</v>
      </c>
      <c r="J164" s="72"/>
      <c r="K164" s="72" t="str">
        <f t="shared" si="21"/>
        <v> </v>
      </c>
      <c r="L164" s="72" t="str">
        <f t="shared" si="22"/>
        <v> </v>
      </c>
      <c r="M164" s="38"/>
      <c r="N164" s="69">
        <f t="shared" si="23"/>
        <v>0</v>
      </c>
      <c r="O164" s="38" t="s">
        <v>30</v>
      </c>
      <c r="P164" s="38">
        <v>2018</v>
      </c>
    </row>
    <row r="165" spans="1:16" ht="17.25" customHeight="1">
      <c r="A165" s="30">
        <v>28</v>
      </c>
      <c r="B165" s="142" t="str">
        <f t="shared" si="18"/>
        <v> </v>
      </c>
      <c r="C165" s="142" t="str">
        <f t="shared" si="18"/>
        <v> </v>
      </c>
      <c r="D165" s="76" t="str">
        <f t="shared" si="18"/>
        <v> </v>
      </c>
      <c r="E165" s="72"/>
      <c r="F165" s="72"/>
      <c r="G165" s="69">
        <f t="shared" si="19"/>
        <v>0</v>
      </c>
      <c r="H165" s="69"/>
      <c r="I165" s="69">
        <f t="shared" si="20"/>
        <v>0</v>
      </c>
      <c r="J165" s="72"/>
      <c r="K165" s="72" t="str">
        <f t="shared" si="21"/>
        <v> </v>
      </c>
      <c r="L165" s="72" t="str">
        <f t="shared" si="22"/>
        <v> </v>
      </c>
      <c r="M165" s="38"/>
      <c r="N165" s="69">
        <f t="shared" si="23"/>
        <v>0</v>
      </c>
      <c r="O165" s="38" t="s">
        <v>30</v>
      </c>
      <c r="P165" s="38">
        <v>2018</v>
      </c>
    </row>
    <row r="166" spans="1:16" ht="17.25" customHeight="1">
      <c r="A166" s="30">
        <v>29</v>
      </c>
      <c r="B166" s="142" t="str">
        <f t="shared" si="18"/>
        <v> </v>
      </c>
      <c r="C166" s="142" t="str">
        <f t="shared" si="18"/>
        <v> </v>
      </c>
      <c r="D166" s="76" t="str">
        <f t="shared" si="18"/>
        <v> </v>
      </c>
      <c r="E166" s="72"/>
      <c r="F166" s="72"/>
      <c r="G166" s="69">
        <f t="shared" si="19"/>
        <v>0</v>
      </c>
      <c r="H166" s="69"/>
      <c r="I166" s="69">
        <f t="shared" si="20"/>
        <v>0</v>
      </c>
      <c r="J166" s="72"/>
      <c r="K166" s="72" t="str">
        <f t="shared" si="21"/>
        <v> </v>
      </c>
      <c r="L166" s="72" t="str">
        <f t="shared" si="22"/>
        <v> </v>
      </c>
      <c r="M166" s="38"/>
      <c r="N166" s="69">
        <f t="shared" si="23"/>
        <v>0</v>
      </c>
      <c r="O166" s="38" t="s">
        <v>30</v>
      </c>
      <c r="P166" s="38">
        <v>2018</v>
      </c>
    </row>
    <row r="167" spans="1:16" ht="17.25" customHeight="1">
      <c r="A167" s="30">
        <v>30</v>
      </c>
      <c r="B167" s="142" t="str">
        <f t="shared" si="18"/>
        <v> </v>
      </c>
      <c r="C167" s="142" t="str">
        <f t="shared" si="18"/>
        <v> </v>
      </c>
      <c r="D167" s="76" t="str">
        <f t="shared" si="18"/>
        <v> </v>
      </c>
      <c r="E167" s="72"/>
      <c r="F167" s="72"/>
      <c r="G167" s="69">
        <f t="shared" si="19"/>
        <v>0</v>
      </c>
      <c r="H167" s="69"/>
      <c r="I167" s="69">
        <f t="shared" si="20"/>
        <v>0</v>
      </c>
      <c r="J167" s="72"/>
      <c r="K167" s="72" t="str">
        <f t="shared" si="21"/>
        <v> </v>
      </c>
      <c r="L167" s="72" t="str">
        <f t="shared" si="22"/>
        <v> </v>
      </c>
      <c r="M167" s="38"/>
      <c r="N167" s="69">
        <f t="shared" si="23"/>
        <v>0</v>
      </c>
      <c r="O167" s="38" t="s">
        <v>30</v>
      </c>
      <c r="P167" s="38">
        <v>2018</v>
      </c>
    </row>
    <row r="168" spans="1:16" ht="17.25" customHeight="1" hidden="1">
      <c r="A168" s="30">
        <v>31</v>
      </c>
      <c r="B168" s="142" t="str">
        <f t="shared" si="18"/>
        <v> </v>
      </c>
      <c r="C168" s="142" t="str">
        <f t="shared" si="18"/>
        <v> </v>
      </c>
      <c r="D168" s="76" t="str">
        <f t="shared" si="18"/>
        <v> </v>
      </c>
      <c r="E168" s="72"/>
      <c r="F168" s="72"/>
      <c r="G168" s="69">
        <f t="shared" si="19"/>
        <v>0</v>
      </c>
      <c r="H168" s="69"/>
      <c r="I168" s="69">
        <f t="shared" si="20"/>
        <v>0</v>
      </c>
      <c r="J168" s="72"/>
      <c r="K168" s="72" t="str">
        <f t="shared" si="21"/>
        <v> </v>
      </c>
      <c r="L168" s="72" t="str">
        <f t="shared" si="22"/>
        <v> </v>
      </c>
      <c r="M168" s="38"/>
      <c r="N168" s="69">
        <f t="shared" si="23"/>
        <v>0</v>
      </c>
      <c r="O168" s="38" t="s">
        <v>30</v>
      </c>
      <c r="P168" s="38">
        <v>2018</v>
      </c>
    </row>
    <row r="169" spans="1:16" ht="17.25" customHeight="1" hidden="1">
      <c r="A169" s="30">
        <v>32</v>
      </c>
      <c r="B169" s="142" t="str">
        <f t="shared" si="18"/>
        <v> </v>
      </c>
      <c r="C169" s="142" t="str">
        <f t="shared" si="18"/>
        <v> </v>
      </c>
      <c r="D169" s="76" t="str">
        <f t="shared" si="18"/>
        <v> </v>
      </c>
      <c r="E169" s="72"/>
      <c r="F169" s="72"/>
      <c r="G169" s="69">
        <f t="shared" si="19"/>
        <v>0</v>
      </c>
      <c r="H169" s="69"/>
      <c r="I169" s="69">
        <f t="shared" si="20"/>
        <v>0</v>
      </c>
      <c r="J169" s="72"/>
      <c r="K169" s="72" t="str">
        <f t="shared" si="21"/>
        <v> </v>
      </c>
      <c r="L169" s="72" t="str">
        <f t="shared" si="22"/>
        <v> </v>
      </c>
      <c r="M169" s="38"/>
      <c r="N169" s="69">
        <f t="shared" si="23"/>
        <v>0</v>
      </c>
      <c r="O169" s="38" t="s">
        <v>30</v>
      </c>
      <c r="P169" s="38">
        <v>2018</v>
      </c>
    </row>
    <row r="170" spans="2:16" ht="18">
      <c r="B170" s="19"/>
      <c r="C170" s="19"/>
      <c r="D170" s="264"/>
      <c r="O170" s="38" t="s">
        <v>30</v>
      </c>
      <c r="P170" s="38">
        <v>2018</v>
      </c>
    </row>
    <row r="171" spans="2:16" ht="18">
      <c r="B171" s="19"/>
      <c r="C171" s="264"/>
      <c r="D171" s="264"/>
      <c r="O171" s="38" t="s">
        <v>30</v>
      </c>
      <c r="P171" s="38">
        <v>2018</v>
      </c>
    </row>
    <row r="172" spans="2:16" ht="18">
      <c r="B172" s="19"/>
      <c r="C172" s="264" t="s">
        <v>18</v>
      </c>
      <c r="D172" s="264"/>
      <c r="P172" s="297"/>
    </row>
    <row r="173" spans="2:16" ht="18">
      <c r="B173" s="19"/>
      <c r="C173" s="264"/>
      <c r="D173" s="264"/>
      <c r="P173" s="297"/>
    </row>
    <row r="174" spans="1:14" ht="19.5" customHeight="1">
      <c r="A174" s="86" t="s">
        <v>0</v>
      </c>
      <c r="B174" s="308"/>
      <c r="C174" s="308"/>
      <c r="D174" s="87"/>
      <c r="E174" s="266"/>
      <c r="F174" s="8"/>
      <c r="G174" s="8"/>
      <c r="H174" s="8"/>
      <c r="I174" s="8"/>
      <c r="J174" s="271"/>
      <c r="K174" s="276" t="str">
        <f>K1</f>
        <v>السنة الثانية ماستر إقتصاد نقدي وبنكي </v>
      </c>
      <c r="N174" s="271"/>
    </row>
    <row r="175" spans="1:14" ht="19.5" customHeight="1">
      <c r="A175" s="86" t="s">
        <v>2</v>
      </c>
      <c r="B175" s="308"/>
      <c r="C175" s="308"/>
      <c r="D175" s="87"/>
      <c r="E175" s="266"/>
      <c r="F175" s="273" t="s">
        <v>3</v>
      </c>
      <c r="G175" s="674" t="s">
        <v>209</v>
      </c>
      <c r="H175" s="668"/>
      <c r="I175" s="669"/>
      <c r="J175" s="275"/>
      <c r="K175" s="276" t="s">
        <v>1</v>
      </c>
      <c r="L175" s="271"/>
      <c r="M175" s="271"/>
      <c r="N175" s="271" t="str">
        <f>N2</f>
        <v>2017-2018</v>
      </c>
    </row>
    <row r="176" spans="1:14" ht="19.5" customHeight="1">
      <c r="A176" s="86" t="s">
        <v>4</v>
      </c>
      <c r="B176" s="308"/>
      <c r="C176" s="308"/>
      <c r="D176" s="87"/>
      <c r="E176" s="266"/>
      <c r="F176" s="273" t="s">
        <v>5</v>
      </c>
      <c r="G176" s="668">
        <v>2</v>
      </c>
      <c r="H176" s="668"/>
      <c r="I176" s="669" t="s">
        <v>39</v>
      </c>
      <c r="J176" s="274">
        <v>4</v>
      </c>
      <c r="K176" s="275"/>
      <c r="L176" s="271"/>
      <c r="M176" s="271"/>
      <c r="N176" s="271"/>
    </row>
    <row r="177" spans="1:14" ht="18">
      <c r="A177" s="93"/>
      <c r="B177" s="308"/>
      <c r="C177" s="308"/>
      <c r="D177" s="87"/>
      <c r="E177" s="266"/>
      <c r="F177" s="273" t="s">
        <v>6</v>
      </c>
      <c r="G177" s="674" t="s">
        <v>496</v>
      </c>
      <c r="H177" s="668"/>
      <c r="I177" s="669"/>
      <c r="K177" s="275" t="s">
        <v>85</v>
      </c>
      <c r="L177" s="271"/>
      <c r="M177" s="271"/>
      <c r="N177" s="271"/>
    </row>
    <row r="178" spans="1:14" ht="25.5" customHeight="1">
      <c r="A178" s="93" t="s">
        <v>7</v>
      </c>
      <c r="B178" s="308">
        <f>B5</f>
        <v>2</v>
      </c>
      <c r="C178" s="308"/>
      <c r="D178" s="87"/>
      <c r="E178" s="267"/>
      <c r="F178" s="271"/>
      <c r="G178" s="278" t="s">
        <v>8</v>
      </c>
      <c r="H178" s="279"/>
      <c r="I178" s="277"/>
      <c r="J178" s="277"/>
      <c r="K178" s="277"/>
      <c r="L178" s="283" t="s">
        <v>114</v>
      </c>
      <c r="M178" s="271"/>
      <c r="N178" s="271"/>
    </row>
    <row r="179" spans="1:14" ht="18">
      <c r="A179" s="93"/>
      <c r="B179" s="308"/>
      <c r="C179" s="308"/>
      <c r="D179" s="87"/>
      <c r="E179" s="266"/>
      <c r="F179" s="271"/>
      <c r="G179" s="271"/>
      <c r="H179" s="271"/>
      <c r="I179" s="271"/>
      <c r="J179" s="271"/>
      <c r="K179" s="271"/>
      <c r="L179" s="271"/>
      <c r="M179" s="271"/>
      <c r="N179" s="271"/>
    </row>
    <row r="180" spans="1:14" ht="25.5">
      <c r="A180" s="65" t="s">
        <v>9</v>
      </c>
      <c r="B180" s="299" t="s">
        <v>163</v>
      </c>
      <c r="C180" s="299" t="s">
        <v>164</v>
      </c>
      <c r="D180" s="66"/>
      <c r="E180" s="68" t="s">
        <v>17</v>
      </c>
      <c r="F180" s="88" t="s">
        <v>10</v>
      </c>
      <c r="G180" s="88" t="s">
        <v>11</v>
      </c>
      <c r="H180" s="66" t="s">
        <v>14</v>
      </c>
      <c r="I180" s="88" t="s">
        <v>16</v>
      </c>
      <c r="J180" s="88" t="s">
        <v>13</v>
      </c>
      <c r="K180" s="88" t="s">
        <v>12</v>
      </c>
      <c r="L180" s="88" t="s">
        <v>16</v>
      </c>
      <c r="M180" s="66" t="s">
        <v>14</v>
      </c>
      <c r="N180" s="700" t="s">
        <v>15</v>
      </c>
    </row>
    <row r="181" spans="1:16" ht="18">
      <c r="A181" s="70"/>
      <c r="B181" s="311"/>
      <c r="C181" s="311"/>
      <c r="D181" s="71"/>
      <c r="E181" s="89">
        <v>20</v>
      </c>
      <c r="F181" s="90">
        <v>20</v>
      </c>
      <c r="G181" s="90">
        <v>20</v>
      </c>
      <c r="H181" s="71" t="s">
        <v>30</v>
      </c>
      <c r="I181" s="90">
        <v>40</v>
      </c>
      <c r="J181" s="90">
        <v>20</v>
      </c>
      <c r="K181" s="90">
        <v>20</v>
      </c>
      <c r="L181" s="71">
        <v>60</v>
      </c>
      <c r="M181" s="71" t="s">
        <v>31</v>
      </c>
      <c r="N181" s="701"/>
      <c r="O181" s="141"/>
      <c r="P181" s="38"/>
    </row>
    <row r="182" spans="1:16" ht="17.25" customHeight="1">
      <c r="A182" s="30">
        <v>1</v>
      </c>
      <c r="B182" s="142" t="str">
        <f aca="true" t="shared" si="24" ref="B182:D213">IF(B8&gt;0,B8," ")</f>
        <v>الحاج </v>
      </c>
      <c r="C182" s="142" t="str">
        <f t="shared" si="24"/>
        <v>مروة</v>
      </c>
      <c r="D182" s="76" t="str">
        <f t="shared" si="24"/>
        <v> </v>
      </c>
      <c r="E182" s="72">
        <v>10</v>
      </c>
      <c r="F182" s="72">
        <v>13.5</v>
      </c>
      <c r="G182" s="69">
        <f>(F182+E182)/2</f>
        <v>11.75</v>
      </c>
      <c r="H182" s="69"/>
      <c r="I182" s="69">
        <f>(2*G182)+H182</f>
        <v>23.5</v>
      </c>
      <c r="J182" s="38"/>
      <c r="K182" s="72" t="str">
        <f>IF(J182&gt;0,(J182+F182)/2," ")</f>
        <v> </v>
      </c>
      <c r="L182" s="72" t="str">
        <f>IF(J182&gt;0,((J182+F182)/2)*2," ")</f>
        <v> </v>
      </c>
      <c r="M182" s="38"/>
      <c r="N182" s="69">
        <f>IF(I182&gt;((J182+F182)/2)*2+M182,I182+M182,(((J182+F182)/2)*2)+M182)</f>
        <v>23.5</v>
      </c>
      <c r="O182" s="38" t="s">
        <v>30</v>
      </c>
      <c r="P182" s="38">
        <v>2018</v>
      </c>
    </row>
    <row r="183" spans="1:16" ht="17.25" customHeight="1">
      <c r="A183" s="30">
        <v>2</v>
      </c>
      <c r="B183" s="142" t="str">
        <f t="shared" si="24"/>
        <v>العياشي </v>
      </c>
      <c r="C183" s="142" t="str">
        <f t="shared" si="24"/>
        <v>نوار</v>
      </c>
      <c r="D183" s="76" t="str">
        <f t="shared" si="24"/>
        <v> </v>
      </c>
      <c r="E183" s="72"/>
      <c r="F183" s="72">
        <v>15</v>
      </c>
      <c r="G183" s="69">
        <f aca="true" t="shared" si="25" ref="G183:G213">(F183+E183)/2</f>
        <v>7.5</v>
      </c>
      <c r="H183" s="69"/>
      <c r="I183" s="69">
        <f aca="true" t="shared" si="26" ref="I183:I213">(2*G183)+H183</f>
        <v>15</v>
      </c>
      <c r="J183" s="38"/>
      <c r="K183" s="72" t="str">
        <f aca="true" t="shared" si="27" ref="K183:K213">IF(J183&gt;0,(J183+F183)/2," ")</f>
        <v> </v>
      </c>
      <c r="L183" s="72" t="str">
        <f aca="true" t="shared" si="28" ref="L183:L213">IF(J183&gt;0,((J183+F183)/2)*2," ")</f>
        <v> </v>
      </c>
      <c r="M183" s="38"/>
      <c r="N183" s="69">
        <f aca="true" t="shared" si="29" ref="N183:N213">IF(I183&gt;((J183+F183)/2)*2+M183,I183+M183,(((J183+F183)/2)*2)+M183)</f>
        <v>15</v>
      </c>
      <c r="O183" s="38" t="s">
        <v>30</v>
      </c>
      <c r="P183" s="38">
        <v>2018</v>
      </c>
    </row>
    <row r="184" spans="1:16" ht="17.25" customHeight="1">
      <c r="A184" s="30">
        <v>3</v>
      </c>
      <c r="B184" s="142" t="str">
        <f t="shared" si="24"/>
        <v>باطح </v>
      </c>
      <c r="C184" s="142" t="str">
        <f t="shared" si="24"/>
        <v>محمد لمين</v>
      </c>
      <c r="D184" s="76" t="str">
        <f t="shared" si="24"/>
        <v> </v>
      </c>
      <c r="E184" s="72">
        <v>10</v>
      </c>
      <c r="F184" s="72">
        <v>14.5</v>
      </c>
      <c r="G184" s="69">
        <f t="shared" si="25"/>
        <v>12.25</v>
      </c>
      <c r="H184" s="69"/>
      <c r="I184" s="69">
        <f t="shared" si="26"/>
        <v>24.5</v>
      </c>
      <c r="J184" s="38"/>
      <c r="K184" s="72" t="str">
        <f t="shared" si="27"/>
        <v> </v>
      </c>
      <c r="L184" s="72" t="str">
        <f t="shared" si="28"/>
        <v> </v>
      </c>
      <c r="M184" s="38"/>
      <c r="N184" s="69">
        <f t="shared" si="29"/>
        <v>24.5</v>
      </c>
      <c r="O184" s="38" t="s">
        <v>30</v>
      </c>
      <c r="P184" s="38">
        <v>2018</v>
      </c>
    </row>
    <row r="185" spans="1:16" ht="17.25" customHeight="1">
      <c r="A185" s="30">
        <v>4</v>
      </c>
      <c r="B185" s="142" t="str">
        <f t="shared" si="24"/>
        <v>بوساحة </v>
      </c>
      <c r="C185" s="142" t="str">
        <f t="shared" si="24"/>
        <v>حسام الدين</v>
      </c>
      <c r="D185" s="76" t="str">
        <f t="shared" si="24"/>
        <v> </v>
      </c>
      <c r="E185" s="72">
        <v>11</v>
      </c>
      <c r="F185" s="72">
        <v>14.5</v>
      </c>
      <c r="G185" s="69">
        <f t="shared" si="25"/>
        <v>12.75</v>
      </c>
      <c r="H185" s="69"/>
      <c r="I185" s="69">
        <f t="shared" si="26"/>
        <v>25.5</v>
      </c>
      <c r="J185" s="38"/>
      <c r="K185" s="72" t="str">
        <f t="shared" si="27"/>
        <v> </v>
      </c>
      <c r="L185" s="72" t="str">
        <f t="shared" si="28"/>
        <v> </v>
      </c>
      <c r="M185" s="38"/>
      <c r="N185" s="69">
        <f t="shared" si="29"/>
        <v>25.5</v>
      </c>
      <c r="O185" s="38" t="s">
        <v>30</v>
      </c>
      <c r="P185" s="38">
        <v>2018</v>
      </c>
    </row>
    <row r="186" spans="1:16" ht="17.25" customHeight="1">
      <c r="A186" s="30">
        <v>5</v>
      </c>
      <c r="B186" s="142" t="str">
        <f t="shared" si="24"/>
        <v>بوسالم </v>
      </c>
      <c r="C186" s="142" t="str">
        <f t="shared" si="24"/>
        <v>محمد وليد</v>
      </c>
      <c r="D186" s="76" t="str">
        <f t="shared" si="24"/>
        <v> </v>
      </c>
      <c r="E186" s="72">
        <v>10.5</v>
      </c>
      <c r="F186" s="72">
        <v>14.5</v>
      </c>
      <c r="G186" s="69">
        <f t="shared" si="25"/>
        <v>12.5</v>
      </c>
      <c r="H186" s="69"/>
      <c r="I186" s="69">
        <f t="shared" si="26"/>
        <v>25</v>
      </c>
      <c r="J186" s="38"/>
      <c r="K186" s="72" t="str">
        <f t="shared" si="27"/>
        <v> </v>
      </c>
      <c r="L186" s="72" t="str">
        <f t="shared" si="28"/>
        <v> </v>
      </c>
      <c r="M186" s="38"/>
      <c r="N186" s="69">
        <f t="shared" si="29"/>
        <v>25</v>
      </c>
      <c r="O186" s="38" t="s">
        <v>30</v>
      </c>
      <c r="P186" s="38">
        <v>2018</v>
      </c>
    </row>
    <row r="187" spans="1:16" ht="17.25" customHeight="1">
      <c r="A187" s="30">
        <v>6</v>
      </c>
      <c r="B187" s="142" t="str">
        <f t="shared" si="24"/>
        <v>بوعروج </v>
      </c>
      <c r="C187" s="142" t="str">
        <f t="shared" si="24"/>
        <v>نسيمة</v>
      </c>
      <c r="D187" s="76" t="str">
        <f t="shared" si="24"/>
        <v> </v>
      </c>
      <c r="E187" s="72">
        <v>7</v>
      </c>
      <c r="F187" s="72">
        <v>14</v>
      </c>
      <c r="G187" s="69">
        <f t="shared" si="25"/>
        <v>10.5</v>
      </c>
      <c r="H187" s="69"/>
      <c r="I187" s="69">
        <f t="shared" si="26"/>
        <v>21</v>
      </c>
      <c r="J187" s="38"/>
      <c r="K187" s="72" t="str">
        <f t="shared" si="27"/>
        <v> </v>
      </c>
      <c r="L187" s="72" t="str">
        <f t="shared" si="28"/>
        <v> </v>
      </c>
      <c r="M187" s="38"/>
      <c r="N187" s="69">
        <f t="shared" si="29"/>
        <v>21</v>
      </c>
      <c r="O187" s="38" t="s">
        <v>30</v>
      </c>
      <c r="P187" s="38">
        <v>2018</v>
      </c>
    </row>
    <row r="188" spans="1:16" ht="17.25" customHeight="1">
      <c r="A188" s="30">
        <v>7</v>
      </c>
      <c r="B188" s="142" t="str">
        <f t="shared" si="24"/>
        <v>بولعيد </v>
      </c>
      <c r="C188" s="142" t="str">
        <f t="shared" si="24"/>
        <v>مريم</v>
      </c>
      <c r="D188" s="76" t="str">
        <f t="shared" si="24"/>
        <v> </v>
      </c>
      <c r="E188" s="72">
        <v>3</v>
      </c>
      <c r="F188" s="72">
        <v>13.5</v>
      </c>
      <c r="G188" s="69">
        <f t="shared" si="25"/>
        <v>8.25</v>
      </c>
      <c r="H188" s="69"/>
      <c r="I188" s="69">
        <f t="shared" si="26"/>
        <v>16.5</v>
      </c>
      <c r="J188" s="38"/>
      <c r="K188" s="72" t="str">
        <f t="shared" si="27"/>
        <v> </v>
      </c>
      <c r="L188" s="72" t="str">
        <f t="shared" si="28"/>
        <v> </v>
      </c>
      <c r="M188" s="38"/>
      <c r="N188" s="69">
        <f t="shared" si="29"/>
        <v>16.5</v>
      </c>
      <c r="O188" s="38" t="s">
        <v>30</v>
      </c>
      <c r="P188" s="38">
        <v>2018</v>
      </c>
    </row>
    <row r="189" spans="1:16" ht="17.25" customHeight="1">
      <c r="A189" s="30">
        <v>8</v>
      </c>
      <c r="B189" s="142" t="str">
        <f t="shared" si="24"/>
        <v>خاوة </v>
      </c>
      <c r="C189" s="142" t="str">
        <f t="shared" si="24"/>
        <v>أسماء</v>
      </c>
      <c r="D189" s="76" t="str">
        <f t="shared" si="24"/>
        <v> </v>
      </c>
      <c r="E189" s="72">
        <v>10</v>
      </c>
      <c r="F189" s="72">
        <v>14</v>
      </c>
      <c r="G189" s="69">
        <f t="shared" si="25"/>
        <v>12</v>
      </c>
      <c r="H189" s="69"/>
      <c r="I189" s="69">
        <f t="shared" si="26"/>
        <v>24</v>
      </c>
      <c r="J189" s="38"/>
      <c r="K189" s="72" t="str">
        <f t="shared" si="27"/>
        <v> </v>
      </c>
      <c r="L189" s="72" t="str">
        <f t="shared" si="28"/>
        <v> </v>
      </c>
      <c r="M189" s="38"/>
      <c r="N189" s="69">
        <f t="shared" si="29"/>
        <v>24</v>
      </c>
      <c r="O189" s="38" t="s">
        <v>30</v>
      </c>
      <c r="P189" s="38">
        <v>2018</v>
      </c>
    </row>
    <row r="190" spans="1:16" ht="17.25" customHeight="1">
      <c r="A190" s="30">
        <v>9</v>
      </c>
      <c r="B190" s="142" t="str">
        <f t="shared" si="24"/>
        <v>زغلاني </v>
      </c>
      <c r="C190" s="142" t="str">
        <f t="shared" si="24"/>
        <v>ساعد</v>
      </c>
      <c r="D190" s="76" t="str">
        <f t="shared" si="24"/>
        <v> </v>
      </c>
      <c r="E190" s="72">
        <v>10</v>
      </c>
      <c r="F190" s="72">
        <v>14</v>
      </c>
      <c r="G190" s="69">
        <f t="shared" si="25"/>
        <v>12</v>
      </c>
      <c r="H190" s="69"/>
      <c r="I190" s="69">
        <f t="shared" si="26"/>
        <v>24</v>
      </c>
      <c r="J190" s="38"/>
      <c r="K190" s="72" t="str">
        <f t="shared" si="27"/>
        <v> </v>
      </c>
      <c r="L190" s="72" t="str">
        <f t="shared" si="28"/>
        <v> </v>
      </c>
      <c r="M190" s="38"/>
      <c r="N190" s="69">
        <f t="shared" si="29"/>
        <v>24</v>
      </c>
      <c r="O190" s="38" t="s">
        <v>30</v>
      </c>
      <c r="P190" s="38">
        <v>2018</v>
      </c>
    </row>
    <row r="191" spans="1:16" ht="17.25" customHeight="1">
      <c r="A191" s="30">
        <v>10</v>
      </c>
      <c r="B191" s="142" t="str">
        <f t="shared" si="24"/>
        <v>زياني </v>
      </c>
      <c r="C191" s="142" t="str">
        <f t="shared" si="24"/>
        <v>أميرة</v>
      </c>
      <c r="D191" s="76" t="str">
        <f t="shared" si="24"/>
        <v> </v>
      </c>
      <c r="E191" s="72">
        <v>11</v>
      </c>
      <c r="F191" s="72">
        <v>14</v>
      </c>
      <c r="G191" s="69">
        <f t="shared" si="25"/>
        <v>12.5</v>
      </c>
      <c r="H191" s="69"/>
      <c r="I191" s="69">
        <f t="shared" si="26"/>
        <v>25</v>
      </c>
      <c r="J191" s="38"/>
      <c r="K191" s="72" t="str">
        <f t="shared" si="27"/>
        <v> </v>
      </c>
      <c r="L191" s="72" t="str">
        <f t="shared" si="28"/>
        <v> </v>
      </c>
      <c r="M191" s="38"/>
      <c r="N191" s="69">
        <f t="shared" si="29"/>
        <v>25</v>
      </c>
      <c r="O191" s="38" t="s">
        <v>30</v>
      </c>
      <c r="P191" s="38">
        <v>2018</v>
      </c>
    </row>
    <row r="192" spans="1:16" ht="17.25" customHeight="1">
      <c r="A192" s="30">
        <v>11</v>
      </c>
      <c r="B192" s="142" t="str">
        <f t="shared" si="24"/>
        <v>شلابي </v>
      </c>
      <c r="C192" s="142" t="str">
        <f t="shared" si="24"/>
        <v>هاجر</v>
      </c>
      <c r="D192" s="76" t="str">
        <f t="shared" si="24"/>
        <v> </v>
      </c>
      <c r="E192" s="72">
        <v>6</v>
      </c>
      <c r="F192" s="72">
        <v>13.5</v>
      </c>
      <c r="G192" s="69">
        <f t="shared" si="25"/>
        <v>9.75</v>
      </c>
      <c r="H192" s="69"/>
      <c r="I192" s="69">
        <f t="shared" si="26"/>
        <v>19.5</v>
      </c>
      <c r="J192" s="38"/>
      <c r="K192" s="72" t="str">
        <f t="shared" si="27"/>
        <v> </v>
      </c>
      <c r="L192" s="72" t="str">
        <f t="shared" si="28"/>
        <v> </v>
      </c>
      <c r="M192" s="38"/>
      <c r="N192" s="69">
        <f t="shared" si="29"/>
        <v>19.5</v>
      </c>
      <c r="O192" s="38" t="s">
        <v>30</v>
      </c>
      <c r="P192" s="38">
        <v>2018</v>
      </c>
    </row>
    <row r="193" spans="1:16" ht="17.25" customHeight="1">
      <c r="A193" s="30">
        <v>12</v>
      </c>
      <c r="B193" s="142" t="str">
        <f t="shared" si="24"/>
        <v>صولي </v>
      </c>
      <c r="C193" s="142" t="str">
        <f t="shared" si="24"/>
        <v>هشام</v>
      </c>
      <c r="D193" s="76" t="str">
        <f t="shared" si="24"/>
        <v> </v>
      </c>
      <c r="E193" s="72">
        <v>7</v>
      </c>
      <c r="F193" s="72">
        <v>14</v>
      </c>
      <c r="G193" s="69">
        <f t="shared" si="25"/>
        <v>10.5</v>
      </c>
      <c r="H193" s="69"/>
      <c r="I193" s="69">
        <f t="shared" si="26"/>
        <v>21</v>
      </c>
      <c r="J193" s="38"/>
      <c r="K193" s="72" t="str">
        <f t="shared" si="27"/>
        <v> </v>
      </c>
      <c r="L193" s="72" t="str">
        <f t="shared" si="28"/>
        <v> </v>
      </c>
      <c r="M193" s="38"/>
      <c r="N193" s="69">
        <f t="shared" si="29"/>
        <v>21</v>
      </c>
      <c r="O193" s="38" t="s">
        <v>30</v>
      </c>
      <c r="P193" s="38">
        <v>2018</v>
      </c>
    </row>
    <row r="194" spans="1:16" ht="17.25" customHeight="1">
      <c r="A194" s="30">
        <v>13</v>
      </c>
      <c r="B194" s="142" t="str">
        <f t="shared" si="24"/>
        <v>عطيل</v>
      </c>
      <c r="C194" s="142" t="str">
        <f t="shared" si="24"/>
        <v>آسيا</v>
      </c>
      <c r="D194" s="76" t="str">
        <f t="shared" si="24"/>
        <v> </v>
      </c>
      <c r="E194" s="72">
        <v>13</v>
      </c>
      <c r="F194" s="72">
        <v>14.5</v>
      </c>
      <c r="G194" s="69">
        <f t="shared" si="25"/>
        <v>13.75</v>
      </c>
      <c r="H194" s="69"/>
      <c r="I194" s="69">
        <f t="shared" si="26"/>
        <v>27.5</v>
      </c>
      <c r="J194" s="38"/>
      <c r="K194" s="72" t="str">
        <f t="shared" si="27"/>
        <v> </v>
      </c>
      <c r="L194" s="72" t="str">
        <f t="shared" si="28"/>
        <v> </v>
      </c>
      <c r="M194" s="38"/>
      <c r="N194" s="69">
        <f t="shared" si="29"/>
        <v>27.5</v>
      </c>
      <c r="O194" s="38" t="s">
        <v>30</v>
      </c>
      <c r="P194" s="38">
        <v>2018</v>
      </c>
    </row>
    <row r="195" spans="1:16" ht="17.25" customHeight="1">
      <c r="A195" s="30">
        <v>14</v>
      </c>
      <c r="B195" s="142" t="str">
        <f t="shared" si="24"/>
        <v>عيدود </v>
      </c>
      <c r="C195" s="142" t="str">
        <f t="shared" si="24"/>
        <v>صبرينة</v>
      </c>
      <c r="D195" s="76" t="str">
        <f t="shared" si="24"/>
        <v> </v>
      </c>
      <c r="E195" s="72">
        <v>8</v>
      </c>
      <c r="F195" s="72">
        <v>14</v>
      </c>
      <c r="G195" s="69">
        <f t="shared" si="25"/>
        <v>11</v>
      </c>
      <c r="H195" s="69"/>
      <c r="I195" s="69">
        <f t="shared" si="26"/>
        <v>22</v>
      </c>
      <c r="J195" s="38"/>
      <c r="K195" s="72" t="str">
        <f t="shared" si="27"/>
        <v> </v>
      </c>
      <c r="L195" s="72" t="str">
        <f t="shared" si="28"/>
        <v> </v>
      </c>
      <c r="M195" s="38"/>
      <c r="N195" s="69">
        <f t="shared" si="29"/>
        <v>22</v>
      </c>
      <c r="O195" s="38" t="s">
        <v>30</v>
      </c>
      <c r="P195" s="38">
        <v>2018</v>
      </c>
    </row>
    <row r="196" spans="1:16" ht="17.25" customHeight="1">
      <c r="A196" s="30">
        <v>15</v>
      </c>
      <c r="B196" s="142" t="str">
        <f t="shared" si="24"/>
        <v>قايدي </v>
      </c>
      <c r="C196" s="142" t="str">
        <f t="shared" si="24"/>
        <v>مريم</v>
      </c>
      <c r="D196" s="76" t="str">
        <f t="shared" si="24"/>
        <v> </v>
      </c>
      <c r="E196" s="72">
        <v>13</v>
      </c>
      <c r="F196" s="72">
        <v>13.5</v>
      </c>
      <c r="G196" s="69">
        <f t="shared" si="25"/>
        <v>13.25</v>
      </c>
      <c r="H196" s="69"/>
      <c r="I196" s="69">
        <f t="shared" si="26"/>
        <v>26.5</v>
      </c>
      <c r="J196" s="38"/>
      <c r="K196" s="72" t="str">
        <f t="shared" si="27"/>
        <v> </v>
      </c>
      <c r="L196" s="72" t="str">
        <f t="shared" si="28"/>
        <v> </v>
      </c>
      <c r="M196" s="38"/>
      <c r="N196" s="69">
        <f t="shared" si="29"/>
        <v>26.5</v>
      </c>
      <c r="O196" s="38" t="s">
        <v>30</v>
      </c>
      <c r="P196" s="38">
        <v>2018</v>
      </c>
    </row>
    <row r="197" spans="1:16" ht="17.25" customHeight="1">
      <c r="A197" s="30">
        <v>16</v>
      </c>
      <c r="B197" s="142" t="str">
        <f t="shared" si="24"/>
        <v>قرايفية </v>
      </c>
      <c r="C197" s="142" t="str">
        <f t="shared" si="24"/>
        <v>فؤاد</v>
      </c>
      <c r="D197" s="76" t="str">
        <f t="shared" si="24"/>
        <v> </v>
      </c>
      <c r="E197" s="72">
        <v>11.5</v>
      </c>
      <c r="F197" s="72">
        <v>14</v>
      </c>
      <c r="G197" s="69">
        <f t="shared" si="25"/>
        <v>12.75</v>
      </c>
      <c r="H197" s="69"/>
      <c r="I197" s="69">
        <f t="shared" si="26"/>
        <v>25.5</v>
      </c>
      <c r="J197" s="38"/>
      <c r="K197" s="72" t="str">
        <f t="shared" si="27"/>
        <v> </v>
      </c>
      <c r="L197" s="72" t="str">
        <f t="shared" si="28"/>
        <v> </v>
      </c>
      <c r="M197" s="38"/>
      <c r="N197" s="69">
        <f t="shared" si="29"/>
        <v>25.5</v>
      </c>
      <c r="O197" s="38" t="s">
        <v>30</v>
      </c>
      <c r="P197" s="38">
        <v>2018</v>
      </c>
    </row>
    <row r="198" spans="1:16" ht="17.25" customHeight="1">
      <c r="A198" s="30">
        <v>17</v>
      </c>
      <c r="B198" s="142" t="str">
        <f t="shared" si="24"/>
        <v>قوادرية</v>
      </c>
      <c r="C198" s="142" t="str">
        <f t="shared" si="24"/>
        <v>مريم</v>
      </c>
      <c r="D198" s="76" t="str">
        <f t="shared" si="24"/>
        <v> </v>
      </c>
      <c r="E198" s="72">
        <v>15</v>
      </c>
      <c r="F198" s="72">
        <v>13.5</v>
      </c>
      <c r="G198" s="69">
        <f t="shared" si="25"/>
        <v>14.25</v>
      </c>
      <c r="H198" s="69"/>
      <c r="I198" s="69">
        <f t="shared" si="26"/>
        <v>28.5</v>
      </c>
      <c r="J198" s="38"/>
      <c r="K198" s="72" t="str">
        <f t="shared" si="27"/>
        <v> </v>
      </c>
      <c r="L198" s="72" t="str">
        <f t="shared" si="28"/>
        <v> </v>
      </c>
      <c r="M198" s="38"/>
      <c r="N198" s="69">
        <f t="shared" si="29"/>
        <v>28.5</v>
      </c>
      <c r="O198" s="38" t="s">
        <v>30</v>
      </c>
      <c r="P198" s="38">
        <v>2018</v>
      </c>
    </row>
    <row r="199" spans="1:16" ht="15" customHeight="1">
      <c r="A199" s="30">
        <v>18</v>
      </c>
      <c r="B199" s="142" t="str">
        <f t="shared" si="24"/>
        <v>محفوظ </v>
      </c>
      <c r="C199" s="142" t="str">
        <f t="shared" si="24"/>
        <v>بشرى</v>
      </c>
      <c r="D199" s="76" t="str">
        <f t="shared" si="24"/>
        <v> </v>
      </c>
      <c r="E199" s="72">
        <v>13</v>
      </c>
      <c r="F199" s="72">
        <v>13.5</v>
      </c>
      <c r="G199" s="69">
        <f t="shared" si="25"/>
        <v>13.25</v>
      </c>
      <c r="H199" s="69"/>
      <c r="I199" s="69">
        <f t="shared" si="26"/>
        <v>26.5</v>
      </c>
      <c r="J199" s="38"/>
      <c r="K199" s="72" t="str">
        <f t="shared" si="27"/>
        <v> </v>
      </c>
      <c r="L199" s="72" t="str">
        <f t="shared" si="28"/>
        <v> </v>
      </c>
      <c r="M199" s="38"/>
      <c r="N199" s="69">
        <f t="shared" si="29"/>
        <v>26.5</v>
      </c>
      <c r="O199" s="38" t="s">
        <v>30</v>
      </c>
      <c r="P199" s="38">
        <v>2018</v>
      </c>
    </row>
    <row r="200" spans="1:16" ht="15" customHeight="1">
      <c r="A200" s="30">
        <v>19</v>
      </c>
      <c r="B200" s="142" t="str">
        <f t="shared" si="24"/>
        <v>مسطوري </v>
      </c>
      <c r="C200" s="142" t="str">
        <f t="shared" si="24"/>
        <v>سارة</v>
      </c>
      <c r="D200" s="76" t="str">
        <f t="shared" si="24"/>
        <v> </v>
      </c>
      <c r="E200" s="72">
        <v>10</v>
      </c>
      <c r="F200" s="72">
        <v>14</v>
      </c>
      <c r="G200" s="69">
        <f t="shared" si="25"/>
        <v>12</v>
      </c>
      <c r="H200" s="69"/>
      <c r="I200" s="69">
        <f t="shared" si="26"/>
        <v>24</v>
      </c>
      <c r="J200" s="38"/>
      <c r="K200" s="72" t="str">
        <f t="shared" si="27"/>
        <v> </v>
      </c>
      <c r="L200" s="72" t="str">
        <f t="shared" si="28"/>
        <v> </v>
      </c>
      <c r="M200" s="38"/>
      <c r="N200" s="69">
        <f t="shared" si="29"/>
        <v>24</v>
      </c>
      <c r="O200" s="38" t="s">
        <v>30</v>
      </c>
      <c r="P200" s="38">
        <v>2018</v>
      </c>
    </row>
    <row r="201" spans="1:16" ht="15" customHeight="1">
      <c r="A201" s="30">
        <v>20</v>
      </c>
      <c r="B201" s="142" t="str">
        <f t="shared" si="24"/>
        <v>هداف </v>
      </c>
      <c r="C201" s="142" t="str">
        <f t="shared" si="24"/>
        <v>حياة</v>
      </c>
      <c r="D201" s="76" t="str">
        <f t="shared" si="24"/>
        <v> </v>
      </c>
      <c r="E201" s="72">
        <v>14</v>
      </c>
      <c r="F201" s="72">
        <v>13.5</v>
      </c>
      <c r="G201" s="69">
        <f t="shared" si="25"/>
        <v>13.75</v>
      </c>
      <c r="H201" s="69"/>
      <c r="I201" s="69">
        <f t="shared" si="26"/>
        <v>27.5</v>
      </c>
      <c r="J201" s="38"/>
      <c r="K201" s="72" t="str">
        <f t="shared" si="27"/>
        <v> </v>
      </c>
      <c r="L201" s="72" t="str">
        <f t="shared" si="28"/>
        <v> </v>
      </c>
      <c r="M201" s="38"/>
      <c r="N201" s="69">
        <f t="shared" si="29"/>
        <v>27.5</v>
      </c>
      <c r="O201" s="38" t="s">
        <v>30</v>
      </c>
      <c r="P201" s="38">
        <v>2018</v>
      </c>
    </row>
    <row r="202" spans="1:16" ht="15" customHeight="1">
      <c r="A202" s="30">
        <v>21</v>
      </c>
      <c r="B202" s="142" t="str">
        <f t="shared" si="24"/>
        <v> </v>
      </c>
      <c r="C202" s="142" t="str">
        <f t="shared" si="24"/>
        <v> </v>
      </c>
      <c r="D202" s="76" t="str">
        <f t="shared" si="24"/>
        <v> </v>
      </c>
      <c r="E202" s="72"/>
      <c r="F202" s="72"/>
      <c r="G202" s="69">
        <f t="shared" si="25"/>
        <v>0</v>
      </c>
      <c r="H202" s="69"/>
      <c r="I202" s="69">
        <f t="shared" si="26"/>
        <v>0</v>
      </c>
      <c r="J202" s="38"/>
      <c r="K202" s="72" t="str">
        <f t="shared" si="27"/>
        <v> </v>
      </c>
      <c r="L202" s="72" t="str">
        <f t="shared" si="28"/>
        <v> </v>
      </c>
      <c r="M202" s="38"/>
      <c r="N202" s="69">
        <f t="shared" si="29"/>
        <v>0</v>
      </c>
      <c r="O202" s="38" t="s">
        <v>30</v>
      </c>
      <c r="P202" s="38">
        <v>2018</v>
      </c>
    </row>
    <row r="203" spans="1:16" ht="15" customHeight="1">
      <c r="A203" s="30">
        <v>22</v>
      </c>
      <c r="B203" s="142" t="str">
        <f t="shared" si="24"/>
        <v> </v>
      </c>
      <c r="C203" s="142" t="str">
        <f t="shared" si="24"/>
        <v> </v>
      </c>
      <c r="D203" s="76" t="str">
        <f t="shared" si="24"/>
        <v> </v>
      </c>
      <c r="E203" s="72"/>
      <c r="F203" s="72"/>
      <c r="G203" s="69">
        <f t="shared" si="25"/>
        <v>0</v>
      </c>
      <c r="H203" s="69"/>
      <c r="I203" s="69">
        <f t="shared" si="26"/>
        <v>0</v>
      </c>
      <c r="J203" s="38"/>
      <c r="K203" s="72" t="str">
        <f t="shared" si="27"/>
        <v> </v>
      </c>
      <c r="L203" s="72" t="str">
        <f t="shared" si="28"/>
        <v> </v>
      </c>
      <c r="M203" s="38"/>
      <c r="N203" s="69">
        <f t="shared" si="29"/>
        <v>0</v>
      </c>
      <c r="O203" s="38" t="s">
        <v>30</v>
      </c>
      <c r="P203" s="38">
        <v>2018</v>
      </c>
    </row>
    <row r="204" spans="1:16" ht="15" customHeight="1">
      <c r="A204" s="30">
        <v>23</v>
      </c>
      <c r="B204" s="142" t="str">
        <f t="shared" si="24"/>
        <v> </v>
      </c>
      <c r="C204" s="142" t="str">
        <f t="shared" si="24"/>
        <v> </v>
      </c>
      <c r="D204" s="76" t="str">
        <f t="shared" si="24"/>
        <v> </v>
      </c>
      <c r="E204" s="72"/>
      <c r="F204" s="72"/>
      <c r="G204" s="69">
        <f t="shared" si="25"/>
        <v>0</v>
      </c>
      <c r="H204" s="69"/>
      <c r="I204" s="69">
        <f t="shared" si="26"/>
        <v>0</v>
      </c>
      <c r="J204" s="38"/>
      <c r="K204" s="72" t="str">
        <f t="shared" si="27"/>
        <v> </v>
      </c>
      <c r="L204" s="72" t="str">
        <f t="shared" si="28"/>
        <v> </v>
      </c>
      <c r="M204" s="38"/>
      <c r="N204" s="69">
        <f t="shared" si="29"/>
        <v>0</v>
      </c>
      <c r="O204" s="38" t="s">
        <v>30</v>
      </c>
      <c r="P204" s="38">
        <v>2018</v>
      </c>
    </row>
    <row r="205" spans="1:16" ht="15" customHeight="1">
      <c r="A205" s="30">
        <v>24</v>
      </c>
      <c r="B205" s="142" t="str">
        <f t="shared" si="24"/>
        <v> </v>
      </c>
      <c r="C205" s="142" t="str">
        <f t="shared" si="24"/>
        <v> </v>
      </c>
      <c r="D205" s="76" t="str">
        <f t="shared" si="24"/>
        <v> </v>
      </c>
      <c r="E205" s="72"/>
      <c r="F205" s="72"/>
      <c r="G205" s="69">
        <f t="shared" si="25"/>
        <v>0</v>
      </c>
      <c r="H205" s="69"/>
      <c r="I205" s="69">
        <f t="shared" si="26"/>
        <v>0</v>
      </c>
      <c r="J205" s="38"/>
      <c r="K205" s="72" t="str">
        <f t="shared" si="27"/>
        <v> </v>
      </c>
      <c r="L205" s="72" t="str">
        <f t="shared" si="28"/>
        <v> </v>
      </c>
      <c r="M205" s="38"/>
      <c r="N205" s="69">
        <f t="shared" si="29"/>
        <v>0</v>
      </c>
      <c r="O205" s="38" t="s">
        <v>30</v>
      </c>
      <c r="P205" s="38">
        <v>2018</v>
      </c>
    </row>
    <row r="206" spans="1:16" ht="15" customHeight="1">
      <c r="A206" s="30">
        <v>25</v>
      </c>
      <c r="B206" s="142" t="str">
        <f t="shared" si="24"/>
        <v> </v>
      </c>
      <c r="C206" s="142" t="str">
        <f t="shared" si="24"/>
        <v> </v>
      </c>
      <c r="D206" s="76" t="str">
        <f t="shared" si="24"/>
        <v> </v>
      </c>
      <c r="E206" s="72"/>
      <c r="F206" s="72"/>
      <c r="G206" s="69">
        <f t="shared" si="25"/>
        <v>0</v>
      </c>
      <c r="H206" s="69"/>
      <c r="I206" s="69">
        <f t="shared" si="26"/>
        <v>0</v>
      </c>
      <c r="J206" s="38"/>
      <c r="K206" s="72" t="str">
        <f t="shared" si="27"/>
        <v> </v>
      </c>
      <c r="L206" s="72" t="str">
        <f t="shared" si="28"/>
        <v> </v>
      </c>
      <c r="M206" s="38"/>
      <c r="N206" s="69">
        <f t="shared" si="29"/>
        <v>0</v>
      </c>
      <c r="O206" s="38" t="s">
        <v>30</v>
      </c>
      <c r="P206" s="38">
        <v>2018</v>
      </c>
    </row>
    <row r="207" spans="1:16" ht="15" customHeight="1">
      <c r="A207" s="30">
        <v>26</v>
      </c>
      <c r="B207" s="142" t="str">
        <f t="shared" si="24"/>
        <v> </v>
      </c>
      <c r="C207" s="142" t="str">
        <f t="shared" si="24"/>
        <v> </v>
      </c>
      <c r="D207" s="76" t="str">
        <f t="shared" si="24"/>
        <v> </v>
      </c>
      <c r="E207" s="72"/>
      <c r="F207" s="72"/>
      <c r="G207" s="69">
        <f t="shared" si="25"/>
        <v>0</v>
      </c>
      <c r="H207" s="69"/>
      <c r="I207" s="69">
        <f t="shared" si="26"/>
        <v>0</v>
      </c>
      <c r="J207" s="38"/>
      <c r="K207" s="72" t="str">
        <f t="shared" si="27"/>
        <v> </v>
      </c>
      <c r="L207" s="72" t="str">
        <f t="shared" si="28"/>
        <v> </v>
      </c>
      <c r="M207" s="38"/>
      <c r="N207" s="69">
        <f t="shared" si="29"/>
        <v>0</v>
      </c>
      <c r="O207" s="38" t="s">
        <v>30</v>
      </c>
      <c r="P207" s="38">
        <v>2018</v>
      </c>
    </row>
    <row r="208" spans="1:16" ht="15" customHeight="1">
      <c r="A208" s="30">
        <v>27</v>
      </c>
      <c r="B208" s="142" t="str">
        <f t="shared" si="24"/>
        <v> </v>
      </c>
      <c r="C208" s="142" t="str">
        <f t="shared" si="24"/>
        <v> </v>
      </c>
      <c r="D208" s="76" t="str">
        <f t="shared" si="24"/>
        <v> </v>
      </c>
      <c r="E208" s="72"/>
      <c r="F208" s="72"/>
      <c r="G208" s="69">
        <f t="shared" si="25"/>
        <v>0</v>
      </c>
      <c r="H208" s="69"/>
      <c r="I208" s="69">
        <f t="shared" si="26"/>
        <v>0</v>
      </c>
      <c r="J208" s="38"/>
      <c r="K208" s="72" t="str">
        <f t="shared" si="27"/>
        <v> </v>
      </c>
      <c r="L208" s="72" t="str">
        <f t="shared" si="28"/>
        <v> </v>
      </c>
      <c r="M208" s="38"/>
      <c r="N208" s="69">
        <f t="shared" si="29"/>
        <v>0</v>
      </c>
      <c r="O208" s="38" t="s">
        <v>30</v>
      </c>
      <c r="P208" s="38">
        <v>2018</v>
      </c>
    </row>
    <row r="209" spans="1:16" ht="15" customHeight="1">
      <c r="A209" s="30">
        <v>28</v>
      </c>
      <c r="B209" s="142" t="str">
        <f t="shared" si="24"/>
        <v> </v>
      </c>
      <c r="C209" s="142" t="str">
        <f t="shared" si="24"/>
        <v> </v>
      </c>
      <c r="D209" s="76" t="str">
        <f t="shared" si="24"/>
        <v> </v>
      </c>
      <c r="E209" s="72"/>
      <c r="F209" s="72"/>
      <c r="G209" s="69">
        <f t="shared" si="25"/>
        <v>0</v>
      </c>
      <c r="H209" s="69"/>
      <c r="I209" s="69">
        <f t="shared" si="26"/>
        <v>0</v>
      </c>
      <c r="J209" s="38"/>
      <c r="K209" s="72" t="str">
        <f t="shared" si="27"/>
        <v> </v>
      </c>
      <c r="L209" s="72" t="str">
        <f t="shared" si="28"/>
        <v> </v>
      </c>
      <c r="M209" s="38"/>
      <c r="N209" s="69">
        <f t="shared" si="29"/>
        <v>0</v>
      </c>
      <c r="O209" s="38" t="s">
        <v>30</v>
      </c>
      <c r="P209" s="38">
        <v>2018</v>
      </c>
    </row>
    <row r="210" spans="1:16" ht="15" customHeight="1">
      <c r="A210" s="30">
        <v>29</v>
      </c>
      <c r="B210" s="142" t="str">
        <f t="shared" si="24"/>
        <v> </v>
      </c>
      <c r="C210" s="142" t="str">
        <f t="shared" si="24"/>
        <v> </v>
      </c>
      <c r="D210" s="76" t="str">
        <f t="shared" si="24"/>
        <v> </v>
      </c>
      <c r="E210" s="72"/>
      <c r="F210" s="72"/>
      <c r="G210" s="69">
        <f t="shared" si="25"/>
        <v>0</v>
      </c>
      <c r="H210" s="69"/>
      <c r="I210" s="69">
        <f t="shared" si="26"/>
        <v>0</v>
      </c>
      <c r="J210" s="38"/>
      <c r="K210" s="72" t="str">
        <f t="shared" si="27"/>
        <v> </v>
      </c>
      <c r="L210" s="72" t="str">
        <f t="shared" si="28"/>
        <v> </v>
      </c>
      <c r="M210" s="38"/>
      <c r="N210" s="69">
        <f t="shared" si="29"/>
        <v>0</v>
      </c>
      <c r="O210" s="38" t="s">
        <v>30</v>
      </c>
      <c r="P210" s="38">
        <v>2018</v>
      </c>
    </row>
    <row r="211" spans="1:16" ht="15" customHeight="1">
      <c r="A211" s="30">
        <v>30</v>
      </c>
      <c r="B211" s="142" t="str">
        <f t="shared" si="24"/>
        <v> </v>
      </c>
      <c r="C211" s="142" t="str">
        <f t="shared" si="24"/>
        <v> </v>
      </c>
      <c r="D211" s="76" t="str">
        <f t="shared" si="24"/>
        <v> </v>
      </c>
      <c r="E211" s="72"/>
      <c r="F211" s="72"/>
      <c r="G211" s="69">
        <f t="shared" si="25"/>
        <v>0</v>
      </c>
      <c r="H211" s="69"/>
      <c r="I211" s="69">
        <f t="shared" si="26"/>
        <v>0</v>
      </c>
      <c r="J211" s="38"/>
      <c r="K211" s="72" t="str">
        <f t="shared" si="27"/>
        <v> </v>
      </c>
      <c r="L211" s="72" t="str">
        <f t="shared" si="28"/>
        <v> </v>
      </c>
      <c r="M211" s="38"/>
      <c r="N211" s="69">
        <f t="shared" si="29"/>
        <v>0</v>
      </c>
      <c r="O211" s="38" t="s">
        <v>30</v>
      </c>
      <c r="P211" s="38">
        <v>2018</v>
      </c>
    </row>
    <row r="212" spans="1:16" ht="15" customHeight="1">
      <c r="A212" s="30">
        <v>31</v>
      </c>
      <c r="B212" s="142" t="str">
        <f t="shared" si="24"/>
        <v> </v>
      </c>
      <c r="C212" s="142" t="str">
        <f t="shared" si="24"/>
        <v> </v>
      </c>
      <c r="D212" s="76" t="str">
        <f t="shared" si="24"/>
        <v> </v>
      </c>
      <c r="E212" s="72"/>
      <c r="F212" s="72"/>
      <c r="G212" s="69">
        <f t="shared" si="25"/>
        <v>0</v>
      </c>
      <c r="H212" s="69"/>
      <c r="I212" s="69">
        <f t="shared" si="26"/>
        <v>0</v>
      </c>
      <c r="J212" s="38"/>
      <c r="K212" s="72" t="str">
        <f t="shared" si="27"/>
        <v> </v>
      </c>
      <c r="L212" s="72" t="str">
        <f t="shared" si="28"/>
        <v> </v>
      </c>
      <c r="M212" s="38"/>
      <c r="N212" s="69">
        <f t="shared" si="29"/>
        <v>0</v>
      </c>
      <c r="O212" s="38" t="s">
        <v>30</v>
      </c>
      <c r="P212" s="38">
        <v>2018</v>
      </c>
    </row>
    <row r="213" spans="1:16" ht="15" customHeight="1">
      <c r="A213" s="30">
        <v>32</v>
      </c>
      <c r="B213" s="142" t="str">
        <f t="shared" si="24"/>
        <v> </v>
      </c>
      <c r="C213" s="142" t="str">
        <f t="shared" si="24"/>
        <v> </v>
      </c>
      <c r="D213" s="76" t="str">
        <f t="shared" si="24"/>
        <v> </v>
      </c>
      <c r="E213" s="72"/>
      <c r="F213" s="72"/>
      <c r="G213" s="69">
        <f t="shared" si="25"/>
        <v>0</v>
      </c>
      <c r="H213" s="69"/>
      <c r="I213" s="69">
        <f t="shared" si="26"/>
        <v>0</v>
      </c>
      <c r="J213" s="38"/>
      <c r="K213" s="72" t="str">
        <f t="shared" si="27"/>
        <v> </v>
      </c>
      <c r="L213" s="72" t="str">
        <f t="shared" si="28"/>
        <v> </v>
      </c>
      <c r="M213" s="38"/>
      <c r="N213" s="69">
        <f t="shared" si="29"/>
        <v>0</v>
      </c>
      <c r="O213" s="38" t="s">
        <v>30</v>
      </c>
      <c r="P213" s="38">
        <v>2018</v>
      </c>
    </row>
    <row r="214" spans="15:16" ht="18">
      <c r="O214" s="38" t="s">
        <v>30</v>
      </c>
      <c r="P214" s="38">
        <v>2018</v>
      </c>
    </row>
    <row r="215" spans="2:16" ht="18">
      <c r="B215" s="19"/>
      <c r="C215" s="264" t="s">
        <v>18</v>
      </c>
      <c r="D215" s="249"/>
      <c r="O215" s="38" t="s">
        <v>30</v>
      </c>
      <c r="P215" s="38">
        <v>2018</v>
      </c>
    </row>
    <row r="218" spans="1:14" ht="18">
      <c r="A218" s="86" t="s">
        <v>0</v>
      </c>
      <c r="B218" s="308"/>
      <c r="C218" s="308"/>
      <c r="D218" s="87"/>
      <c r="E218" s="266"/>
      <c r="F218" s="151"/>
      <c r="G218" s="284"/>
      <c r="H218" s="284"/>
      <c r="I218" s="284"/>
      <c r="J218" s="277"/>
      <c r="K218" s="287" t="str">
        <f>K1</f>
        <v>السنة الثانية ماستر إقتصاد نقدي وبنكي </v>
      </c>
      <c r="N218" s="271"/>
    </row>
    <row r="219" spans="1:14" ht="18">
      <c r="A219" s="86" t="s">
        <v>2</v>
      </c>
      <c r="B219" s="308"/>
      <c r="C219" s="308"/>
      <c r="D219" s="87"/>
      <c r="E219" s="266"/>
      <c r="F219" s="273" t="s">
        <v>3</v>
      </c>
      <c r="G219" s="674" t="s">
        <v>497</v>
      </c>
      <c r="H219" s="668"/>
      <c r="I219" s="275"/>
      <c r="J219" s="275"/>
      <c r="K219" s="276" t="s">
        <v>1</v>
      </c>
      <c r="L219" s="271"/>
      <c r="M219" s="271"/>
      <c r="N219" s="271" t="str">
        <f>N2</f>
        <v>2017-2018</v>
      </c>
    </row>
    <row r="220" spans="1:14" ht="18">
      <c r="A220" s="86" t="s">
        <v>4</v>
      </c>
      <c r="B220" s="308"/>
      <c r="C220" s="308"/>
      <c r="D220" s="87"/>
      <c r="E220" s="266"/>
      <c r="F220" s="273" t="s">
        <v>5</v>
      </c>
      <c r="G220" s="668">
        <v>2</v>
      </c>
      <c r="H220" s="668"/>
      <c r="I220" s="275" t="s">
        <v>39</v>
      </c>
      <c r="J220" s="274">
        <v>2</v>
      </c>
      <c r="K220" s="277"/>
      <c r="L220" s="271"/>
      <c r="M220" s="271"/>
      <c r="N220" s="271"/>
    </row>
    <row r="221" spans="1:14" ht="18">
      <c r="A221" s="93"/>
      <c r="B221" s="308"/>
      <c r="C221" s="308"/>
      <c r="D221" s="87"/>
      <c r="E221" s="266"/>
      <c r="F221" s="273" t="s">
        <v>6</v>
      </c>
      <c r="G221" s="674" t="s">
        <v>498</v>
      </c>
      <c r="H221" s="668"/>
      <c r="I221" s="275"/>
      <c r="K221" s="275" t="s">
        <v>85</v>
      </c>
      <c r="L221" s="271"/>
      <c r="M221" s="271"/>
      <c r="N221" s="271"/>
    </row>
    <row r="222" spans="1:14" ht="22.5" customHeight="1">
      <c r="A222" s="93" t="s">
        <v>7</v>
      </c>
      <c r="B222" s="308">
        <f>B5</f>
        <v>2</v>
      </c>
      <c r="C222" s="308"/>
      <c r="D222" s="87"/>
      <c r="E222" s="267"/>
      <c r="F222" s="271"/>
      <c r="G222" s="278" t="s">
        <v>8</v>
      </c>
      <c r="H222" s="279"/>
      <c r="I222" s="277"/>
      <c r="J222" s="277"/>
      <c r="K222" s="277"/>
      <c r="L222" s="283" t="s">
        <v>114</v>
      </c>
      <c r="M222" s="271"/>
      <c r="N222" s="271"/>
    </row>
    <row r="223" spans="1:14" ht="18">
      <c r="A223" s="93"/>
      <c r="B223" s="308"/>
      <c r="C223" s="308"/>
      <c r="D223" s="87"/>
      <c r="E223" s="266"/>
      <c r="F223" s="271"/>
      <c r="G223" s="271"/>
      <c r="H223" s="271"/>
      <c r="I223" s="271"/>
      <c r="J223" s="271"/>
      <c r="K223" s="271"/>
      <c r="L223" s="271"/>
      <c r="M223" s="271"/>
      <c r="N223" s="271"/>
    </row>
    <row r="224" spans="1:14" ht="25.5">
      <c r="A224" s="65" t="s">
        <v>9</v>
      </c>
      <c r="B224" s="299" t="s">
        <v>163</v>
      </c>
      <c r="C224" s="299" t="s">
        <v>164</v>
      </c>
      <c r="D224" s="66"/>
      <c r="E224" s="68" t="s">
        <v>17</v>
      </c>
      <c r="F224" s="88" t="s">
        <v>10</v>
      </c>
      <c r="G224" s="88" t="s">
        <v>11</v>
      </c>
      <c r="H224" s="66" t="s">
        <v>14</v>
      </c>
      <c r="I224" s="88" t="s">
        <v>16</v>
      </c>
      <c r="J224" s="88" t="s">
        <v>13</v>
      </c>
      <c r="K224" s="88" t="s">
        <v>12</v>
      </c>
      <c r="L224" s="88" t="s">
        <v>16</v>
      </c>
      <c r="M224" s="66" t="s">
        <v>14</v>
      </c>
      <c r="N224" s="88" t="s">
        <v>15</v>
      </c>
    </row>
    <row r="225" spans="1:16" ht="18">
      <c r="A225" s="70"/>
      <c r="B225" s="311"/>
      <c r="C225" s="311"/>
      <c r="D225" s="71"/>
      <c r="E225" s="89">
        <v>20</v>
      </c>
      <c r="F225" s="90">
        <v>20</v>
      </c>
      <c r="G225" s="90">
        <v>20</v>
      </c>
      <c r="H225" s="71" t="s">
        <v>30</v>
      </c>
      <c r="I225" s="90">
        <v>40</v>
      </c>
      <c r="J225" s="90">
        <v>20</v>
      </c>
      <c r="K225" s="90">
        <v>20</v>
      </c>
      <c r="L225" s="71">
        <v>40</v>
      </c>
      <c r="M225" s="71" t="s">
        <v>31</v>
      </c>
      <c r="N225" s="90"/>
      <c r="O225" s="141"/>
      <c r="P225" s="141"/>
    </row>
    <row r="226" spans="1:16" ht="15.75" customHeight="1">
      <c r="A226" s="30">
        <v>1</v>
      </c>
      <c r="B226" s="142" t="str">
        <f aca="true" t="shared" si="30" ref="B226:D257">IF(B8&gt;0,B8," ")</f>
        <v>الحاج </v>
      </c>
      <c r="C226" s="142" t="str">
        <f t="shared" si="30"/>
        <v>مروة</v>
      </c>
      <c r="D226" s="76" t="str">
        <f t="shared" si="30"/>
        <v> </v>
      </c>
      <c r="E226" s="72">
        <v>14.5</v>
      </c>
      <c r="F226" s="114">
        <v>15</v>
      </c>
      <c r="G226" s="69">
        <f>(E226+F226)/2</f>
        <v>14.75</v>
      </c>
      <c r="H226" s="69"/>
      <c r="I226" s="69">
        <f>(2*G226)+H226</f>
        <v>29.5</v>
      </c>
      <c r="J226" s="38"/>
      <c r="K226" s="72" t="str">
        <f>IF(J226&gt;0,(J226+F226)/2," ")</f>
        <v> </v>
      </c>
      <c r="L226" s="72" t="str">
        <f>IF(J226&gt;0,((J226+F226)/2)*2," ")</f>
        <v> </v>
      </c>
      <c r="M226" s="38"/>
      <c r="N226" s="69">
        <f>IF(I226&gt;((J226+F226)/2)*2+M226,I226+M226,(((J226+F226)/2)*2)+M226)</f>
        <v>29.5</v>
      </c>
      <c r="O226" s="38" t="s">
        <v>30</v>
      </c>
      <c r="P226" s="38">
        <v>2018</v>
      </c>
    </row>
    <row r="227" spans="1:16" ht="15.75" customHeight="1">
      <c r="A227" s="30">
        <v>2</v>
      </c>
      <c r="B227" s="142" t="str">
        <f t="shared" si="30"/>
        <v>العياشي </v>
      </c>
      <c r="C227" s="142" t="str">
        <f t="shared" si="30"/>
        <v>نوار</v>
      </c>
      <c r="D227" s="76" t="str">
        <f t="shared" si="30"/>
        <v> </v>
      </c>
      <c r="E227" s="72"/>
      <c r="F227" s="114">
        <v>12</v>
      </c>
      <c r="G227" s="69">
        <f aca="true" t="shared" si="31" ref="G227:G257">(E227+F227)/2</f>
        <v>6</v>
      </c>
      <c r="H227" s="69"/>
      <c r="I227" s="69">
        <f aca="true" t="shared" si="32" ref="I227:I257">(2*G227)+H227</f>
        <v>12</v>
      </c>
      <c r="J227" s="38"/>
      <c r="K227" s="72" t="str">
        <f aca="true" t="shared" si="33" ref="K227:K257">IF(J227&gt;0,(J227+F227)/2," ")</f>
        <v> </v>
      </c>
      <c r="L227" s="72" t="str">
        <f aca="true" t="shared" si="34" ref="L227:L257">IF(J227&gt;0,((J227+F227)/2)*2," ")</f>
        <v> </v>
      </c>
      <c r="M227" s="38"/>
      <c r="N227" s="69">
        <f aca="true" t="shared" si="35" ref="N227:N257">IF(I227&gt;((J227+F227)/2)*2+M227,I227+M227,(((J227+F227)/2)*2)+M227)</f>
        <v>12</v>
      </c>
      <c r="O227" s="38" t="s">
        <v>30</v>
      </c>
      <c r="P227" s="38">
        <v>2018</v>
      </c>
    </row>
    <row r="228" spans="1:16" ht="15.75" customHeight="1">
      <c r="A228" s="30">
        <v>3</v>
      </c>
      <c r="B228" s="142" t="str">
        <f t="shared" si="30"/>
        <v>باطح </v>
      </c>
      <c r="C228" s="142" t="str">
        <f t="shared" si="30"/>
        <v>محمد لمين</v>
      </c>
      <c r="D228" s="76" t="str">
        <f t="shared" si="30"/>
        <v> </v>
      </c>
      <c r="E228" s="72">
        <v>11</v>
      </c>
      <c r="F228" s="114">
        <v>13</v>
      </c>
      <c r="G228" s="69">
        <f t="shared" si="31"/>
        <v>12</v>
      </c>
      <c r="H228" s="69"/>
      <c r="I228" s="69">
        <f t="shared" si="32"/>
        <v>24</v>
      </c>
      <c r="J228" s="38"/>
      <c r="K228" s="72" t="str">
        <f t="shared" si="33"/>
        <v> </v>
      </c>
      <c r="L228" s="72" t="str">
        <f t="shared" si="34"/>
        <v> </v>
      </c>
      <c r="M228" s="38"/>
      <c r="N228" s="69">
        <f t="shared" si="35"/>
        <v>24</v>
      </c>
      <c r="O228" s="38" t="s">
        <v>30</v>
      </c>
      <c r="P228" s="38">
        <v>2018</v>
      </c>
    </row>
    <row r="229" spans="1:16" ht="15.75" customHeight="1">
      <c r="A229" s="30">
        <v>4</v>
      </c>
      <c r="B229" s="142" t="str">
        <f t="shared" si="30"/>
        <v>بوساحة </v>
      </c>
      <c r="C229" s="142" t="str">
        <f t="shared" si="30"/>
        <v>حسام الدين</v>
      </c>
      <c r="D229" s="76" t="str">
        <f t="shared" si="30"/>
        <v> </v>
      </c>
      <c r="E229" s="72">
        <v>13</v>
      </c>
      <c r="F229" s="114">
        <v>16</v>
      </c>
      <c r="G229" s="69">
        <f t="shared" si="31"/>
        <v>14.5</v>
      </c>
      <c r="H229" s="69"/>
      <c r="I229" s="69">
        <f t="shared" si="32"/>
        <v>29</v>
      </c>
      <c r="J229" s="38"/>
      <c r="K229" s="72" t="str">
        <f t="shared" si="33"/>
        <v> </v>
      </c>
      <c r="L229" s="72" t="str">
        <f t="shared" si="34"/>
        <v> </v>
      </c>
      <c r="M229" s="38"/>
      <c r="N229" s="69">
        <f t="shared" si="35"/>
        <v>29</v>
      </c>
      <c r="O229" s="38" t="s">
        <v>30</v>
      </c>
      <c r="P229" s="38">
        <v>2018</v>
      </c>
    </row>
    <row r="230" spans="1:16" ht="15.75" customHeight="1">
      <c r="A230" s="30">
        <v>5</v>
      </c>
      <c r="B230" s="142" t="str">
        <f t="shared" si="30"/>
        <v>بوسالم </v>
      </c>
      <c r="C230" s="142" t="str">
        <f t="shared" si="30"/>
        <v>محمد وليد</v>
      </c>
      <c r="D230" s="76" t="str">
        <f t="shared" si="30"/>
        <v> </v>
      </c>
      <c r="E230" s="72">
        <v>6.5</v>
      </c>
      <c r="F230" s="114">
        <v>15</v>
      </c>
      <c r="G230" s="69">
        <f t="shared" si="31"/>
        <v>10.75</v>
      </c>
      <c r="H230" s="69"/>
      <c r="I230" s="69">
        <f t="shared" si="32"/>
        <v>21.5</v>
      </c>
      <c r="J230" s="38"/>
      <c r="K230" s="72" t="str">
        <f t="shared" si="33"/>
        <v> </v>
      </c>
      <c r="L230" s="72" t="str">
        <f t="shared" si="34"/>
        <v> </v>
      </c>
      <c r="M230" s="38"/>
      <c r="N230" s="69">
        <f t="shared" si="35"/>
        <v>21.5</v>
      </c>
      <c r="O230" s="38" t="s">
        <v>30</v>
      </c>
      <c r="P230" s="38">
        <v>2018</v>
      </c>
    </row>
    <row r="231" spans="1:16" ht="15.75" customHeight="1">
      <c r="A231" s="30">
        <v>6</v>
      </c>
      <c r="B231" s="142" t="str">
        <f t="shared" si="30"/>
        <v>بوعروج </v>
      </c>
      <c r="C231" s="142" t="str">
        <f t="shared" si="30"/>
        <v>نسيمة</v>
      </c>
      <c r="D231" s="76" t="str">
        <f t="shared" si="30"/>
        <v> </v>
      </c>
      <c r="E231" s="72">
        <v>14</v>
      </c>
      <c r="F231" s="114">
        <v>14</v>
      </c>
      <c r="G231" s="69">
        <f t="shared" si="31"/>
        <v>14</v>
      </c>
      <c r="H231" s="69"/>
      <c r="I231" s="69">
        <f t="shared" si="32"/>
        <v>28</v>
      </c>
      <c r="J231" s="38"/>
      <c r="K231" s="72" t="str">
        <f t="shared" si="33"/>
        <v> </v>
      </c>
      <c r="L231" s="72" t="str">
        <f t="shared" si="34"/>
        <v> </v>
      </c>
      <c r="M231" s="38"/>
      <c r="N231" s="69">
        <f t="shared" si="35"/>
        <v>28</v>
      </c>
      <c r="O231" s="38" t="s">
        <v>30</v>
      </c>
      <c r="P231" s="38">
        <v>2018</v>
      </c>
    </row>
    <row r="232" spans="1:16" ht="15.75" customHeight="1">
      <c r="A232" s="30">
        <v>7</v>
      </c>
      <c r="B232" s="142" t="str">
        <f t="shared" si="30"/>
        <v>بولعيد </v>
      </c>
      <c r="C232" s="142" t="str">
        <f t="shared" si="30"/>
        <v>مريم</v>
      </c>
      <c r="D232" s="76" t="str">
        <f t="shared" si="30"/>
        <v> </v>
      </c>
      <c r="E232" s="72">
        <v>11</v>
      </c>
      <c r="F232" s="114">
        <v>14.5</v>
      </c>
      <c r="G232" s="69">
        <f t="shared" si="31"/>
        <v>12.75</v>
      </c>
      <c r="H232" s="69"/>
      <c r="I232" s="69">
        <f t="shared" si="32"/>
        <v>25.5</v>
      </c>
      <c r="J232" s="38"/>
      <c r="K232" s="72" t="str">
        <f t="shared" si="33"/>
        <v> </v>
      </c>
      <c r="L232" s="72" t="str">
        <f t="shared" si="34"/>
        <v> </v>
      </c>
      <c r="M232" s="38"/>
      <c r="N232" s="69">
        <f t="shared" si="35"/>
        <v>25.5</v>
      </c>
      <c r="O232" s="38" t="s">
        <v>30</v>
      </c>
      <c r="P232" s="38">
        <v>2018</v>
      </c>
    </row>
    <row r="233" spans="1:16" ht="15.75" customHeight="1">
      <c r="A233" s="30">
        <v>8</v>
      </c>
      <c r="B233" s="142" t="str">
        <f t="shared" si="30"/>
        <v>خاوة </v>
      </c>
      <c r="C233" s="142" t="str">
        <f t="shared" si="30"/>
        <v>أسماء</v>
      </c>
      <c r="D233" s="76" t="str">
        <f t="shared" si="30"/>
        <v> </v>
      </c>
      <c r="E233" s="72">
        <v>14.5</v>
      </c>
      <c r="F233" s="114">
        <v>13.5</v>
      </c>
      <c r="G233" s="69">
        <f t="shared" si="31"/>
        <v>14</v>
      </c>
      <c r="H233" s="69"/>
      <c r="I233" s="69">
        <f t="shared" si="32"/>
        <v>28</v>
      </c>
      <c r="J233" s="38"/>
      <c r="K233" s="72" t="str">
        <f t="shared" si="33"/>
        <v> </v>
      </c>
      <c r="L233" s="72" t="str">
        <f t="shared" si="34"/>
        <v> </v>
      </c>
      <c r="M233" s="38"/>
      <c r="N233" s="69">
        <f t="shared" si="35"/>
        <v>28</v>
      </c>
      <c r="O233" s="38" t="s">
        <v>30</v>
      </c>
      <c r="P233" s="38">
        <v>2018</v>
      </c>
    </row>
    <row r="234" spans="1:16" ht="15.75" customHeight="1">
      <c r="A234" s="30">
        <v>9</v>
      </c>
      <c r="B234" s="142" t="str">
        <f t="shared" si="30"/>
        <v>زغلاني </v>
      </c>
      <c r="C234" s="142" t="str">
        <f t="shared" si="30"/>
        <v>ساعد</v>
      </c>
      <c r="D234" s="76" t="str">
        <f t="shared" si="30"/>
        <v> </v>
      </c>
      <c r="E234" s="72">
        <v>14.5</v>
      </c>
      <c r="F234" s="114">
        <v>14</v>
      </c>
      <c r="G234" s="69">
        <f t="shared" si="31"/>
        <v>14.25</v>
      </c>
      <c r="H234" s="69"/>
      <c r="I234" s="69">
        <f t="shared" si="32"/>
        <v>28.5</v>
      </c>
      <c r="J234" s="38"/>
      <c r="K234" s="72" t="str">
        <f t="shared" si="33"/>
        <v> </v>
      </c>
      <c r="L234" s="72" t="str">
        <f t="shared" si="34"/>
        <v> </v>
      </c>
      <c r="M234" s="38"/>
      <c r="N234" s="69">
        <f t="shared" si="35"/>
        <v>28.5</v>
      </c>
      <c r="O234" s="38" t="s">
        <v>30</v>
      </c>
      <c r="P234" s="38">
        <v>2018</v>
      </c>
    </row>
    <row r="235" spans="1:16" ht="15.75" customHeight="1">
      <c r="A235" s="30">
        <v>10</v>
      </c>
      <c r="B235" s="142" t="str">
        <f t="shared" si="30"/>
        <v>زياني </v>
      </c>
      <c r="C235" s="142" t="str">
        <f t="shared" si="30"/>
        <v>أميرة</v>
      </c>
      <c r="D235" s="76" t="str">
        <f t="shared" si="30"/>
        <v> </v>
      </c>
      <c r="E235" s="72">
        <v>14.5</v>
      </c>
      <c r="F235" s="114">
        <v>13</v>
      </c>
      <c r="G235" s="69">
        <f t="shared" si="31"/>
        <v>13.75</v>
      </c>
      <c r="H235" s="69"/>
      <c r="I235" s="69">
        <f t="shared" si="32"/>
        <v>27.5</v>
      </c>
      <c r="J235" s="38"/>
      <c r="K235" s="72" t="str">
        <f t="shared" si="33"/>
        <v> </v>
      </c>
      <c r="L235" s="72" t="str">
        <f t="shared" si="34"/>
        <v> </v>
      </c>
      <c r="M235" s="38"/>
      <c r="N235" s="69">
        <f t="shared" si="35"/>
        <v>27.5</v>
      </c>
      <c r="O235" s="38" t="s">
        <v>30</v>
      </c>
      <c r="P235" s="38">
        <v>2018</v>
      </c>
    </row>
    <row r="236" spans="1:16" ht="15.75" customHeight="1">
      <c r="A236" s="30">
        <v>11</v>
      </c>
      <c r="B236" s="142" t="str">
        <f t="shared" si="30"/>
        <v>شلابي </v>
      </c>
      <c r="C236" s="142" t="str">
        <f t="shared" si="30"/>
        <v>هاجر</v>
      </c>
      <c r="D236" s="76" t="str">
        <f t="shared" si="30"/>
        <v> </v>
      </c>
      <c r="E236" s="72">
        <v>10.5</v>
      </c>
      <c r="F236" s="114">
        <v>14.5</v>
      </c>
      <c r="G236" s="69">
        <f t="shared" si="31"/>
        <v>12.5</v>
      </c>
      <c r="H236" s="69"/>
      <c r="I236" s="69">
        <f t="shared" si="32"/>
        <v>25</v>
      </c>
      <c r="J236" s="38"/>
      <c r="K236" s="72" t="str">
        <f t="shared" si="33"/>
        <v> </v>
      </c>
      <c r="L236" s="72" t="str">
        <f t="shared" si="34"/>
        <v> </v>
      </c>
      <c r="M236" s="38"/>
      <c r="N236" s="69">
        <f t="shared" si="35"/>
        <v>25</v>
      </c>
      <c r="O236" s="38" t="s">
        <v>30</v>
      </c>
      <c r="P236" s="38">
        <v>2018</v>
      </c>
    </row>
    <row r="237" spans="1:16" ht="15.75" customHeight="1">
      <c r="A237" s="30">
        <v>12</v>
      </c>
      <c r="B237" s="142" t="str">
        <f t="shared" si="30"/>
        <v>صولي </v>
      </c>
      <c r="C237" s="142" t="str">
        <f t="shared" si="30"/>
        <v>هشام</v>
      </c>
      <c r="D237" s="76" t="str">
        <f t="shared" si="30"/>
        <v> </v>
      </c>
      <c r="E237" s="72">
        <v>10</v>
      </c>
      <c r="F237" s="114">
        <v>14.5</v>
      </c>
      <c r="G237" s="69">
        <f t="shared" si="31"/>
        <v>12.25</v>
      </c>
      <c r="H237" s="69"/>
      <c r="I237" s="69">
        <f t="shared" si="32"/>
        <v>24.5</v>
      </c>
      <c r="J237" s="38"/>
      <c r="K237" s="72" t="str">
        <f t="shared" si="33"/>
        <v> </v>
      </c>
      <c r="L237" s="72" t="str">
        <f t="shared" si="34"/>
        <v> </v>
      </c>
      <c r="M237" s="38"/>
      <c r="N237" s="69">
        <f t="shared" si="35"/>
        <v>24.5</v>
      </c>
      <c r="O237" s="38" t="s">
        <v>30</v>
      </c>
      <c r="P237" s="38">
        <v>2018</v>
      </c>
    </row>
    <row r="238" spans="1:16" ht="15.75" customHeight="1">
      <c r="A238" s="30">
        <v>13</v>
      </c>
      <c r="B238" s="142" t="str">
        <f t="shared" si="30"/>
        <v>عطيل</v>
      </c>
      <c r="C238" s="142" t="str">
        <f t="shared" si="30"/>
        <v>آسيا</v>
      </c>
      <c r="D238" s="76" t="str">
        <f t="shared" si="30"/>
        <v> </v>
      </c>
      <c r="E238" s="72">
        <v>13.5</v>
      </c>
      <c r="F238" s="114">
        <v>15</v>
      </c>
      <c r="G238" s="69">
        <f t="shared" si="31"/>
        <v>14.25</v>
      </c>
      <c r="H238" s="69"/>
      <c r="I238" s="69">
        <f t="shared" si="32"/>
        <v>28.5</v>
      </c>
      <c r="J238" s="38"/>
      <c r="K238" s="72" t="str">
        <f t="shared" si="33"/>
        <v> </v>
      </c>
      <c r="L238" s="72" t="str">
        <f t="shared" si="34"/>
        <v> </v>
      </c>
      <c r="M238" s="38"/>
      <c r="N238" s="69">
        <f t="shared" si="35"/>
        <v>28.5</v>
      </c>
      <c r="O238" s="38" t="s">
        <v>30</v>
      </c>
      <c r="P238" s="38">
        <v>2018</v>
      </c>
    </row>
    <row r="239" spans="1:16" ht="15.75" customHeight="1">
      <c r="A239" s="30">
        <v>14</v>
      </c>
      <c r="B239" s="142" t="str">
        <f t="shared" si="30"/>
        <v>عيدود </v>
      </c>
      <c r="C239" s="142" t="str">
        <f t="shared" si="30"/>
        <v>صبرينة</v>
      </c>
      <c r="D239" s="76" t="str">
        <f t="shared" si="30"/>
        <v> </v>
      </c>
      <c r="E239" s="72">
        <v>8</v>
      </c>
      <c r="F239" s="114">
        <v>13</v>
      </c>
      <c r="G239" s="69">
        <f t="shared" si="31"/>
        <v>10.5</v>
      </c>
      <c r="H239" s="69"/>
      <c r="I239" s="69">
        <f t="shared" si="32"/>
        <v>21</v>
      </c>
      <c r="J239" s="38"/>
      <c r="K239" s="72" t="str">
        <f t="shared" si="33"/>
        <v> </v>
      </c>
      <c r="L239" s="72" t="str">
        <f t="shared" si="34"/>
        <v> </v>
      </c>
      <c r="M239" s="38"/>
      <c r="N239" s="69">
        <f t="shared" si="35"/>
        <v>21</v>
      </c>
      <c r="O239" s="38" t="s">
        <v>30</v>
      </c>
      <c r="P239" s="38">
        <v>2018</v>
      </c>
    </row>
    <row r="240" spans="1:16" ht="15.75" customHeight="1">
      <c r="A240" s="30">
        <v>15</v>
      </c>
      <c r="B240" s="142" t="str">
        <f t="shared" si="30"/>
        <v>قايدي </v>
      </c>
      <c r="C240" s="142" t="str">
        <f t="shared" si="30"/>
        <v>مريم</v>
      </c>
      <c r="D240" s="76" t="str">
        <f t="shared" si="30"/>
        <v> </v>
      </c>
      <c r="E240" s="72">
        <v>7.5</v>
      </c>
      <c r="F240" s="114">
        <v>12.5</v>
      </c>
      <c r="G240" s="69">
        <f t="shared" si="31"/>
        <v>10</v>
      </c>
      <c r="H240" s="69"/>
      <c r="I240" s="69">
        <f t="shared" si="32"/>
        <v>20</v>
      </c>
      <c r="J240" s="38"/>
      <c r="K240" s="72" t="str">
        <f t="shared" si="33"/>
        <v> </v>
      </c>
      <c r="L240" s="72" t="str">
        <f t="shared" si="34"/>
        <v> </v>
      </c>
      <c r="M240" s="38"/>
      <c r="N240" s="69">
        <f t="shared" si="35"/>
        <v>20</v>
      </c>
      <c r="O240" s="38" t="s">
        <v>30</v>
      </c>
      <c r="P240" s="38">
        <v>2018</v>
      </c>
    </row>
    <row r="241" spans="1:16" ht="15.75" customHeight="1">
      <c r="A241" s="30">
        <v>16</v>
      </c>
      <c r="B241" s="142" t="str">
        <f t="shared" si="30"/>
        <v>قرايفية </v>
      </c>
      <c r="C241" s="142" t="str">
        <f t="shared" si="30"/>
        <v>فؤاد</v>
      </c>
      <c r="D241" s="76" t="str">
        <f t="shared" si="30"/>
        <v> </v>
      </c>
      <c r="E241" s="72">
        <v>14.5</v>
      </c>
      <c r="F241" s="114">
        <v>12.5</v>
      </c>
      <c r="G241" s="69">
        <f t="shared" si="31"/>
        <v>13.5</v>
      </c>
      <c r="H241" s="69"/>
      <c r="I241" s="69">
        <f t="shared" si="32"/>
        <v>27</v>
      </c>
      <c r="J241" s="38"/>
      <c r="K241" s="72" t="str">
        <f t="shared" si="33"/>
        <v> </v>
      </c>
      <c r="L241" s="72" t="str">
        <f t="shared" si="34"/>
        <v> </v>
      </c>
      <c r="M241" s="38"/>
      <c r="N241" s="69">
        <f t="shared" si="35"/>
        <v>27</v>
      </c>
      <c r="O241" s="38" t="s">
        <v>30</v>
      </c>
      <c r="P241" s="38">
        <v>2018</v>
      </c>
    </row>
    <row r="242" spans="1:16" ht="15.75" customHeight="1">
      <c r="A242" s="30">
        <v>17</v>
      </c>
      <c r="B242" s="142" t="str">
        <f t="shared" si="30"/>
        <v>قوادرية</v>
      </c>
      <c r="C242" s="142" t="str">
        <f t="shared" si="30"/>
        <v>مريم</v>
      </c>
      <c r="D242" s="76" t="str">
        <f t="shared" si="30"/>
        <v> </v>
      </c>
      <c r="E242" s="72">
        <v>16</v>
      </c>
      <c r="F242" s="114">
        <v>15</v>
      </c>
      <c r="G242" s="69">
        <f t="shared" si="31"/>
        <v>15.5</v>
      </c>
      <c r="H242" s="69"/>
      <c r="I242" s="69">
        <f t="shared" si="32"/>
        <v>31</v>
      </c>
      <c r="J242" s="38"/>
      <c r="K242" s="72" t="str">
        <f t="shared" si="33"/>
        <v> </v>
      </c>
      <c r="L242" s="72" t="str">
        <f t="shared" si="34"/>
        <v> </v>
      </c>
      <c r="M242" s="38"/>
      <c r="N242" s="69">
        <f t="shared" si="35"/>
        <v>31</v>
      </c>
      <c r="O242" s="38" t="s">
        <v>30</v>
      </c>
      <c r="P242" s="38">
        <v>2018</v>
      </c>
    </row>
    <row r="243" spans="1:16" ht="15.75" customHeight="1">
      <c r="A243" s="30">
        <v>18</v>
      </c>
      <c r="B243" s="142" t="str">
        <f t="shared" si="30"/>
        <v>محفوظ </v>
      </c>
      <c r="C243" s="142" t="str">
        <f t="shared" si="30"/>
        <v>بشرى</v>
      </c>
      <c r="D243" s="76" t="str">
        <f t="shared" si="30"/>
        <v> </v>
      </c>
      <c r="E243" s="72">
        <v>16</v>
      </c>
      <c r="F243" s="114">
        <v>15</v>
      </c>
      <c r="G243" s="69">
        <f t="shared" si="31"/>
        <v>15.5</v>
      </c>
      <c r="H243" s="69"/>
      <c r="I243" s="69">
        <f t="shared" si="32"/>
        <v>31</v>
      </c>
      <c r="J243" s="38"/>
      <c r="K243" s="72" t="str">
        <f t="shared" si="33"/>
        <v> </v>
      </c>
      <c r="L243" s="72" t="str">
        <f t="shared" si="34"/>
        <v> </v>
      </c>
      <c r="M243" s="38"/>
      <c r="N243" s="69">
        <f t="shared" si="35"/>
        <v>31</v>
      </c>
      <c r="O243" s="38" t="s">
        <v>30</v>
      </c>
      <c r="P243" s="38">
        <v>2018</v>
      </c>
    </row>
    <row r="244" spans="1:16" ht="15.75" customHeight="1">
      <c r="A244" s="30">
        <v>19</v>
      </c>
      <c r="B244" s="142" t="str">
        <f t="shared" si="30"/>
        <v>مسطوري </v>
      </c>
      <c r="C244" s="142" t="str">
        <f t="shared" si="30"/>
        <v>سارة</v>
      </c>
      <c r="D244" s="76" t="str">
        <f t="shared" si="30"/>
        <v> </v>
      </c>
      <c r="E244" s="72">
        <v>15</v>
      </c>
      <c r="F244" s="114">
        <v>14</v>
      </c>
      <c r="G244" s="69">
        <f t="shared" si="31"/>
        <v>14.5</v>
      </c>
      <c r="H244" s="69"/>
      <c r="I244" s="69">
        <f t="shared" si="32"/>
        <v>29</v>
      </c>
      <c r="J244" s="38"/>
      <c r="K244" s="72" t="str">
        <f t="shared" si="33"/>
        <v> </v>
      </c>
      <c r="L244" s="72" t="str">
        <f t="shared" si="34"/>
        <v> </v>
      </c>
      <c r="M244" s="38"/>
      <c r="N244" s="69">
        <f t="shared" si="35"/>
        <v>29</v>
      </c>
      <c r="O244" s="38" t="s">
        <v>30</v>
      </c>
      <c r="P244" s="38">
        <v>2018</v>
      </c>
    </row>
    <row r="245" spans="1:16" ht="15.75" customHeight="1">
      <c r="A245" s="30">
        <v>20</v>
      </c>
      <c r="B245" s="142" t="str">
        <f t="shared" si="30"/>
        <v>هداف </v>
      </c>
      <c r="C245" s="142" t="str">
        <f t="shared" si="30"/>
        <v>حياة</v>
      </c>
      <c r="D245" s="76" t="str">
        <f t="shared" si="30"/>
        <v> </v>
      </c>
      <c r="E245" s="72">
        <v>12</v>
      </c>
      <c r="F245" s="114">
        <v>13</v>
      </c>
      <c r="G245" s="69">
        <f t="shared" si="31"/>
        <v>12.5</v>
      </c>
      <c r="H245" s="69"/>
      <c r="I245" s="69">
        <f t="shared" si="32"/>
        <v>25</v>
      </c>
      <c r="J245" s="38"/>
      <c r="K245" s="72" t="str">
        <f t="shared" si="33"/>
        <v> </v>
      </c>
      <c r="L245" s="72" t="str">
        <f t="shared" si="34"/>
        <v> </v>
      </c>
      <c r="M245" s="38"/>
      <c r="N245" s="69">
        <f t="shared" si="35"/>
        <v>25</v>
      </c>
      <c r="O245" s="38" t="s">
        <v>30</v>
      </c>
      <c r="P245" s="38">
        <v>2018</v>
      </c>
    </row>
    <row r="246" spans="1:16" ht="15.75" customHeight="1">
      <c r="A246" s="30">
        <v>21</v>
      </c>
      <c r="B246" s="142" t="str">
        <f t="shared" si="30"/>
        <v> </v>
      </c>
      <c r="C246" s="142" t="str">
        <f t="shared" si="30"/>
        <v> </v>
      </c>
      <c r="D246" s="76" t="str">
        <f t="shared" si="30"/>
        <v> </v>
      </c>
      <c r="E246" s="72"/>
      <c r="F246" s="114"/>
      <c r="G246" s="69">
        <f t="shared" si="31"/>
        <v>0</v>
      </c>
      <c r="H246" s="69"/>
      <c r="I246" s="69">
        <f t="shared" si="32"/>
        <v>0</v>
      </c>
      <c r="J246" s="38"/>
      <c r="K246" s="72" t="str">
        <f t="shared" si="33"/>
        <v> </v>
      </c>
      <c r="L246" s="72" t="str">
        <f t="shared" si="34"/>
        <v> </v>
      </c>
      <c r="M246" s="38"/>
      <c r="N246" s="69">
        <f t="shared" si="35"/>
        <v>0</v>
      </c>
      <c r="O246" s="38" t="s">
        <v>30</v>
      </c>
      <c r="P246" s="38">
        <v>2018</v>
      </c>
    </row>
    <row r="247" spans="1:16" ht="15.75" customHeight="1">
      <c r="A247" s="30">
        <v>22</v>
      </c>
      <c r="B247" s="142" t="str">
        <f t="shared" si="30"/>
        <v> </v>
      </c>
      <c r="C247" s="142" t="str">
        <f t="shared" si="30"/>
        <v> </v>
      </c>
      <c r="D247" s="76" t="str">
        <f t="shared" si="30"/>
        <v> </v>
      </c>
      <c r="E247" s="72"/>
      <c r="F247" s="114"/>
      <c r="G247" s="69">
        <f t="shared" si="31"/>
        <v>0</v>
      </c>
      <c r="H247" s="69"/>
      <c r="I247" s="69">
        <f t="shared" si="32"/>
        <v>0</v>
      </c>
      <c r="J247" s="38"/>
      <c r="K247" s="72" t="str">
        <f t="shared" si="33"/>
        <v> </v>
      </c>
      <c r="L247" s="72" t="str">
        <f t="shared" si="34"/>
        <v> </v>
      </c>
      <c r="M247" s="38"/>
      <c r="N247" s="69">
        <f t="shared" si="35"/>
        <v>0</v>
      </c>
      <c r="O247" s="38" t="s">
        <v>30</v>
      </c>
      <c r="P247" s="38">
        <v>2018</v>
      </c>
    </row>
    <row r="248" spans="1:16" ht="15.75" customHeight="1">
      <c r="A248" s="30">
        <v>23</v>
      </c>
      <c r="B248" s="142" t="str">
        <f t="shared" si="30"/>
        <v> </v>
      </c>
      <c r="C248" s="142" t="str">
        <f t="shared" si="30"/>
        <v> </v>
      </c>
      <c r="D248" s="76" t="str">
        <f t="shared" si="30"/>
        <v> </v>
      </c>
      <c r="E248" s="72"/>
      <c r="F248" s="54"/>
      <c r="G248" s="69">
        <f t="shared" si="31"/>
        <v>0</v>
      </c>
      <c r="H248" s="69"/>
      <c r="I248" s="69">
        <f t="shared" si="32"/>
        <v>0</v>
      </c>
      <c r="J248" s="38"/>
      <c r="K248" s="72" t="str">
        <f t="shared" si="33"/>
        <v> </v>
      </c>
      <c r="L248" s="72" t="str">
        <f t="shared" si="34"/>
        <v> </v>
      </c>
      <c r="M248" s="38"/>
      <c r="N248" s="69">
        <f t="shared" si="35"/>
        <v>0</v>
      </c>
      <c r="O248" s="38" t="s">
        <v>30</v>
      </c>
      <c r="P248" s="38">
        <v>2018</v>
      </c>
    </row>
    <row r="249" spans="1:16" ht="15.75" customHeight="1">
      <c r="A249" s="30">
        <v>24</v>
      </c>
      <c r="B249" s="142" t="str">
        <f t="shared" si="30"/>
        <v> </v>
      </c>
      <c r="C249" s="142" t="str">
        <f t="shared" si="30"/>
        <v> </v>
      </c>
      <c r="D249" s="76" t="str">
        <f t="shared" si="30"/>
        <v> </v>
      </c>
      <c r="E249" s="72"/>
      <c r="F249" s="54"/>
      <c r="G249" s="69">
        <f t="shared" si="31"/>
        <v>0</v>
      </c>
      <c r="H249" s="69"/>
      <c r="I249" s="69">
        <f t="shared" si="32"/>
        <v>0</v>
      </c>
      <c r="J249" s="38"/>
      <c r="K249" s="72" t="str">
        <f t="shared" si="33"/>
        <v> </v>
      </c>
      <c r="L249" s="72" t="str">
        <f t="shared" si="34"/>
        <v> </v>
      </c>
      <c r="M249" s="38"/>
      <c r="N249" s="69">
        <f t="shared" si="35"/>
        <v>0</v>
      </c>
      <c r="O249" s="38" t="s">
        <v>30</v>
      </c>
      <c r="P249" s="38">
        <v>2018</v>
      </c>
    </row>
    <row r="250" spans="1:16" ht="15.75" customHeight="1">
      <c r="A250" s="30">
        <v>25</v>
      </c>
      <c r="B250" s="142" t="str">
        <f t="shared" si="30"/>
        <v> </v>
      </c>
      <c r="C250" s="142" t="str">
        <f t="shared" si="30"/>
        <v> </v>
      </c>
      <c r="D250" s="76" t="str">
        <f t="shared" si="30"/>
        <v> </v>
      </c>
      <c r="E250" s="72"/>
      <c r="F250" s="54"/>
      <c r="G250" s="69">
        <f t="shared" si="31"/>
        <v>0</v>
      </c>
      <c r="H250" s="69"/>
      <c r="I250" s="69">
        <f t="shared" si="32"/>
        <v>0</v>
      </c>
      <c r="J250" s="38"/>
      <c r="K250" s="72" t="str">
        <f t="shared" si="33"/>
        <v> </v>
      </c>
      <c r="L250" s="72" t="str">
        <f t="shared" si="34"/>
        <v> </v>
      </c>
      <c r="M250" s="38"/>
      <c r="N250" s="69">
        <f t="shared" si="35"/>
        <v>0</v>
      </c>
      <c r="O250" s="38" t="s">
        <v>30</v>
      </c>
      <c r="P250" s="38">
        <v>2018</v>
      </c>
    </row>
    <row r="251" spans="1:16" ht="15.75" customHeight="1">
      <c r="A251" s="30">
        <v>26</v>
      </c>
      <c r="B251" s="142" t="str">
        <f t="shared" si="30"/>
        <v> </v>
      </c>
      <c r="C251" s="142" t="str">
        <f t="shared" si="30"/>
        <v> </v>
      </c>
      <c r="D251" s="76" t="str">
        <f t="shared" si="30"/>
        <v> </v>
      </c>
      <c r="E251" s="72"/>
      <c r="F251" s="54"/>
      <c r="G251" s="69">
        <f t="shared" si="31"/>
        <v>0</v>
      </c>
      <c r="H251" s="69"/>
      <c r="I251" s="69">
        <f t="shared" si="32"/>
        <v>0</v>
      </c>
      <c r="J251" s="38"/>
      <c r="K251" s="72" t="str">
        <f t="shared" si="33"/>
        <v> </v>
      </c>
      <c r="L251" s="72" t="str">
        <f t="shared" si="34"/>
        <v> </v>
      </c>
      <c r="M251" s="38"/>
      <c r="N251" s="69">
        <f t="shared" si="35"/>
        <v>0</v>
      </c>
      <c r="O251" s="38" t="s">
        <v>30</v>
      </c>
      <c r="P251" s="38">
        <v>2018</v>
      </c>
    </row>
    <row r="252" spans="1:16" ht="15.75" customHeight="1">
      <c r="A252" s="30">
        <v>27</v>
      </c>
      <c r="B252" s="142" t="str">
        <f t="shared" si="30"/>
        <v> </v>
      </c>
      <c r="C252" s="142" t="str">
        <f t="shared" si="30"/>
        <v> </v>
      </c>
      <c r="D252" s="76" t="str">
        <f t="shared" si="30"/>
        <v> </v>
      </c>
      <c r="E252" s="72"/>
      <c r="F252" s="54"/>
      <c r="G252" s="69">
        <f t="shared" si="31"/>
        <v>0</v>
      </c>
      <c r="H252" s="69"/>
      <c r="I252" s="69">
        <f t="shared" si="32"/>
        <v>0</v>
      </c>
      <c r="J252" s="38"/>
      <c r="K252" s="72" t="str">
        <f t="shared" si="33"/>
        <v> </v>
      </c>
      <c r="L252" s="72" t="str">
        <f t="shared" si="34"/>
        <v> </v>
      </c>
      <c r="M252" s="38"/>
      <c r="N252" s="69">
        <f t="shared" si="35"/>
        <v>0</v>
      </c>
      <c r="O252" s="38" t="s">
        <v>30</v>
      </c>
      <c r="P252" s="38">
        <v>2018</v>
      </c>
    </row>
    <row r="253" spans="1:16" ht="15.75" customHeight="1">
      <c r="A253" s="30">
        <v>28</v>
      </c>
      <c r="B253" s="142" t="str">
        <f t="shared" si="30"/>
        <v> </v>
      </c>
      <c r="C253" s="142" t="str">
        <f t="shared" si="30"/>
        <v> </v>
      </c>
      <c r="D253" s="76" t="str">
        <f t="shared" si="30"/>
        <v> </v>
      </c>
      <c r="E253" s="72"/>
      <c r="F253" s="54"/>
      <c r="G253" s="69">
        <f t="shared" si="31"/>
        <v>0</v>
      </c>
      <c r="H253" s="69"/>
      <c r="I253" s="69">
        <f t="shared" si="32"/>
        <v>0</v>
      </c>
      <c r="J253" s="38"/>
      <c r="K253" s="72" t="str">
        <f t="shared" si="33"/>
        <v> </v>
      </c>
      <c r="L253" s="72" t="str">
        <f t="shared" si="34"/>
        <v> </v>
      </c>
      <c r="M253" s="38"/>
      <c r="N253" s="69">
        <f t="shared" si="35"/>
        <v>0</v>
      </c>
      <c r="O253" s="38" t="s">
        <v>30</v>
      </c>
      <c r="P253" s="38">
        <v>2018</v>
      </c>
    </row>
    <row r="254" spans="1:16" ht="15.75" customHeight="1">
      <c r="A254" s="30">
        <v>29</v>
      </c>
      <c r="B254" s="142" t="str">
        <f t="shared" si="30"/>
        <v> </v>
      </c>
      <c r="C254" s="142" t="str">
        <f t="shared" si="30"/>
        <v> </v>
      </c>
      <c r="D254" s="76" t="str">
        <f t="shared" si="30"/>
        <v> </v>
      </c>
      <c r="E254" s="72"/>
      <c r="F254" s="54"/>
      <c r="G254" s="69">
        <f t="shared" si="31"/>
        <v>0</v>
      </c>
      <c r="H254" s="69"/>
      <c r="I254" s="69">
        <f t="shared" si="32"/>
        <v>0</v>
      </c>
      <c r="J254" s="38"/>
      <c r="K254" s="72" t="str">
        <f t="shared" si="33"/>
        <v> </v>
      </c>
      <c r="L254" s="72" t="str">
        <f t="shared" si="34"/>
        <v> </v>
      </c>
      <c r="M254" s="38"/>
      <c r="N254" s="69">
        <f t="shared" si="35"/>
        <v>0</v>
      </c>
      <c r="O254" s="38" t="s">
        <v>30</v>
      </c>
      <c r="P254" s="38">
        <v>2018</v>
      </c>
    </row>
    <row r="255" spans="1:16" ht="15.75" customHeight="1">
      <c r="A255" s="30">
        <v>30</v>
      </c>
      <c r="B255" s="142" t="str">
        <f t="shared" si="30"/>
        <v> </v>
      </c>
      <c r="C255" s="142" t="str">
        <f t="shared" si="30"/>
        <v> </v>
      </c>
      <c r="D255" s="76" t="str">
        <f t="shared" si="30"/>
        <v> </v>
      </c>
      <c r="E255" s="72"/>
      <c r="F255" s="54"/>
      <c r="G255" s="69">
        <f t="shared" si="31"/>
        <v>0</v>
      </c>
      <c r="H255" s="69"/>
      <c r="I255" s="69">
        <f t="shared" si="32"/>
        <v>0</v>
      </c>
      <c r="J255" s="38"/>
      <c r="K255" s="72" t="str">
        <f t="shared" si="33"/>
        <v> </v>
      </c>
      <c r="L255" s="72" t="str">
        <f t="shared" si="34"/>
        <v> </v>
      </c>
      <c r="M255" s="38"/>
      <c r="N255" s="69">
        <f t="shared" si="35"/>
        <v>0</v>
      </c>
      <c r="O255" s="38" t="s">
        <v>30</v>
      </c>
      <c r="P255" s="38">
        <v>2018</v>
      </c>
    </row>
    <row r="256" spans="1:16" ht="15.75" customHeight="1">
      <c r="A256" s="30">
        <v>31</v>
      </c>
      <c r="B256" s="142" t="str">
        <f t="shared" si="30"/>
        <v> </v>
      </c>
      <c r="C256" s="142" t="str">
        <f t="shared" si="30"/>
        <v> </v>
      </c>
      <c r="D256" s="76" t="str">
        <f t="shared" si="30"/>
        <v> </v>
      </c>
      <c r="E256" s="72"/>
      <c r="F256" s="54"/>
      <c r="G256" s="69">
        <f t="shared" si="31"/>
        <v>0</v>
      </c>
      <c r="H256" s="69"/>
      <c r="I256" s="69">
        <f t="shared" si="32"/>
        <v>0</v>
      </c>
      <c r="J256" s="38"/>
      <c r="K256" s="72" t="str">
        <f t="shared" si="33"/>
        <v> </v>
      </c>
      <c r="L256" s="72" t="str">
        <f t="shared" si="34"/>
        <v> </v>
      </c>
      <c r="M256" s="38"/>
      <c r="N256" s="69">
        <f t="shared" si="35"/>
        <v>0</v>
      </c>
      <c r="O256" s="38" t="s">
        <v>30</v>
      </c>
      <c r="P256" s="38">
        <v>2018</v>
      </c>
    </row>
    <row r="257" spans="1:16" ht="15.75" customHeight="1">
      <c r="A257" s="30">
        <v>32</v>
      </c>
      <c r="B257" s="142" t="str">
        <f t="shared" si="30"/>
        <v> </v>
      </c>
      <c r="C257" s="142" t="str">
        <f t="shared" si="30"/>
        <v> </v>
      </c>
      <c r="D257" s="76" t="str">
        <f t="shared" si="30"/>
        <v> </v>
      </c>
      <c r="E257" s="72"/>
      <c r="F257" s="54"/>
      <c r="G257" s="69">
        <f t="shared" si="31"/>
        <v>0</v>
      </c>
      <c r="H257" s="69"/>
      <c r="I257" s="69">
        <f t="shared" si="32"/>
        <v>0</v>
      </c>
      <c r="J257" s="38"/>
      <c r="K257" s="72" t="str">
        <f t="shared" si="33"/>
        <v> </v>
      </c>
      <c r="L257" s="72" t="str">
        <f t="shared" si="34"/>
        <v> </v>
      </c>
      <c r="M257" s="38"/>
      <c r="N257" s="69">
        <f t="shared" si="35"/>
        <v>0</v>
      </c>
      <c r="O257" s="38" t="s">
        <v>30</v>
      </c>
      <c r="P257" s="38">
        <v>2018</v>
      </c>
    </row>
    <row r="258" spans="15:16" ht="18">
      <c r="O258" s="38" t="s">
        <v>30</v>
      </c>
      <c r="P258" s="38">
        <v>2018</v>
      </c>
    </row>
    <row r="259" spans="2:16" ht="18">
      <c r="B259" s="19"/>
      <c r="C259" s="264" t="s">
        <v>18</v>
      </c>
      <c r="D259" s="264"/>
      <c r="O259" s="38" t="s">
        <v>30</v>
      </c>
      <c r="P259" s="38">
        <v>2018</v>
      </c>
    </row>
    <row r="263" spans="1:14" ht="18">
      <c r="A263" s="86" t="s">
        <v>0</v>
      </c>
      <c r="B263" s="308"/>
      <c r="C263" s="308"/>
      <c r="D263" s="87"/>
      <c r="E263" s="266"/>
      <c r="F263" s="151"/>
      <c r="G263" s="284"/>
      <c r="H263" s="284"/>
      <c r="I263" s="284"/>
      <c r="J263" s="277"/>
      <c r="K263" s="276" t="str">
        <f>K1</f>
        <v>السنة الثانية ماستر إقتصاد نقدي وبنكي </v>
      </c>
      <c r="N263" s="271"/>
    </row>
    <row r="264" spans="1:14" ht="18">
      <c r="A264" s="86" t="s">
        <v>2</v>
      </c>
      <c r="B264" s="308"/>
      <c r="C264" s="308"/>
      <c r="D264" s="87"/>
      <c r="E264" s="266"/>
      <c r="F264" s="273" t="s">
        <v>3</v>
      </c>
      <c r="G264" s="291" t="s">
        <v>191</v>
      </c>
      <c r="H264" s="274"/>
      <c r="I264" s="275"/>
      <c r="J264" s="275"/>
      <c r="K264" s="276" t="s">
        <v>1</v>
      </c>
      <c r="L264" s="271"/>
      <c r="M264" s="271"/>
      <c r="N264" s="271" t="str">
        <f>N2</f>
        <v>2017-2018</v>
      </c>
    </row>
    <row r="265" spans="1:14" ht="18">
      <c r="A265" s="86" t="s">
        <v>4</v>
      </c>
      <c r="B265" s="308"/>
      <c r="C265" s="308"/>
      <c r="D265" s="87"/>
      <c r="E265" s="266"/>
      <c r="F265" s="273" t="s">
        <v>5</v>
      </c>
      <c r="G265" s="281">
        <v>1</v>
      </c>
      <c r="H265" s="274"/>
      <c r="I265" s="275" t="s">
        <v>39</v>
      </c>
      <c r="J265" s="274">
        <v>1</v>
      </c>
      <c r="K265" s="271"/>
      <c r="L265" s="271"/>
      <c r="M265" s="271"/>
      <c r="N265" s="271"/>
    </row>
    <row r="266" spans="1:14" ht="18">
      <c r="A266" s="93"/>
      <c r="B266" s="308"/>
      <c r="C266" s="308"/>
      <c r="D266" s="87"/>
      <c r="E266" s="266"/>
      <c r="F266" s="273" t="s">
        <v>6</v>
      </c>
      <c r="G266" s="274" t="s">
        <v>212</v>
      </c>
      <c r="H266" s="274"/>
      <c r="I266" s="275"/>
      <c r="K266" s="275" t="s">
        <v>85</v>
      </c>
      <c r="L266" s="271"/>
      <c r="M266" s="271"/>
      <c r="N266" s="271"/>
    </row>
    <row r="267" spans="1:14" ht="25.5" customHeight="1">
      <c r="A267" s="93" t="s">
        <v>7</v>
      </c>
      <c r="B267" s="308">
        <f>B5</f>
        <v>2</v>
      </c>
      <c r="C267" s="308"/>
      <c r="D267" s="87"/>
      <c r="E267" s="267"/>
      <c r="F267" s="271"/>
      <c r="G267" s="278" t="s">
        <v>8</v>
      </c>
      <c r="H267" s="279"/>
      <c r="I267" s="277"/>
      <c r="J267" s="277"/>
      <c r="K267" s="271"/>
      <c r="L267" s="283" t="s">
        <v>114</v>
      </c>
      <c r="M267" s="271"/>
      <c r="N267" s="271"/>
    </row>
    <row r="268" spans="1:14" ht="18">
      <c r="A268" s="93"/>
      <c r="B268" s="308"/>
      <c r="C268" s="308"/>
      <c r="D268" s="87"/>
      <c r="E268" s="266"/>
      <c r="F268" s="271"/>
      <c r="G268" s="271"/>
      <c r="H268" s="271"/>
      <c r="I268" s="271"/>
      <c r="J268" s="271"/>
      <c r="K268" s="271"/>
      <c r="L268" s="271"/>
      <c r="M268" s="271"/>
      <c r="N268" s="271"/>
    </row>
    <row r="269" spans="1:14" ht="25.5">
      <c r="A269" s="65" t="s">
        <v>9</v>
      </c>
      <c r="B269" s="299" t="s">
        <v>163</v>
      </c>
      <c r="C269" s="299" t="s">
        <v>164</v>
      </c>
      <c r="D269" s="66"/>
      <c r="E269" s="68" t="s">
        <v>17</v>
      </c>
      <c r="F269" s="88" t="s">
        <v>10</v>
      </c>
      <c r="G269" s="88" t="s">
        <v>11</v>
      </c>
      <c r="H269" s="66" t="s">
        <v>14</v>
      </c>
      <c r="I269" s="88" t="s">
        <v>16</v>
      </c>
      <c r="J269" s="88" t="s">
        <v>13</v>
      </c>
      <c r="K269" s="88" t="s">
        <v>12</v>
      </c>
      <c r="L269" s="88" t="s">
        <v>16</v>
      </c>
      <c r="M269" s="66" t="s">
        <v>14</v>
      </c>
      <c r="N269" s="700" t="s">
        <v>15</v>
      </c>
    </row>
    <row r="270" spans="1:16" ht="18">
      <c r="A270" s="70"/>
      <c r="B270" s="311"/>
      <c r="C270" s="311"/>
      <c r="D270" s="71"/>
      <c r="E270" s="89">
        <v>20</v>
      </c>
      <c r="F270" s="90">
        <v>20</v>
      </c>
      <c r="G270" s="90">
        <v>20</v>
      </c>
      <c r="H270" s="71" t="s">
        <v>30</v>
      </c>
      <c r="I270" s="90">
        <v>20</v>
      </c>
      <c r="J270" s="90">
        <v>20</v>
      </c>
      <c r="K270" s="90">
        <v>20</v>
      </c>
      <c r="L270" s="71">
        <v>20</v>
      </c>
      <c r="M270" s="71" t="s">
        <v>31</v>
      </c>
      <c r="N270" s="701"/>
      <c r="O270" s="141"/>
      <c r="P270" s="38"/>
    </row>
    <row r="271" spans="1:16" ht="15.75" customHeight="1">
      <c r="A271" s="30">
        <v>1</v>
      </c>
      <c r="B271" s="142" t="str">
        <f aca="true" t="shared" si="36" ref="B271:D302">IF(B8&gt;0,B8," ")</f>
        <v>الحاج </v>
      </c>
      <c r="C271" s="142" t="str">
        <f t="shared" si="36"/>
        <v>مروة</v>
      </c>
      <c r="D271" s="76" t="str">
        <f t="shared" si="36"/>
        <v> </v>
      </c>
      <c r="E271" s="72">
        <v>13</v>
      </c>
      <c r="F271" s="114">
        <v>12.5</v>
      </c>
      <c r="G271" s="69">
        <f>(E271+F271)/2</f>
        <v>12.75</v>
      </c>
      <c r="H271" s="69"/>
      <c r="I271" s="69">
        <f>G271+H271</f>
        <v>12.75</v>
      </c>
      <c r="J271" s="69"/>
      <c r="K271" s="72" t="str">
        <f>IF(J271&gt;0,(J271+F271)/2," ")</f>
        <v> </v>
      </c>
      <c r="L271" s="72" t="str">
        <f>IF(J271&gt;0,((J271+F271)/2)*1," ")</f>
        <v> </v>
      </c>
      <c r="M271" s="38"/>
      <c r="N271" s="69">
        <f>IF(I271&gt;(((J271+F271)/2)*1)+M271,I271+M271,(((J271+F271)/2)*1)+M271)</f>
        <v>12.75</v>
      </c>
      <c r="O271" s="38" t="s">
        <v>30</v>
      </c>
      <c r="P271" s="38">
        <v>2018</v>
      </c>
    </row>
    <row r="272" spans="1:16" ht="15.75" customHeight="1">
      <c r="A272" s="30">
        <v>2</v>
      </c>
      <c r="B272" s="142" t="str">
        <f t="shared" si="36"/>
        <v>العياشي </v>
      </c>
      <c r="C272" s="142" t="str">
        <f t="shared" si="36"/>
        <v>نوار</v>
      </c>
      <c r="D272" s="76" t="str">
        <f t="shared" si="36"/>
        <v> </v>
      </c>
      <c r="E272" s="72"/>
      <c r="F272" s="114">
        <v>9.5</v>
      </c>
      <c r="G272" s="69">
        <f aca="true" t="shared" si="37" ref="G272:G302">(E272+F272)/2</f>
        <v>4.75</v>
      </c>
      <c r="H272" s="69"/>
      <c r="I272" s="69">
        <f aca="true" t="shared" si="38" ref="I272:I302">G272+H272</f>
        <v>4.75</v>
      </c>
      <c r="J272" s="69"/>
      <c r="K272" s="72" t="str">
        <f aca="true" t="shared" si="39" ref="K272:K302">IF(J272&gt;0,(J272+F272)/2," ")</f>
        <v> </v>
      </c>
      <c r="L272" s="72" t="str">
        <f aca="true" t="shared" si="40" ref="L272:L302">IF(J272&gt;0,((J272+F272)/2)*1," ")</f>
        <v> </v>
      </c>
      <c r="M272" s="38"/>
      <c r="N272" s="69">
        <f aca="true" t="shared" si="41" ref="N272:N302">IF(I272&gt;(((J272+F272)/2)*1)+M272,I272+M272,(((J272+F272)/2)*1)+M272)</f>
        <v>4.75</v>
      </c>
      <c r="O272" s="38" t="s">
        <v>30</v>
      </c>
      <c r="P272" s="38">
        <v>2018</v>
      </c>
    </row>
    <row r="273" spans="1:16" ht="15.75" customHeight="1">
      <c r="A273" s="30">
        <v>3</v>
      </c>
      <c r="B273" s="142" t="str">
        <f t="shared" si="36"/>
        <v>باطح </v>
      </c>
      <c r="C273" s="142" t="str">
        <f t="shared" si="36"/>
        <v>محمد لمين</v>
      </c>
      <c r="D273" s="76" t="str">
        <f t="shared" si="36"/>
        <v> </v>
      </c>
      <c r="E273" s="72">
        <v>11</v>
      </c>
      <c r="F273" s="114">
        <v>10.5</v>
      </c>
      <c r="G273" s="69">
        <f t="shared" si="37"/>
        <v>10.75</v>
      </c>
      <c r="H273" s="69"/>
      <c r="I273" s="69">
        <f t="shared" si="38"/>
        <v>10.75</v>
      </c>
      <c r="J273" s="69"/>
      <c r="K273" s="72" t="str">
        <f t="shared" si="39"/>
        <v> </v>
      </c>
      <c r="L273" s="72" t="str">
        <f t="shared" si="40"/>
        <v> </v>
      </c>
      <c r="M273" s="38"/>
      <c r="N273" s="69">
        <f t="shared" si="41"/>
        <v>10.75</v>
      </c>
      <c r="O273" s="38" t="s">
        <v>30</v>
      </c>
      <c r="P273" s="38">
        <v>2018</v>
      </c>
    </row>
    <row r="274" spans="1:16" ht="15.75" customHeight="1">
      <c r="A274" s="30">
        <v>4</v>
      </c>
      <c r="B274" s="142" t="str">
        <f t="shared" si="36"/>
        <v>بوساحة </v>
      </c>
      <c r="C274" s="142" t="str">
        <f t="shared" si="36"/>
        <v>حسام الدين</v>
      </c>
      <c r="D274" s="76" t="str">
        <f t="shared" si="36"/>
        <v> </v>
      </c>
      <c r="E274" s="72">
        <v>5</v>
      </c>
      <c r="F274" s="114">
        <v>10.5</v>
      </c>
      <c r="G274" s="69">
        <f t="shared" si="37"/>
        <v>7.75</v>
      </c>
      <c r="H274" s="69"/>
      <c r="I274" s="69">
        <f t="shared" si="38"/>
        <v>7.75</v>
      </c>
      <c r="J274" s="69"/>
      <c r="K274" s="72" t="str">
        <f t="shared" si="39"/>
        <v> </v>
      </c>
      <c r="L274" s="72" t="str">
        <f t="shared" si="40"/>
        <v> </v>
      </c>
      <c r="M274" s="38"/>
      <c r="N274" s="69">
        <f t="shared" si="41"/>
        <v>7.75</v>
      </c>
      <c r="O274" s="38" t="s">
        <v>30</v>
      </c>
      <c r="P274" s="38">
        <v>2018</v>
      </c>
    </row>
    <row r="275" spans="1:16" ht="15.75" customHeight="1">
      <c r="A275" s="30">
        <v>5</v>
      </c>
      <c r="B275" s="142" t="str">
        <f t="shared" si="36"/>
        <v>بوسالم </v>
      </c>
      <c r="C275" s="142" t="str">
        <f t="shared" si="36"/>
        <v>محمد وليد</v>
      </c>
      <c r="D275" s="76" t="str">
        <f t="shared" si="36"/>
        <v> </v>
      </c>
      <c r="E275" s="72">
        <v>2</v>
      </c>
      <c r="F275" s="114">
        <v>9.5</v>
      </c>
      <c r="G275" s="69">
        <f t="shared" si="37"/>
        <v>5.75</v>
      </c>
      <c r="H275" s="69"/>
      <c r="I275" s="69">
        <f t="shared" si="38"/>
        <v>5.75</v>
      </c>
      <c r="J275" s="69"/>
      <c r="K275" s="72" t="str">
        <f t="shared" si="39"/>
        <v> </v>
      </c>
      <c r="L275" s="72" t="str">
        <f t="shared" si="40"/>
        <v> </v>
      </c>
      <c r="M275" s="38"/>
      <c r="N275" s="69">
        <f t="shared" si="41"/>
        <v>5.75</v>
      </c>
      <c r="O275" s="38" t="s">
        <v>30</v>
      </c>
      <c r="P275" s="38">
        <v>2018</v>
      </c>
    </row>
    <row r="276" spans="1:16" ht="15.75" customHeight="1">
      <c r="A276" s="30">
        <v>6</v>
      </c>
      <c r="B276" s="142" t="str">
        <f t="shared" si="36"/>
        <v>بوعروج </v>
      </c>
      <c r="C276" s="142" t="str">
        <f t="shared" si="36"/>
        <v>نسيمة</v>
      </c>
      <c r="D276" s="76" t="str">
        <f t="shared" si="36"/>
        <v> </v>
      </c>
      <c r="E276" s="72">
        <v>5</v>
      </c>
      <c r="F276" s="114">
        <v>8</v>
      </c>
      <c r="G276" s="69">
        <f t="shared" si="37"/>
        <v>6.5</v>
      </c>
      <c r="H276" s="69"/>
      <c r="I276" s="69">
        <f t="shared" si="38"/>
        <v>6.5</v>
      </c>
      <c r="J276" s="69"/>
      <c r="K276" s="72" t="str">
        <f t="shared" si="39"/>
        <v> </v>
      </c>
      <c r="L276" s="72" t="str">
        <f t="shared" si="40"/>
        <v> </v>
      </c>
      <c r="M276" s="38"/>
      <c r="N276" s="69">
        <f t="shared" si="41"/>
        <v>6.5</v>
      </c>
      <c r="O276" s="38" t="s">
        <v>30</v>
      </c>
      <c r="P276" s="38">
        <v>2018</v>
      </c>
    </row>
    <row r="277" spans="1:16" ht="15.75" customHeight="1">
      <c r="A277" s="30">
        <v>7</v>
      </c>
      <c r="B277" s="142" t="str">
        <f t="shared" si="36"/>
        <v>بولعيد </v>
      </c>
      <c r="C277" s="142" t="str">
        <f t="shared" si="36"/>
        <v>مريم</v>
      </c>
      <c r="D277" s="76" t="str">
        <f t="shared" si="36"/>
        <v> </v>
      </c>
      <c r="E277" s="72">
        <v>6</v>
      </c>
      <c r="F277" s="114">
        <v>10</v>
      </c>
      <c r="G277" s="69">
        <f t="shared" si="37"/>
        <v>8</v>
      </c>
      <c r="H277" s="69"/>
      <c r="I277" s="69">
        <f t="shared" si="38"/>
        <v>8</v>
      </c>
      <c r="J277" s="69"/>
      <c r="K277" s="72" t="str">
        <f t="shared" si="39"/>
        <v> </v>
      </c>
      <c r="L277" s="72" t="str">
        <f t="shared" si="40"/>
        <v> </v>
      </c>
      <c r="M277" s="38"/>
      <c r="N277" s="69">
        <f t="shared" si="41"/>
        <v>8</v>
      </c>
      <c r="O277" s="38" t="s">
        <v>30</v>
      </c>
      <c r="P277" s="38">
        <v>2018</v>
      </c>
    </row>
    <row r="278" spans="1:16" ht="15.75" customHeight="1">
      <c r="A278" s="30">
        <v>8</v>
      </c>
      <c r="B278" s="142" t="str">
        <f t="shared" si="36"/>
        <v>خاوة </v>
      </c>
      <c r="C278" s="142" t="str">
        <f t="shared" si="36"/>
        <v>أسماء</v>
      </c>
      <c r="D278" s="76" t="str">
        <f t="shared" si="36"/>
        <v> </v>
      </c>
      <c r="E278" s="72">
        <v>7</v>
      </c>
      <c r="F278" s="114">
        <v>5</v>
      </c>
      <c r="G278" s="69">
        <f t="shared" si="37"/>
        <v>6</v>
      </c>
      <c r="H278" s="69"/>
      <c r="I278" s="69">
        <f t="shared" si="38"/>
        <v>6</v>
      </c>
      <c r="J278" s="69"/>
      <c r="K278" s="72" t="str">
        <f t="shared" si="39"/>
        <v> </v>
      </c>
      <c r="L278" s="72" t="str">
        <f t="shared" si="40"/>
        <v> </v>
      </c>
      <c r="M278" s="38"/>
      <c r="N278" s="69">
        <f t="shared" si="41"/>
        <v>6</v>
      </c>
      <c r="O278" s="38" t="s">
        <v>30</v>
      </c>
      <c r="P278" s="38">
        <v>2018</v>
      </c>
    </row>
    <row r="279" spans="1:16" ht="15.75" customHeight="1">
      <c r="A279" s="30">
        <v>9</v>
      </c>
      <c r="B279" s="142" t="str">
        <f t="shared" si="36"/>
        <v>زغلاني </v>
      </c>
      <c r="C279" s="142" t="str">
        <f t="shared" si="36"/>
        <v>ساعد</v>
      </c>
      <c r="D279" s="76" t="str">
        <f t="shared" si="36"/>
        <v> </v>
      </c>
      <c r="E279" s="72">
        <v>5</v>
      </c>
      <c r="F279" s="114">
        <v>5</v>
      </c>
      <c r="G279" s="69">
        <f t="shared" si="37"/>
        <v>5</v>
      </c>
      <c r="H279" s="69"/>
      <c r="I279" s="69">
        <f t="shared" si="38"/>
        <v>5</v>
      </c>
      <c r="J279" s="69"/>
      <c r="K279" s="72" t="str">
        <f t="shared" si="39"/>
        <v> </v>
      </c>
      <c r="L279" s="72" t="str">
        <f t="shared" si="40"/>
        <v> </v>
      </c>
      <c r="M279" s="38"/>
      <c r="N279" s="69">
        <f t="shared" si="41"/>
        <v>5</v>
      </c>
      <c r="O279" s="38" t="s">
        <v>30</v>
      </c>
      <c r="P279" s="38">
        <v>2018</v>
      </c>
    </row>
    <row r="280" spans="1:16" ht="15.75" customHeight="1">
      <c r="A280" s="30">
        <v>10</v>
      </c>
      <c r="B280" s="142" t="str">
        <f t="shared" si="36"/>
        <v>زياني </v>
      </c>
      <c r="C280" s="142" t="str">
        <f t="shared" si="36"/>
        <v>أميرة</v>
      </c>
      <c r="D280" s="76" t="str">
        <f t="shared" si="36"/>
        <v> </v>
      </c>
      <c r="E280" s="72">
        <v>7</v>
      </c>
      <c r="F280" s="114">
        <v>11.5</v>
      </c>
      <c r="G280" s="69">
        <f t="shared" si="37"/>
        <v>9.25</v>
      </c>
      <c r="H280" s="69"/>
      <c r="I280" s="69">
        <f t="shared" si="38"/>
        <v>9.25</v>
      </c>
      <c r="J280" s="69"/>
      <c r="K280" s="72" t="str">
        <f t="shared" si="39"/>
        <v> </v>
      </c>
      <c r="L280" s="72" t="str">
        <f t="shared" si="40"/>
        <v> </v>
      </c>
      <c r="M280" s="38"/>
      <c r="N280" s="69">
        <f t="shared" si="41"/>
        <v>9.25</v>
      </c>
      <c r="O280" s="38" t="s">
        <v>30</v>
      </c>
      <c r="P280" s="38">
        <v>2018</v>
      </c>
    </row>
    <row r="281" spans="1:16" ht="15.75" customHeight="1">
      <c r="A281" s="30">
        <v>11</v>
      </c>
      <c r="B281" s="142" t="str">
        <f t="shared" si="36"/>
        <v>شلابي </v>
      </c>
      <c r="C281" s="142" t="str">
        <f t="shared" si="36"/>
        <v>هاجر</v>
      </c>
      <c r="D281" s="76" t="str">
        <f t="shared" si="36"/>
        <v> </v>
      </c>
      <c r="E281" s="72">
        <v>5</v>
      </c>
      <c r="F281" s="114">
        <v>5</v>
      </c>
      <c r="G281" s="69">
        <f t="shared" si="37"/>
        <v>5</v>
      </c>
      <c r="H281" s="69"/>
      <c r="I281" s="69">
        <f t="shared" si="38"/>
        <v>5</v>
      </c>
      <c r="J281" s="69"/>
      <c r="K281" s="72" t="str">
        <f t="shared" si="39"/>
        <v> </v>
      </c>
      <c r="L281" s="72" t="str">
        <f t="shared" si="40"/>
        <v> </v>
      </c>
      <c r="M281" s="38"/>
      <c r="N281" s="69">
        <f t="shared" si="41"/>
        <v>5</v>
      </c>
      <c r="O281" s="38" t="s">
        <v>30</v>
      </c>
      <c r="P281" s="38">
        <v>2018</v>
      </c>
    </row>
    <row r="282" spans="1:16" ht="15.75" customHeight="1">
      <c r="A282" s="30">
        <v>12</v>
      </c>
      <c r="B282" s="142" t="str">
        <f t="shared" si="36"/>
        <v>صولي </v>
      </c>
      <c r="C282" s="142" t="str">
        <f t="shared" si="36"/>
        <v>هشام</v>
      </c>
      <c r="D282" s="76" t="str">
        <f t="shared" si="36"/>
        <v> </v>
      </c>
      <c r="E282" s="72">
        <v>6</v>
      </c>
      <c r="F282" s="114">
        <v>10</v>
      </c>
      <c r="G282" s="69">
        <f t="shared" si="37"/>
        <v>8</v>
      </c>
      <c r="H282" s="69"/>
      <c r="I282" s="69">
        <f t="shared" si="38"/>
        <v>8</v>
      </c>
      <c r="J282" s="69"/>
      <c r="K282" s="72" t="str">
        <f t="shared" si="39"/>
        <v> </v>
      </c>
      <c r="L282" s="72" t="str">
        <f t="shared" si="40"/>
        <v> </v>
      </c>
      <c r="M282" s="38"/>
      <c r="N282" s="69">
        <f t="shared" si="41"/>
        <v>8</v>
      </c>
      <c r="O282" s="38" t="s">
        <v>30</v>
      </c>
      <c r="P282" s="38">
        <v>2018</v>
      </c>
    </row>
    <row r="283" spans="1:16" ht="15.75" customHeight="1">
      <c r="A283" s="30">
        <v>13</v>
      </c>
      <c r="B283" s="142" t="str">
        <f t="shared" si="36"/>
        <v>عطيل</v>
      </c>
      <c r="C283" s="142" t="str">
        <f t="shared" si="36"/>
        <v>آسيا</v>
      </c>
      <c r="D283" s="76" t="str">
        <f t="shared" si="36"/>
        <v> </v>
      </c>
      <c r="E283" s="72">
        <v>13</v>
      </c>
      <c r="F283" s="114">
        <v>13.5</v>
      </c>
      <c r="G283" s="69">
        <f t="shared" si="37"/>
        <v>13.25</v>
      </c>
      <c r="H283" s="69"/>
      <c r="I283" s="69">
        <f t="shared" si="38"/>
        <v>13.25</v>
      </c>
      <c r="J283" s="69"/>
      <c r="K283" s="72" t="str">
        <f t="shared" si="39"/>
        <v> </v>
      </c>
      <c r="L283" s="72" t="str">
        <f t="shared" si="40"/>
        <v> </v>
      </c>
      <c r="M283" s="38"/>
      <c r="N283" s="69">
        <f t="shared" si="41"/>
        <v>13.25</v>
      </c>
      <c r="O283" s="38" t="s">
        <v>30</v>
      </c>
      <c r="P283" s="38">
        <v>2018</v>
      </c>
    </row>
    <row r="284" spans="1:16" ht="15.75" customHeight="1">
      <c r="A284" s="30">
        <v>14</v>
      </c>
      <c r="B284" s="142" t="str">
        <f t="shared" si="36"/>
        <v>عيدود </v>
      </c>
      <c r="C284" s="142" t="str">
        <f t="shared" si="36"/>
        <v>صبرينة</v>
      </c>
      <c r="D284" s="76" t="str">
        <f t="shared" si="36"/>
        <v> </v>
      </c>
      <c r="E284" s="72">
        <v>8</v>
      </c>
      <c r="F284" s="114">
        <v>8.5</v>
      </c>
      <c r="G284" s="69">
        <f t="shared" si="37"/>
        <v>8.25</v>
      </c>
      <c r="H284" s="69"/>
      <c r="I284" s="69">
        <f t="shared" si="38"/>
        <v>8.25</v>
      </c>
      <c r="J284" s="69"/>
      <c r="K284" s="72" t="str">
        <f t="shared" si="39"/>
        <v> </v>
      </c>
      <c r="L284" s="72" t="str">
        <f t="shared" si="40"/>
        <v> </v>
      </c>
      <c r="M284" s="38"/>
      <c r="N284" s="69">
        <f t="shared" si="41"/>
        <v>8.25</v>
      </c>
      <c r="O284" s="38" t="s">
        <v>30</v>
      </c>
      <c r="P284" s="38">
        <v>2018</v>
      </c>
    </row>
    <row r="285" spans="1:16" ht="15.75" customHeight="1">
      <c r="A285" s="30">
        <v>15</v>
      </c>
      <c r="B285" s="142" t="str">
        <f t="shared" si="36"/>
        <v>قايدي </v>
      </c>
      <c r="C285" s="142" t="str">
        <f t="shared" si="36"/>
        <v>مريم</v>
      </c>
      <c r="D285" s="76" t="str">
        <f t="shared" si="36"/>
        <v> </v>
      </c>
      <c r="E285" s="72">
        <v>5</v>
      </c>
      <c r="F285" s="114">
        <v>9.5</v>
      </c>
      <c r="G285" s="69">
        <f t="shared" si="37"/>
        <v>7.25</v>
      </c>
      <c r="H285" s="69"/>
      <c r="I285" s="69">
        <f t="shared" si="38"/>
        <v>7.25</v>
      </c>
      <c r="J285" s="69"/>
      <c r="K285" s="72" t="str">
        <f t="shared" si="39"/>
        <v> </v>
      </c>
      <c r="L285" s="72" t="str">
        <f t="shared" si="40"/>
        <v> </v>
      </c>
      <c r="M285" s="38"/>
      <c r="N285" s="69">
        <f t="shared" si="41"/>
        <v>7.25</v>
      </c>
      <c r="O285" s="38" t="s">
        <v>30</v>
      </c>
      <c r="P285" s="38">
        <v>2018</v>
      </c>
    </row>
    <row r="286" spans="1:16" ht="15.75" customHeight="1">
      <c r="A286" s="30">
        <v>16</v>
      </c>
      <c r="B286" s="142" t="str">
        <f t="shared" si="36"/>
        <v>قرايفية </v>
      </c>
      <c r="C286" s="142" t="str">
        <f t="shared" si="36"/>
        <v>فؤاد</v>
      </c>
      <c r="D286" s="76" t="str">
        <f t="shared" si="36"/>
        <v> </v>
      </c>
      <c r="E286" s="72">
        <v>5</v>
      </c>
      <c r="F286" s="114">
        <v>5</v>
      </c>
      <c r="G286" s="69">
        <f t="shared" si="37"/>
        <v>5</v>
      </c>
      <c r="H286" s="69"/>
      <c r="I286" s="69">
        <f t="shared" si="38"/>
        <v>5</v>
      </c>
      <c r="J286" s="69"/>
      <c r="K286" s="72" t="str">
        <f t="shared" si="39"/>
        <v> </v>
      </c>
      <c r="L286" s="72" t="str">
        <f t="shared" si="40"/>
        <v> </v>
      </c>
      <c r="M286" s="38"/>
      <c r="N286" s="69">
        <f t="shared" si="41"/>
        <v>5</v>
      </c>
      <c r="O286" s="38" t="s">
        <v>30</v>
      </c>
      <c r="P286" s="38">
        <v>2018</v>
      </c>
    </row>
    <row r="287" spans="1:16" ht="15.75" customHeight="1">
      <c r="A287" s="30">
        <v>17</v>
      </c>
      <c r="B287" s="142" t="str">
        <f t="shared" si="36"/>
        <v>قوادرية</v>
      </c>
      <c r="C287" s="142" t="str">
        <f t="shared" si="36"/>
        <v>مريم</v>
      </c>
      <c r="D287" s="76" t="str">
        <f t="shared" si="36"/>
        <v> </v>
      </c>
      <c r="E287" s="72">
        <v>12</v>
      </c>
      <c r="F287" s="114">
        <v>12</v>
      </c>
      <c r="G287" s="69">
        <f t="shared" si="37"/>
        <v>12</v>
      </c>
      <c r="H287" s="69"/>
      <c r="I287" s="69">
        <f t="shared" si="38"/>
        <v>12</v>
      </c>
      <c r="J287" s="69"/>
      <c r="K287" s="72" t="str">
        <f t="shared" si="39"/>
        <v> </v>
      </c>
      <c r="L287" s="72" t="str">
        <f t="shared" si="40"/>
        <v> </v>
      </c>
      <c r="M287" s="38"/>
      <c r="N287" s="69">
        <f t="shared" si="41"/>
        <v>12</v>
      </c>
      <c r="O287" s="38" t="s">
        <v>30</v>
      </c>
      <c r="P287" s="38">
        <v>2018</v>
      </c>
    </row>
    <row r="288" spans="1:16" ht="15.75" customHeight="1">
      <c r="A288" s="30">
        <v>18</v>
      </c>
      <c r="B288" s="142" t="str">
        <f t="shared" si="36"/>
        <v>محفوظ </v>
      </c>
      <c r="C288" s="142" t="str">
        <f t="shared" si="36"/>
        <v>بشرى</v>
      </c>
      <c r="D288" s="76" t="str">
        <f t="shared" si="36"/>
        <v> </v>
      </c>
      <c r="E288" s="72">
        <v>11</v>
      </c>
      <c r="F288" s="114">
        <v>12.5</v>
      </c>
      <c r="G288" s="69">
        <f t="shared" si="37"/>
        <v>11.75</v>
      </c>
      <c r="H288" s="69"/>
      <c r="I288" s="69">
        <f t="shared" si="38"/>
        <v>11.75</v>
      </c>
      <c r="J288" s="69"/>
      <c r="K288" s="72" t="str">
        <f t="shared" si="39"/>
        <v> </v>
      </c>
      <c r="L288" s="72" t="str">
        <f t="shared" si="40"/>
        <v> </v>
      </c>
      <c r="M288" s="38"/>
      <c r="N288" s="69">
        <f t="shared" si="41"/>
        <v>11.75</v>
      </c>
      <c r="O288" s="38" t="s">
        <v>30</v>
      </c>
      <c r="P288" s="38">
        <v>2018</v>
      </c>
    </row>
    <row r="289" spans="1:16" ht="15.75" customHeight="1">
      <c r="A289" s="30">
        <v>19</v>
      </c>
      <c r="B289" s="142" t="str">
        <f t="shared" si="36"/>
        <v>مسطوري </v>
      </c>
      <c r="C289" s="142" t="str">
        <f t="shared" si="36"/>
        <v>سارة</v>
      </c>
      <c r="D289" s="76" t="str">
        <f t="shared" si="36"/>
        <v> </v>
      </c>
      <c r="E289" s="72">
        <v>6</v>
      </c>
      <c r="F289" s="114">
        <v>5</v>
      </c>
      <c r="G289" s="69">
        <f t="shared" si="37"/>
        <v>5.5</v>
      </c>
      <c r="H289" s="69"/>
      <c r="I289" s="69">
        <f t="shared" si="38"/>
        <v>5.5</v>
      </c>
      <c r="J289" s="69"/>
      <c r="K289" s="72" t="str">
        <f t="shared" si="39"/>
        <v> </v>
      </c>
      <c r="L289" s="72" t="str">
        <f t="shared" si="40"/>
        <v> </v>
      </c>
      <c r="M289" s="38"/>
      <c r="N289" s="69">
        <f t="shared" si="41"/>
        <v>5.5</v>
      </c>
      <c r="O289" s="38" t="s">
        <v>30</v>
      </c>
      <c r="P289" s="38">
        <v>2018</v>
      </c>
    </row>
    <row r="290" spans="1:16" ht="15.75" customHeight="1">
      <c r="A290" s="30">
        <v>20</v>
      </c>
      <c r="B290" s="142" t="str">
        <f t="shared" si="36"/>
        <v>هداف </v>
      </c>
      <c r="C290" s="142" t="str">
        <f t="shared" si="36"/>
        <v>حياة</v>
      </c>
      <c r="D290" s="76" t="str">
        <f t="shared" si="36"/>
        <v> </v>
      </c>
      <c r="E290" s="72">
        <v>7</v>
      </c>
      <c r="F290" s="114">
        <v>10.5</v>
      </c>
      <c r="G290" s="69">
        <f t="shared" si="37"/>
        <v>8.75</v>
      </c>
      <c r="H290" s="69"/>
      <c r="I290" s="69">
        <f t="shared" si="38"/>
        <v>8.75</v>
      </c>
      <c r="J290" s="69"/>
      <c r="K290" s="72" t="str">
        <f t="shared" si="39"/>
        <v> </v>
      </c>
      <c r="L290" s="72" t="str">
        <f t="shared" si="40"/>
        <v> </v>
      </c>
      <c r="M290" s="38"/>
      <c r="N290" s="69">
        <f t="shared" si="41"/>
        <v>8.75</v>
      </c>
      <c r="O290" s="38" t="s">
        <v>30</v>
      </c>
      <c r="P290" s="38">
        <v>2018</v>
      </c>
    </row>
    <row r="291" spans="1:16" ht="15.75" customHeight="1">
      <c r="A291" s="30">
        <v>21</v>
      </c>
      <c r="B291" s="142" t="str">
        <f t="shared" si="36"/>
        <v> </v>
      </c>
      <c r="C291" s="142" t="str">
        <f t="shared" si="36"/>
        <v> </v>
      </c>
      <c r="D291" s="76" t="str">
        <f t="shared" si="36"/>
        <v> </v>
      </c>
      <c r="E291" s="72"/>
      <c r="F291" s="54"/>
      <c r="G291" s="69">
        <f t="shared" si="37"/>
        <v>0</v>
      </c>
      <c r="H291" s="69"/>
      <c r="I291" s="69">
        <f t="shared" si="38"/>
        <v>0</v>
      </c>
      <c r="J291" s="69"/>
      <c r="K291" s="72" t="str">
        <f t="shared" si="39"/>
        <v> </v>
      </c>
      <c r="L291" s="72" t="str">
        <f t="shared" si="40"/>
        <v> </v>
      </c>
      <c r="M291" s="38"/>
      <c r="N291" s="69">
        <f t="shared" si="41"/>
        <v>0</v>
      </c>
      <c r="O291" s="38" t="s">
        <v>30</v>
      </c>
      <c r="P291" s="38">
        <v>2018</v>
      </c>
    </row>
    <row r="292" spans="1:16" ht="15.75" customHeight="1">
      <c r="A292" s="30">
        <v>22</v>
      </c>
      <c r="B292" s="142" t="str">
        <f t="shared" si="36"/>
        <v> </v>
      </c>
      <c r="C292" s="142" t="str">
        <f t="shared" si="36"/>
        <v> </v>
      </c>
      <c r="D292" s="76" t="str">
        <f t="shared" si="36"/>
        <v> </v>
      </c>
      <c r="E292" s="72"/>
      <c r="F292" s="54"/>
      <c r="G292" s="69">
        <f t="shared" si="37"/>
        <v>0</v>
      </c>
      <c r="H292" s="69"/>
      <c r="I292" s="69">
        <f t="shared" si="38"/>
        <v>0</v>
      </c>
      <c r="J292" s="69"/>
      <c r="K292" s="72" t="str">
        <f t="shared" si="39"/>
        <v> </v>
      </c>
      <c r="L292" s="72" t="str">
        <f t="shared" si="40"/>
        <v> </v>
      </c>
      <c r="M292" s="38"/>
      <c r="N292" s="69">
        <f t="shared" si="41"/>
        <v>0</v>
      </c>
      <c r="O292" s="38" t="s">
        <v>30</v>
      </c>
      <c r="P292" s="38">
        <v>2018</v>
      </c>
    </row>
    <row r="293" spans="1:16" ht="15.75" customHeight="1">
      <c r="A293" s="30">
        <v>23</v>
      </c>
      <c r="B293" s="142" t="str">
        <f t="shared" si="36"/>
        <v> </v>
      </c>
      <c r="C293" s="142" t="str">
        <f t="shared" si="36"/>
        <v> </v>
      </c>
      <c r="D293" s="76" t="str">
        <f t="shared" si="36"/>
        <v> </v>
      </c>
      <c r="E293" s="72"/>
      <c r="F293" s="54"/>
      <c r="G293" s="69">
        <f t="shared" si="37"/>
        <v>0</v>
      </c>
      <c r="H293" s="69"/>
      <c r="I293" s="69">
        <f t="shared" si="38"/>
        <v>0</v>
      </c>
      <c r="J293" s="69"/>
      <c r="K293" s="72" t="str">
        <f t="shared" si="39"/>
        <v> </v>
      </c>
      <c r="L293" s="72" t="str">
        <f t="shared" si="40"/>
        <v> </v>
      </c>
      <c r="M293" s="38"/>
      <c r="N293" s="69">
        <f t="shared" si="41"/>
        <v>0</v>
      </c>
      <c r="O293" s="38" t="s">
        <v>30</v>
      </c>
      <c r="P293" s="38">
        <v>2018</v>
      </c>
    </row>
    <row r="294" spans="1:16" ht="15.75" customHeight="1">
      <c r="A294" s="30">
        <v>24</v>
      </c>
      <c r="B294" s="142" t="str">
        <f t="shared" si="36"/>
        <v> </v>
      </c>
      <c r="C294" s="142" t="str">
        <f t="shared" si="36"/>
        <v> </v>
      </c>
      <c r="D294" s="76" t="str">
        <f t="shared" si="36"/>
        <v> </v>
      </c>
      <c r="E294" s="72"/>
      <c r="F294" s="54"/>
      <c r="G294" s="69">
        <f t="shared" si="37"/>
        <v>0</v>
      </c>
      <c r="H294" s="69"/>
      <c r="I294" s="69">
        <f t="shared" si="38"/>
        <v>0</v>
      </c>
      <c r="J294" s="69"/>
      <c r="K294" s="72" t="str">
        <f t="shared" si="39"/>
        <v> </v>
      </c>
      <c r="L294" s="72" t="str">
        <f t="shared" si="40"/>
        <v> </v>
      </c>
      <c r="M294" s="38"/>
      <c r="N294" s="69">
        <f t="shared" si="41"/>
        <v>0</v>
      </c>
      <c r="O294" s="38" t="s">
        <v>30</v>
      </c>
      <c r="P294" s="38">
        <v>2018</v>
      </c>
    </row>
    <row r="295" spans="1:16" ht="15.75" customHeight="1">
      <c r="A295" s="30">
        <v>25</v>
      </c>
      <c r="B295" s="142" t="str">
        <f t="shared" si="36"/>
        <v> </v>
      </c>
      <c r="C295" s="142" t="str">
        <f t="shared" si="36"/>
        <v> </v>
      </c>
      <c r="D295" s="76" t="str">
        <f t="shared" si="36"/>
        <v> </v>
      </c>
      <c r="E295" s="72"/>
      <c r="F295" s="54"/>
      <c r="G295" s="69">
        <f t="shared" si="37"/>
        <v>0</v>
      </c>
      <c r="H295" s="69"/>
      <c r="I295" s="69">
        <f t="shared" si="38"/>
        <v>0</v>
      </c>
      <c r="J295" s="69"/>
      <c r="K295" s="72" t="str">
        <f t="shared" si="39"/>
        <v> </v>
      </c>
      <c r="L295" s="72" t="str">
        <f t="shared" si="40"/>
        <v> </v>
      </c>
      <c r="M295" s="38"/>
      <c r="N295" s="69">
        <f t="shared" si="41"/>
        <v>0</v>
      </c>
      <c r="O295" s="38" t="s">
        <v>30</v>
      </c>
      <c r="P295" s="38">
        <v>2018</v>
      </c>
    </row>
    <row r="296" spans="1:16" ht="15.75" customHeight="1">
      <c r="A296" s="30">
        <v>26</v>
      </c>
      <c r="B296" s="142" t="str">
        <f t="shared" si="36"/>
        <v> </v>
      </c>
      <c r="C296" s="142" t="str">
        <f t="shared" si="36"/>
        <v> </v>
      </c>
      <c r="D296" s="76" t="str">
        <f t="shared" si="36"/>
        <v> </v>
      </c>
      <c r="E296" s="72"/>
      <c r="F296" s="54"/>
      <c r="G296" s="69">
        <f t="shared" si="37"/>
        <v>0</v>
      </c>
      <c r="H296" s="69"/>
      <c r="I296" s="69">
        <f t="shared" si="38"/>
        <v>0</v>
      </c>
      <c r="J296" s="69"/>
      <c r="K296" s="72" t="str">
        <f t="shared" si="39"/>
        <v> </v>
      </c>
      <c r="L296" s="72" t="str">
        <f t="shared" si="40"/>
        <v> </v>
      </c>
      <c r="M296" s="38"/>
      <c r="N296" s="69">
        <f t="shared" si="41"/>
        <v>0</v>
      </c>
      <c r="O296" s="38" t="s">
        <v>30</v>
      </c>
      <c r="P296" s="38">
        <v>2018</v>
      </c>
    </row>
    <row r="297" spans="1:16" ht="15.75" customHeight="1">
      <c r="A297" s="30">
        <v>27</v>
      </c>
      <c r="B297" s="142" t="str">
        <f t="shared" si="36"/>
        <v> </v>
      </c>
      <c r="C297" s="142" t="str">
        <f t="shared" si="36"/>
        <v> </v>
      </c>
      <c r="D297" s="76" t="str">
        <f t="shared" si="36"/>
        <v> </v>
      </c>
      <c r="E297" s="72"/>
      <c r="F297" s="54"/>
      <c r="G297" s="69">
        <f t="shared" si="37"/>
        <v>0</v>
      </c>
      <c r="H297" s="69"/>
      <c r="I297" s="69">
        <f t="shared" si="38"/>
        <v>0</v>
      </c>
      <c r="J297" s="69"/>
      <c r="K297" s="72" t="str">
        <f t="shared" si="39"/>
        <v> </v>
      </c>
      <c r="L297" s="72" t="str">
        <f t="shared" si="40"/>
        <v> </v>
      </c>
      <c r="M297" s="38"/>
      <c r="N297" s="69">
        <f t="shared" si="41"/>
        <v>0</v>
      </c>
      <c r="O297" s="38" t="s">
        <v>30</v>
      </c>
      <c r="P297" s="38">
        <v>2018</v>
      </c>
    </row>
    <row r="298" spans="1:16" ht="15.75" customHeight="1">
      <c r="A298" s="30">
        <v>28</v>
      </c>
      <c r="B298" s="142" t="str">
        <f t="shared" si="36"/>
        <v> </v>
      </c>
      <c r="C298" s="142" t="str">
        <f t="shared" si="36"/>
        <v> </v>
      </c>
      <c r="D298" s="76" t="str">
        <f t="shared" si="36"/>
        <v> </v>
      </c>
      <c r="E298" s="72"/>
      <c r="F298" s="54"/>
      <c r="G298" s="69">
        <f t="shared" si="37"/>
        <v>0</v>
      </c>
      <c r="H298" s="69"/>
      <c r="I298" s="69">
        <f t="shared" si="38"/>
        <v>0</v>
      </c>
      <c r="J298" s="69"/>
      <c r="K298" s="72" t="str">
        <f t="shared" si="39"/>
        <v> </v>
      </c>
      <c r="L298" s="72" t="str">
        <f t="shared" si="40"/>
        <v> </v>
      </c>
      <c r="M298" s="38"/>
      <c r="N298" s="69">
        <f t="shared" si="41"/>
        <v>0</v>
      </c>
      <c r="O298" s="38" t="s">
        <v>30</v>
      </c>
      <c r="P298" s="38">
        <v>2018</v>
      </c>
    </row>
    <row r="299" spans="1:16" ht="15.75" customHeight="1">
      <c r="A299" s="30">
        <v>29</v>
      </c>
      <c r="B299" s="142" t="str">
        <f t="shared" si="36"/>
        <v> </v>
      </c>
      <c r="C299" s="142" t="str">
        <f t="shared" si="36"/>
        <v> </v>
      </c>
      <c r="D299" s="76" t="str">
        <f t="shared" si="36"/>
        <v> </v>
      </c>
      <c r="E299" s="72"/>
      <c r="F299" s="54"/>
      <c r="G299" s="69">
        <f t="shared" si="37"/>
        <v>0</v>
      </c>
      <c r="H299" s="69"/>
      <c r="I299" s="69">
        <f t="shared" si="38"/>
        <v>0</v>
      </c>
      <c r="J299" s="69"/>
      <c r="K299" s="72" t="str">
        <f t="shared" si="39"/>
        <v> </v>
      </c>
      <c r="L299" s="72" t="str">
        <f t="shared" si="40"/>
        <v> </v>
      </c>
      <c r="M299" s="38"/>
      <c r="N299" s="69">
        <f t="shared" si="41"/>
        <v>0</v>
      </c>
      <c r="O299" s="38" t="s">
        <v>30</v>
      </c>
      <c r="P299" s="38">
        <v>2018</v>
      </c>
    </row>
    <row r="300" spans="1:16" ht="15.75" customHeight="1">
      <c r="A300" s="30">
        <v>30</v>
      </c>
      <c r="B300" s="142" t="str">
        <f t="shared" si="36"/>
        <v> </v>
      </c>
      <c r="C300" s="142" t="str">
        <f t="shared" si="36"/>
        <v> </v>
      </c>
      <c r="D300" s="76" t="str">
        <f t="shared" si="36"/>
        <v> </v>
      </c>
      <c r="E300" s="72"/>
      <c r="F300" s="54"/>
      <c r="G300" s="69">
        <f t="shared" si="37"/>
        <v>0</v>
      </c>
      <c r="H300" s="69"/>
      <c r="I300" s="69">
        <f t="shared" si="38"/>
        <v>0</v>
      </c>
      <c r="J300" s="69"/>
      <c r="K300" s="72" t="str">
        <f t="shared" si="39"/>
        <v> </v>
      </c>
      <c r="L300" s="72" t="str">
        <f t="shared" si="40"/>
        <v> </v>
      </c>
      <c r="M300" s="38"/>
      <c r="N300" s="69">
        <f t="shared" si="41"/>
        <v>0</v>
      </c>
      <c r="O300" s="38" t="s">
        <v>30</v>
      </c>
      <c r="P300" s="38">
        <v>2018</v>
      </c>
    </row>
    <row r="301" spans="1:16" ht="15.75" customHeight="1">
      <c r="A301" s="30">
        <v>31</v>
      </c>
      <c r="B301" s="142" t="str">
        <f t="shared" si="36"/>
        <v> </v>
      </c>
      <c r="C301" s="142" t="str">
        <f t="shared" si="36"/>
        <v> </v>
      </c>
      <c r="D301" s="76" t="str">
        <f t="shared" si="36"/>
        <v> </v>
      </c>
      <c r="E301" s="72"/>
      <c r="F301" s="54"/>
      <c r="G301" s="69">
        <f t="shared" si="37"/>
        <v>0</v>
      </c>
      <c r="H301" s="69"/>
      <c r="I301" s="69">
        <f t="shared" si="38"/>
        <v>0</v>
      </c>
      <c r="J301" s="69"/>
      <c r="K301" s="72" t="str">
        <f t="shared" si="39"/>
        <v> </v>
      </c>
      <c r="L301" s="72" t="str">
        <f t="shared" si="40"/>
        <v> </v>
      </c>
      <c r="M301" s="38"/>
      <c r="N301" s="69">
        <f t="shared" si="41"/>
        <v>0</v>
      </c>
      <c r="O301" s="38" t="s">
        <v>30</v>
      </c>
      <c r="P301" s="38">
        <v>2018</v>
      </c>
    </row>
    <row r="302" spans="1:16" ht="15.75" customHeight="1">
      <c r="A302" s="30">
        <v>32</v>
      </c>
      <c r="B302" s="142" t="str">
        <f t="shared" si="36"/>
        <v> </v>
      </c>
      <c r="C302" s="142" t="str">
        <f t="shared" si="36"/>
        <v> </v>
      </c>
      <c r="D302" s="76" t="str">
        <f t="shared" si="36"/>
        <v> </v>
      </c>
      <c r="E302" s="72"/>
      <c r="F302" s="54"/>
      <c r="G302" s="69">
        <f t="shared" si="37"/>
        <v>0</v>
      </c>
      <c r="H302" s="69"/>
      <c r="I302" s="69">
        <f t="shared" si="38"/>
        <v>0</v>
      </c>
      <c r="J302" s="69"/>
      <c r="K302" s="72" t="str">
        <f t="shared" si="39"/>
        <v> </v>
      </c>
      <c r="L302" s="72" t="str">
        <f t="shared" si="40"/>
        <v> </v>
      </c>
      <c r="M302" s="38"/>
      <c r="N302" s="69">
        <f t="shared" si="41"/>
        <v>0</v>
      </c>
      <c r="O302" s="38" t="s">
        <v>30</v>
      </c>
      <c r="P302" s="38">
        <v>2018</v>
      </c>
    </row>
    <row r="303" spans="15:16" ht="18">
      <c r="O303" s="38" t="s">
        <v>30</v>
      </c>
      <c r="P303" s="38">
        <v>2018</v>
      </c>
    </row>
    <row r="304" spans="2:16" ht="18">
      <c r="B304" s="312"/>
      <c r="C304" s="264" t="s">
        <v>18</v>
      </c>
      <c r="D304" s="265"/>
      <c r="O304" s="38" t="s">
        <v>30</v>
      </c>
      <c r="P304" s="38">
        <v>2018</v>
      </c>
    </row>
    <row r="305" spans="2:3" ht="18">
      <c r="B305" s="19"/>
      <c r="C305" s="264"/>
    </row>
    <row r="306" spans="2:3" ht="18">
      <c r="B306" s="19"/>
      <c r="C306" s="264"/>
    </row>
    <row r="307" spans="2:3" ht="18">
      <c r="B307" s="19"/>
      <c r="C307" s="264"/>
    </row>
    <row r="308" spans="1:14" ht="18">
      <c r="A308" s="163"/>
      <c r="B308" s="313"/>
      <c r="C308" s="313"/>
      <c r="D308" s="172"/>
      <c r="E308" s="268"/>
      <c r="F308" s="268"/>
      <c r="G308" s="173"/>
      <c r="H308" s="173"/>
      <c r="I308" s="173"/>
      <c r="J308" s="268"/>
      <c r="K308" s="268"/>
      <c r="L308" s="268"/>
      <c r="M308" s="268"/>
      <c r="N308" s="268"/>
    </row>
    <row r="309" spans="1:14" ht="18">
      <c r="A309" s="163"/>
      <c r="B309" s="313"/>
      <c r="C309" s="313"/>
      <c r="D309" s="172"/>
      <c r="E309" s="268"/>
      <c r="F309" s="268"/>
      <c r="G309" s="173"/>
      <c r="H309" s="173"/>
      <c r="I309" s="173"/>
      <c r="J309" s="268"/>
      <c r="K309" s="268"/>
      <c r="L309" s="268"/>
      <c r="M309" s="268"/>
      <c r="N309" s="268"/>
    </row>
    <row r="310" spans="1:14" ht="18">
      <c r="A310" s="163"/>
      <c r="B310" s="313"/>
      <c r="C310" s="313"/>
      <c r="D310" s="172"/>
      <c r="E310" s="268"/>
      <c r="F310" s="268"/>
      <c r="G310" s="173"/>
      <c r="H310" s="173"/>
      <c r="I310" s="173"/>
      <c r="J310" s="268"/>
      <c r="K310" s="268"/>
      <c r="L310" s="268"/>
      <c r="M310" s="268"/>
      <c r="N310" s="268"/>
    </row>
    <row r="311" spans="1:14" ht="18">
      <c r="A311" s="163"/>
      <c r="B311" s="313"/>
      <c r="C311" s="313"/>
      <c r="D311" s="172"/>
      <c r="E311" s="268"/>
      <c r="F311" s="268"/>
      <c r="G311" s="173"/>
      <c r="H311" s="173"/>
      <c r="I311" s="173"/>
      <c r="J311" s="268"/>
      <c r="K311" s="268"/>
      <c r="L311" s="268"/>
      <c r="M311" s="268"/>
      <c r="N311" s="268"/>
    </row>
    <row r="312" spans="1:14" ht="18">
      <c r="A312" s="163"/>
      <c r="B312" s="313"/>
      <c r="C312" s="313"/>
      <c r="D312" s="172"/>
      <c r="E312" s="268"/>
      <c r="F312" s="268"/>
      <c r="G312" s="173"/>
      <c r="H312" s="173"/>
      <c r="I312" s="173"/>
      <c r="J312" s="268"/>
      <c r="K312" s="268"/>
      <c r="L312" s="268"/>
      <c r="M312" s="268"/>
      <c r="N312" s="268"/>
    </row>
    <row r="313" spans="1:14" ht="18">
      <c r="A313" s="163"/>
      <c r="B313" s="313"/>
      <c r="C313" s="313"/>
      <c r="D313" s="172"/>
      <c r="E313" s="268"/>
      <c r="F313" s="268"/>
      <c r="G313" s="173"/>
      <c r="H313" s="173"/>
      <c r="I313" s="173"/>
      <c r="J313" s="268"/>
      <c r="K313" s="268"/>
      <c r="L313" s="268"/>
      <c r="M313" s="268"/>
      <c r="N313" s="268"/>
    </row>
    <row r="314" spans="1:14" ht="33.75">
      <c r="A314" s="163"/>
      <c r="B314" s="313"/>
      <c r="C314" s="313"/>
      <c r="D314" s="175"/>
      <c r="E314" s="269" t="s">
        <v>32</v>
      </c>
      <c r="F314" s="268"/>
      <c r="G314" s="173"/>
      <c r="H314" s="173"/>
      <c r="I314" s="173"/>
      <c r="J314" s="268"/>
      <c r="K314" s="268"/>
      <c r="L314" s="268"/>
      <c r="M314" s="268"/>
      <c r="N314" s="268"/>
    </row>
    <row r="315" spans="1:14" ht="18">
      <c r="A315" s="163"/>
      <c r="B315" s="313"/>
      <c r="C315" s="313"/>
      <c r="D315" s="172"/>
      <c r="E315" s="268"/>
      <c r="F315" s="268"/>
      <c r="G315" s="173"/>
      <c r="H315" s="173"/>
      <c r="I315" s="173"/>
      <c r="J315" s="268"/>
      <c r="K315" s="268"/>
      <c r="L315" s="268"/>
      <c r="M315" s="268"/>
      <c r="N315" s="268"/>
    </row>
    <row r="316" spans="1:14" ht="18">
      <c r="A316" s="163"/>
      <c r="B316" s="313"/>
      <c r="C316" s="313"/>
      <c r="D316" s="172"/>
      <c r="E316" s="268"/>
      <c r="F316" s="268"/>
      <c r="G316" s="173"/>
      <c r="H316" s="173"/>
      <c r="I316" s="173"/>
      <c r="J316" s="268"/>
      <c r="K316" s="268"/>
      <c r="L316" s="268"/>
      <c r="M316" s="268"/>
      <c r="N316" s="268"/>
    </row>
    <row r="317" spans="1:14" ht="18">
      <c r="A317" s="163"/>
      <c r="B317" s="313"/>
      <c r="C317" s="313"/>
      <c r="D317" s="172"/>
      <c r="E317" s="268"/>
      <c r="F317" s="268"/>
      <c r="G317" s="173"/>
      <c r="H317" s="173"/>
      <c r="I317" s="173"/>
      <c r="J317" s="268"/>
      <c r="K317" s="268"/>
      <c r="L317" s="268"/>
      <c r="M317" s="268"/>
      <c r="N317" s="268"/>
    </row>
    <row r="318" spans="1:14" ht="18">
      <c r="A318" s="163"/>
      <c r="B318" s="313"/>
      <c r="C318" s="313"/>
      <c r="D318" s="172"/>
      <c r="E318" s="268"/>
      <c r="F318" s="268"/>
      <c r="G318" s="173"/>
      <c r="H318" s="173"/>
      <c r="I318" s="173"/>
      <c r="J318" s="268"/>
      <c r="K318" s="268"/>
      <c r="L318" s="268"/>
      <c r="M318" s="268"/>
      <c r="N318" s="268"/>
    </row>
    <row r="319" spans="1:14" ht="18">
      <c r="A319" s="163"/>
      <c r="B319" s="313"/>
      <c r="C319" s="313"/>
      <c r="D319" s="172"/>
      <c r="E319" s="268"/>
      <c r="F319" s="268"/>
      <c r="G319" s="173"/>
      <c r="H319" s="173"/>
      <c r="I319" s="173"/>
      <c r="J319" s="268"/>
      <c r="K319" s="268"/>
      <c r="L319" s="268"/>
      <c r="M319" s="268"/>
      <c r="N319" s="268"/>
    </row>
    <row r="320" spans="1:14" ht="33.75">
      <c r="A320" s="163"/>
      <c r="B320" s="313"/>
      <c r="C320" s="313"/>
      <c r="D320" s="172"/>
      <c r="E320" s="270"/>
      <c r="F320" s="269"/>
      <c r="G320" s="174"/>
      <c r="H320" s="173"/>
      <c r="I320" s="173"/>
      <c r="J320" s="268"/>
      <c r="K320" s="268"/>
      <c r="L320" s="268"/>
      <c r="M320" s="268"/>
      <c r="N320" s="268"/>
    </row>
    <row r="321" spans="1:14" ht="18">
      <c r="A321" s="163"/>
      <c r="B321" s="313"/>
      <c r="C321" s="313"/>
      <c r="D321" s="172"/>
      <c r="E321" s="268"/>
      <c r="F321" s="268"/>
      <c r="G321" s="173"/>
      <c r="H321" s="173"/>
      <c r="I321" s="173"/>
      <c r="J321" s="268"/>
      <c r="K321" s="268"/>
      <c r="L321" s="268"/>
      <c r="M321" s="268"/>
      <c r="N321" s="268"/>
    </row>
    <row r="322" spans="1:14" ht="18">
      <c r="A322" s="163"/>
      <c r="B322" s="313"/>
      <c r="C322" s="313"/>
      <c r="D322" s="172"/>
      <c r="E322" s="268"/>
      <c r="F322" s="268"/>
      <c r="G322" s="173"/>
      <c r="H322" s="173"/>
      <c r="I322" s="173"/>
      <c r="J322" s="268"/>
      <c r="K322" s="268"/>
      <c r="L322" s="268"/>
      <c r="M322" s="268"/>
      <c r="N322" s="268"/>
    </row>
    <row r="323" spans="1:14" ht="18">
      <c r="A323" s="163"/>
      <c r="B323" s="313"/>
      <c r="C323" s="313"/>
      <c r="D323" s="172"/>
      <c r="E323" s="268"/>
      <c r="F323" s="268"/>
      <c r="G323" s="173"/>
      <c r="H323" s="173"/>
      <c r="I323" s="173"/>
      <c r="J323" s="268"/>
      <c r="K323" s="268"/>
      <c r="L323" s="268"/>
      <c r="M323" s="268"/>
      <c r="N323" s="268"/>
    </row>
    <row r="324" spans="1:14" ht="18">
      <c r="A324" s="163"/>
      <c r="B324" s="313"/>
      <c r="C324" s="313"/>
      <c r="D324" s="172"/>
      <c r="E324" s="268"/>
      <c r="F324" s="268"/>
      <c r="G324" s="173"/>
      <c r="H324" s="173"/>
      <c r="I324" s="173"/>
      <c r="J324" s="268"/>
      <c r="K324" s="268"/>
      <c r="L324" s="268"/>
      <c r="M324" s="268"/>
      <c r="N324" s="268"/>
    </row>
    <row r="325" spans="1:14" ht="18">
      <c r="A325" s="163"/>
      <c r="B325" s="313"/>
      <c r="C325" s="313"/>
      <c r="D325" s="172"/>
      <c r="E325" s="268"/>
      <c r="F325" s="268"/>
      <c r="G325" s="173"/>
      <c r="H325" s="173"/>
      <c r="I325" s="173"/>
      <c r="J325" s="268"/>
      <c r="K325" s="268"/>
      <c r="L325" s="268"/>
      <c r="M325" s="268"/>
      <c r="N325" s="268"/>
    </row>
    <row r="326" spans="1:14" ht="18">
      <c r="A326" s="163"/>
      <c r="B326" s="313"/>
      <c r="C326" s="313"/>
      <c r="D326" s="172"/>
      <c r="E326" s="268"/>
      <c r="F326" s="268"/>
      <c r="G326" s="173"/>
      <c r="H326" s="173"/>
      <c r="I326" s="173"/>
      <c r="J326" s="268"/>
      <c r="K326" s="268"/>
      <c r="L326" s="268"/>
      <c r="M326" s="268"/>
      <c r="N326" s="268"/>
    </row>
    <row r="327" spans="1:14" ht="18">
      <c r="A327" s="163"/>
      <c r="B327" s="313"/>
      <c r="C327" s="313"/>
      <c r="D327" s="172"/>
      <c r="E327" s="268"/>
      <c r="F327" s="268"/>
      <c r="G327" s="173"/>
      <c r="H327" s="173"/>
      <c r="I327" s="173"/>
      <c r="J327" s="268"/>
      <c r="K327" s="268"/>
      <c r="L327" s="268"/>
      <c r="M327" s="268"/>
      <c r="N327" s="268"/>
    </row>
    <row r="328" spans="1:14" ht="18">
      <c r="A328" s="163"/>
      <c r="B328" s="313"/>
      <c r="C328" s="313"/>
      <c r="D328" s="172"/>
      <c r="E328" s="268"/>
      <c r="F328" s="268"/>
      <c r="G328" s="173"/>
      <c r="H328" s="173"/>
      <c r="I328" s="173"/>
      <c r="J328" s="268"/>
      <c r="K328" s="268"/>
      <c r="L328" s="268"/>
      <c r="M328" s="268"/>
      <c r="N328" s="268"/>
    </row>
    <row r="329" spans="1:14" ht="18">
      <c r="A329" s="163"/>
      <c r="B329" s="313"/>
      <c r="C329" s="313"/>
      <c r="D329" s="172"/>
      <c r="E329" s="268"/>
      <c r="F329" s="268"/>
      <c r="G329" s="173"/>
      <c r="H329" s="173"/>
      <c r="I329" s="173"/>
      <c r="J329" s="268"/>
      <c r="K329" s="268"/>
      <c r="L329" s="268"/>
      <c r="M329" s="268"/>
      <c r="N329" s="268"/>
    </row>
    <row r="330" spans="1:14" ht="18">
      <c r="A330" s="163"/>
      <c r="B330" s="313"/>
      <c r="C330" s="313"/>
      <c r="D330" s="172"/>
      <c r="E330" s="268"/>
      <c r="F330" s="268"/>
      <c r="G330" s="173"/>
      <c r="H330" s="173"/>
      <c r="I330" s="173"/>
      <c r="J330" s="268"/>
      <c r="K330" s="268"/>
      <c r="L330" s="268"/>
      <c r="M330" s="268"/>
      <c r="N330" s="268"/>
    </row>
    <row r="331" spans="1:14" ht="18">
      <c r="A331" s="163"/>
      <c r="B331" s="313"/>
      <c r="C331" s="313"/>
      <c r="D331" s="172"/>
      <c r="E331" s="268"/>
      <c r="F331" s="268"/>
      <c r="G331" s="173"/>
      <c r="H331" s="173"/>
      <c r="I331" s="173"/>
      <c r="J331" s="268"/>
      <c r="K331" s="268"/>
      <c r="L331" s="268"/>
      <c r="M331" s="268"/>
      <c r="N331" s="268"/>
    </row>
    <row r="332" spans="1:14" ht="18">
      <c r="A332" s="163"/>
      <c r="B332" s="313"/>
      <c r="C332" s="313"/>
      <c r="D332" s="172"/>
      <c r="E332" s="268"/>
      <c r="F332" s="268"/>
      <c r="G332" s="173"/>
      <c r="H332" s="173"/>
      <c r="I332" s="173"/>
      <c r="J332" s="268"/>
      <c r="K332" s="268"/>
      <c r="L332" s="268"/>
      <c r="M332" s="268"/>
      <c r="N332" s="268"/>
    </row>
    <row r="333" spans="1:14" ht="18">
      <c r="A333" s="163"/>
      <c r="B333" s="313"/>
      <c r="C333" s="313"/>
      <c r="D333" s="172"/>
      <c r="E333" s="268"/>
      <c r="F333" s="268"/>
      <c r="G333" s="173"/>
      <c r="H333" s="173"/>
      <c r="I333" s="173"/>
      <c r="J333" s="268"/>
      <c r="K333" s="268"/>
      <c r="L333" s="268"/>
      <c r="M333" s="268"/>
      <c r="N333" s="268"/>
    </row>
    <row r="334" spans="1:14" ht="18">
      <c r="A334" s="163"/>
      <c r="B334" s="313"/>
      <c r="C334" s="313"/>
      <c r="D334" s="172"/>
      <c r="E334" s="268"/>
      <c r="F334" s="268"/>
      <c r="G334" s="173"/>
      <c r="H334" s="173"/>
      <c r="I334" s="173"/>
      <c r="J334" s="268"/>
      <c r="K334" s="268"/>
      <c r="L334" s="268"/>
      <c r="M334" s="268"/>
      <c r="N334" s="268"/>
    </row>
    <row r="335" spans="1:14" ht="18">
      <c r="A335" s="163"/>
      <c r="B335" s="313"/>
      <c r="C335" s="313"/>
      <c r="D335" s="172"/>
      <c r="E335" s="268"/>
      <c r="F335" s="268"/>
      <c r="G335" s="173"/>
      <c r="H335" s="173"/>
      <c r="I335" s="173"/>
      <c r="J335" s="268"/>
      <c r="K335" s="268"/>
      <c r="L335" s="268"/>
      <c r="M335" s="268"/>
      <c r="N335" s="268"/>
    </row>
    <row r="336" spans="1:14" ht="18">
      <c r="A336" s="163"/>
      <c r="B336" s="313"/>
      <c r="C336" s="313"/>
      <c r="D336" s="172"/>
      <c r="E336" s="268"/>
      <c r="F336" s="268"/>
      <c r="G336" s="173"/>
      <c r="H336" s="173"/>
      <c r="I336" s="173"/>
      <c r="J336" s="268"/>
      <c r="K336" s="268"/>
      <c r="L336" s="268"/>
      <c r="M336" s="268"/>
      <c r="N336" s="268"/>
    </row>
    <row r="337" spans="1:14" ht="18">
      <c r="A337" s="163"/>
      <c r="B337" s="313"/>
      <c r="C337" s="313"/>
      <c r="D337" s="172"/>
      <c r="E337" s="268"/>
      <c r="F337" s="268"/>
      <c r="G337" s="173"/>
      <c r="H337" s="173"/>
      <c r="I337" s="173"/>
      <c r="J337" s="268"/>
      <c r="K337" s="268"/>
      <c r="L337" s="268"/>
      <c r="M337" s="268"/>
      <c r="N337" s="268"/>
    </row>
    <row r="338" spans="1:14" ht="18">
      <c r="A338" s="163"/>
      <c r="B338" s="313"/>
      <c r="C338" s="313"/>
      <c r="D338" s="172"/>
      <c r="E338" s="268"/>
      <c r="F338" s="268"/>
      <c r="G338" s="173"/>
      <c r="H338" s="173"/>
      <c r="I338" s="173"/>
      <c r="J338" s="268"/>
      <c r="K338" s="268"/>
      <c r="L338" s="268"/>
      <c r="M338" s="268"/>
      <c r="N338" s="268"/>
    </row>
    <row r="339" spans="1:14" ht="18">
      <c r="A339" s="163"/>
      <c r="B339" s="313"/>
      <c r="C339" s="313"/>
      <c r="D339" s="172"/>
      <c r="E339" s="268"/>
      <c r="F339" s="268"/>
      <c r="G339" s="173"/>
      <c r="H339" s="173"/>
      <c r="I339" s="173"/>
      <c r="J339" s="268"/>
      <c r="K339" s="268"/>
      <c r="L339" s="268"/>
      <c r="M339" s="268"/>
      <c r="N339" s="268"/>
    </row>
    <row r="340" spans="1:14" ht="18">
      <c r="A340" s="163"/>
      <c r="B340" s="313"/>
      <c r="C340" s="313"/>
      <c r="D340" s="172"/>
      <c r="E340" s="268"/>
      <c r="F340" s="268"/>
      <c r="G340" s="173"/>
      <c r="H340" s="173"/>
      <c r="I340" s="173"/>
      <c r="J340" s="268"/>
      <c r="K340" s="268"/>
      <c r="L340" s="268"/>
      <c r="M340" s="268"/>
      <c r="N340" s="268"/>
    </row>
    <row r="341" spans="1:14" ht="18">
      <c r="A341" s="163"/>
      <c r="B341" s="313"/>
      <c r="C341" s="313"/>
      <c r="D341" s="172"/>
      <c r="E341" s="268"/>
      <c r="F341" s="268"/>
      <c r="G341" s="173"/>
      <c r="H341" s="173"/>
      <c r="I341" s="173"/>
      <c r="J341" s="268"/>
      <c r="K341" s="268"/>
      <c r="L341" s="268"/>
      <c r="M341" s="268"/>
      <c r="N341" s="268"/>
    </row>
    <row r="342" spans="1:14" ht="18">
      <c r="A342" s="163"/>
      <c r="B342" s="313"/>
      <c r="C342" s="313"/>
      <c r="D342" s="172"/>
      <c r="E342" s="268"/>
      <c r="F342" s="268"/>
      <c r="G342" s="173"/>
      <c r="H342" s="173"/>
      <c r="I342" s="173"/>
      <c r="J342" s="268"/>
      <c r="K342" s="268"/>
      <c r="L342" s="268"/>
      <c r="M342" s="268"/>
      <c r="N342" s="268"/>
    </row>
    <row r="343" spans="1:14" ht="18">
      <c r="A343" s="163"/>
      <c r="B343" s="313"/>
      <c r="C343" s="313"/>
      <c r="D343" s="172"/>
      <c r="E343" s="268"/>
      <c r="F343" s="268"/>
      <c r="G343" s="173"/>
      <c r="H343" s="173"/>
      <c r="I343" s="173"/>
      <c r="J343" s="268"/>
      <c r="K343" s="268"/>
      <c r="L343" s="268"/>
      <c r="M343" s="268"/>
      <c r="N343" s="268"/>
    </row>
    <row r="344" spans="1:14" ht="18">
      <c r="A344" s="163"/>
      <c r="B344" s="313"/>
      <c r="C344" s="313"/>
      <c r="D344" s="172"/>
      <c r="E344" s="268"/>
      <c r="F344" s="268"/>
      <c r="G344" s="173"/>
      <c r="H344" s="173"/>
      <c r="I344" s="173"/>
      <c r="J344" s="268"/>
      <c r="K344" s="268"/>
      <c r="L344" s="268"/>
      <c r="M344" s="268"/>
      <c r="N344" s="268"/>
    </row>
    <row r="345" spans="1:14" ht="18">
      <c r="A345" s="163"/>
      <c r="B345" s="313"/>
      <c r="C345" s="313"/>
      <c r="D345" s="172"/>
      <c r="E345" s="268"/>
      <c r="F345" s="268"/>
      <c r="G345" s="173"/>
      <c r="H345" s="173"/>
      <c r="I345" s="173"/>
      <c r="J345" s="268"/>
      <c r="K345" s="268"/>
      <c r="L345" s="268"/>
      <c r="M345" s="268"/>
      <c r="N345" s="268"/>
    </row>
    <row r="346" spans="1:14" ht="18">
      <c r="A346" s="163"/>
      <c r="B346" s="313"/>
      <c r="C346" s="313"/>
      <c r="D346" s="172"/>
      <c r="E346" s="268"/>
      <c r="F346" s="268"/>
      <c r="G346" s="173"/>
      <c r="H346" s="173"/>
      <c r="I346" s="173"/>
      <c r="J346" s="268"/>
      <c r="K346" s="268"/>
      <c r="L346" s="268"/>
      <c r="M346" s="268"/>
      <c r="N346" s="268"/>
    </row>
    <row r="347" spans="1:14" ht="18">
      <c r="A347" s="163"/>
      <c r="B347" s="313"/>
      <c r="C347" s="313"/>
      <c r="D347" s="172"/>
      <c r="E347" s="268"/>
      <c r="F347" s="268"/>
      <c r="G347" s="173"/>
      <c r="H347" s="173"/>
      <c r="I347" s="173"/>
      <c r="J347" s="268"/>
      <c r="K347" s="268"/>
      <c r="L347" s="268"/>
      <c r="M347" s="268"/>
      <c r="N347" s="268"/>
    </row>
    <row r="348" spans="1:14" ht="18">
      <c r="A348" s="86" t="s">
        <v>0</v>
      </c>
      <c r="B348" s="308"/>
      <c r="C348" s="308"/>
      <c r="D348" s="87"/>
      <c r="E348" s="266"/>
      <c r="F348" s="151"/>
      <c r="G348" s="151"/>
      <c r="H348" s="151"/>
      <c r="I348" s="151"/>
      <c r="J348" s="271"/>
      <c r="K348" s="276" t="str">
        <f>K1</f>
        <v>السنة الثانية ماستر إقتصاد نقدي وبنكي </v>
      </c>
      <c r="N348" s="271"/>
    </row>
    <row r="349" spans="1:14" ht="18">
      <c r="A349" s="86" t="s">
        <v>2</v>
      </c>
      <c r="B349" s="308"/>
      <c r="C349" s="308"/>
      <c r="D349" s="87"/>
      <c r="E349" s="266"/>
      <c r="F349" s="273" t="s">
        <v>3</v>
      </c>
      <c r="G349" s="291" t="s">
        <v>213</v>
      </c>
      <c r="H349" s="274"/>
      <c r="I349" s="275"/>
      <c r="J349" s="275"/>
      <c r="K349" s="276" t="s">
        <v>1</v>
      </c>
      <c r="L349" s="271"/>
      <c r="M349" s="271"/>
      <c r="N349" s="271" t="str">
        <f>N2</f>
        <v>2017-2018</v>
      </c>
    </row>
    <row r="350" spans="1:14" ht="18">
      <c r="A350" s="86" t="s">
        <v>4</v>
      </c>
      <c r="B350" s="308"/>
      <c r="C350" s="308"/>
      <c r="D350" s="87"/>
      <c r="E350" s="266"/>
      <c r="F350" s="273" t="s">
        <v>5</v>
      </c>
      <c r="G350" s="288"/>
      <c r="H350" s="274"/>
      <c r="I350" s="275" t="s">
        <v>39</v>
      </c>
      <c r="J350" s="288">
        <v>30</v>
      </c>
      <c r="K350" s="271"/>
      <c r="L350" s="271"/>
      <c r="M350" s="271"/>
      <c r="N350" s="271"/>
    </row>
    <row r="351" spans="1:14" ht="18">
      <c r="A351" s="93"/>
      <c r="B351" s="308"/>
      <c r="C351" s="308"/>
      <c r="D351" s="87"/>
      <c r="E351" s="266"/>
      <c r="F351" s="273" t="s">
        <v>6</v>
      </c>
      <c r="G351" s="289"/>
      <c r="H351" s="289"/>
      <c r="I351" s="290"/>
      <c r="K351" s="290" t="s">
        <v>85</v>
      </c>
      <c r="L351" s="271"/>
      <c r="M351" s="271"/>
      <c r="N351" s="271"/>
    </row>
    <row r="352" spans="1:14" ht="20.25">
      <c r="A352" s="93" t="s">
        <v>7</v>
      </c>
      <c r="B352" s="308">
        <f>B5</f>
        <v>2</v>
      </c>
      <c r="C352" s="308"/>
      <c r="D352" s="87"/>
      <c r="E352" s="267"/>
      <c r="F352" s="271"/>
      <c r="G352" s="285" t="s">
        <v>8</v>
      </c>
      <c r="H352" s="280"/>
      <c r="I352" s="271"/>
      <c r="J352" s="271"/>
      <c r="K352" s="271"/>
      <c r="L352" s="283" t="s">
        <v>113</v>
      </c>
      <c r="M352" s="271"/>
      <c r="N352" s="271"/>
    </row>
    <row r="353" spans="1:14" ht="18">
      <c r="A353" s="93"/>
      <c r="B353" s="308"/>
      <c r="C353" s="308"/>
      <c r="D353" s="87"/>
      <c r="E353" s="266"/>
      <c r="F353" s="271"/>
      <c r="G353" s="271"/>
      <c r="H353" s="271"/>
      <c r="I353" s="271"/>
      <c r="J353" s="271"/>
      <c r="K353" s="271"/>
      <c r="L353" s="271"/>
      <c r="M353" s="271"/>
      <c r="N353" s="271"/>
    </row>
    <row r="354" spans="1:14" ht="28.5" customHeight="1">
      <c r="A354" s="65" t="s">
        <v>9</v>
      </c>
      <c r="B354" s="299" t="s">
        <v>163</v>
      </c>
      <c r="C354" s="299" t="s">
        <v>164</v>
      </c>
      <c r="D354" s="66"/>
      <c r="E354" s="68" t="s">
        <v>17</v>
      </c>
      <c r="F354" s="88" t="s">
        <v>10</v>
      </c>
      <c r="G354" s="88" t="s">
        <v>11</v>
      </c>
      <c r="H354" s="66" t="s">
        <v>14</v>
      </c>
      <c r="I354" s="88" t="s">
        <v>16</v>
      </c>
      <c r="J354" s="88" t="s">
        <v>13</v>
      </c>
      <c r="K354" s="88" t="s">
        <v>12</v>
      </c>
      <c r="L354" s="88" t="s">
        <v>16</v>
      </c>
      <c r="M354" s="66" t="s">
        <v>14</v>
      </c>
      <c r="N354" s="700" t="s">
        <v>15</v>
      </c>
    </row>
    <row r="355" spans="1:16" ht="18">
      <c r="A355" s="70"/>
      <c r="B355" s="311"/>
      <c r="C355" s="311"/>
      <c r="D355" s="71"/>
      <c r="E355" s="89">
        <v>20</v>
      </c>
      <c r="F355" s="90">
        <v>20</v>
      </c>
      <c r="G355" s="90">
        <v>20</v>
      </c>
      <c r="H355" s="71" t="s">
        <v>30</v>
      </c>
      <c r="I355" s="90">
        <v>40</v>
      </c>
      <c r="J355" s="90">
        <v>20</v>
      </c>
      <c r="K355" s="90">
        <v>20</v>
      </c>
      <c r="L355" s="71">
        <v>40</v>
      </c>
      <c r="M355" s="71" t="s">
        <v>31</v>
      </c>
      <c r="N355" s="701"/>
      <c r="O355" s="141"/>
      <c r="P355" s="38"/>
    </row>
    <row r="356" spans="1:16" ht="16.5" customHeight="1">
      <c r="A356" s="30">
        <v>1</v>
      </c>
      <c r="B356" s="142" t="str">
        <f aca="true" t="shared" si="42" ref="B356:D387">IF(B8&gt;0,B8," ")</f>
        <v>الحاج </v>
      </c>
      <c r="C356" s="142" t="str">
        <f t="shared" si="42"/>
        <v>مروة</v>
      </c>
      <c r="D356" s="76" t="str">
        <f t="shared" si="42"/>
        <v> </v>
      </c>
      <c r="E356" s="72"/>
      <c r="F356" s="585"/>
      <c r="G356" s="69">
        <f>E356</f>
        <v>0</v>
      </c>
      <c r="H356" s="69"/>
      <c r="I356" s="69">
        <f>(30*G356)+H356</f>
        <v>0</v>
      </c>
      <c r="J356" s="38"/>
      <c r="K356" s="72" t="str">
        <f>IF(J356&gt;0,(J356+F356)/2," ")</f>
        <v> </v>
      </c>
      <c r="L356" s="72" t="str">
        <f>IF(J356&gt;0,((J356+F356)/2)*2," ")</f>
        <v> </v>
      </c>
      <c r="M356" s="38"/>
      <c r="N356" s="69">
        <f>IF(I356&gt;((J356)*30)+M356,I356+M356,((J356)*30)+M356)</f>
        <v>0</v>
      </c>
      <c r="O356" s="38" t="s">
        <v>30</v>
      </c>
      <c r="P356" s="38">
        <v>2018</v>
      </c>
    </row>
    <row r="357" spans="1:16" ht="16.5" customHeight="1">
      <c r="A357" s="30">
        <v>2</v>
      </c>
      <c r="B357" s="142" t="str">
        <f t="shared" si="42"/>
        <v>العياشي </v>
      </c>
      <c r="C357" s="142" t="str">
        <f t="shared" si="42"/>
        <v>نوار</v>
      </c>
      <c r="D357" s="76" t="str">
        <f t="shared" si="42"/>
        <v> </v>
      </c>
      <c r="E357" s="72"/>
      <c r="F357" s="585"/>
      <c r="G357" s="69">
        <f aca="true" t="shared" si="43" ref="G357:G387">E357</f>
        <v>0</v>
      </c>
      <c r="H357" s="69"/>
      <c r="I357" s="69">
        <f aca="true" t="shared" si="44" ref="I357:I387">(30*G357)+H357</f>
        <v>0</v>
      </c>
      <c r="J357" s="38"/>
      <c r="K357" s="72" t="str">
        <f aca="true" t="shared" si="45" ref="K357:K387">IF(J357&gt;0,(J357+F357)/2," ")</f>
        <v> </v>
      </c>
      <c r="L357" s="72" t="str">
        <f aca="true" t="shared" si="46" ref="L357:L387">IF(J357&gt;0,((J357+F357)/2)*2," ")</f>
        <v> </v>
      </c>
      <c r="M357" s="38"/>
      <c r="N357" s="69">
        <f aca="true" t="shared" si="47" ref="N357:N386">IF(I357&gt;((J357)*30)+M357,I357+M357,((J357)*30)+M357)</f>
        <v>0</v>
      </c>
      <c r="O357" s="38" t="s">
        <v>30</v>
      </c>
      <c r="P357" s="38">
        <v>2018</v>
      </c>
    </row>
    <row r="358" spans="1:16" ht="16.5" customHeight="1">
      <c r="A358" s="30">
        <v>3</v>
      </c>
      <c r="B358" s="142" t="str">
        <f t="shared" si="42"/>
        <v>باطح </v>
      </c>
      <c r="C358" s="142" t="str">
        <f t="shared" si="42"/>
        <v>محمد لمين</v>
      </c>
      <c r="D358" s="76" t="str">
        <f t="shared" si="42"/>
        <v> </v>
      </c>
      <c r="E358" s="72"/>
      <c r="F358" s="585"/>
      <c r="G358" s="69">
        <f t="shared" si="43"/>
        <v>0</v>
      </c>
      <c r="H358" s="69"/>
      <c r="I358" s="69">
        <f t="shared" si="44"/>
        <v>0</v>
      </c>
      <c r="J358" s="38"/>
      <c r="K358" s="72" t="str">
        <f t="shared" si="45"/>
        <v> </v>
      </c>
      <c r="L358" s="72" t="str">
        <f t="shared" si="46"/>
        <v> </v>
      </c>
      <c r="M358" s="38"/>
      <c r="N358" s="69">
        <f t="shared" si="47"/>
        <v>0</v>
      </c>
      <c r="O358" s="38" t="s">
        <v>30</v>
      </c>
      <c r="P358" s="38">
        <v>2018</v>
      </c>
    </row>
    <row r="359" spans="1:16" ht="16.5" customHeight="1">
      <c r="A359" s="30">
        <v>4</v>
      </c>
      <c r="B359" s="142" t="str">
        <f t="shared" si="42"/>
        <v>بوساحة </v>
      </c>
      <c r="C359" s="142" t="str">
        <f t="shared" si="42"/>
        <v>حسام الدين</v>
      </c>
      <c r="D359" s="76" t="str">
        <f t="shared" si="42"/>
        <v> </v>
      </c>
      <c r="E359" s="72"/>
      <c r="F359" s="585"/>
      <c r="G359" s="69">
        <f t="shared" si="43"/>
        <v>0</v>
      </c>
      <c r="H359" s="69"/>
      <c r="I359" s="69">
        <f t="shared" si="44"/>
        <v>0</v>
      </c>
      <c r="J359" s="38"/>
      <c r="K359" s="72" t="str">
        <f t="shared" si="45"/>
        <v> </v>
      </c>
      <c r="L359" s="72" t="str">
        <f t="shared" si="46"/>
        <v> </v>
      </c>
      <c r="M359" s="38"/>
      <c r="N359" s="69">
        <f t="shared" si="47"/>
        <v>0</v>
      </c>
      <c r="O359" s="38" t="s">
        <v>30</v>
      </c>
      <c r="P359" s="38">
        <v>2018</v>
      </c>
    </row>
    <row r="360" spans="1:16" ht="16.5" customHeight="1">
      <c r="A360" s="30">
        <v>5</v>
      </c>
      <c r="B360" s="142" t="str">
        <f t="shared" si="42"/>
        <v>بوسالم </v>
      </c>
      <c r="C360" s="142" t="str">
        <f t="shared" si="42"/>
        <v>محمد وليد</v>
      </c>
      <c r="D360" s="76" t="str">
        <f t="shared" si="42"/>
        <v> </v>
      </c>
      <c r="E360" s="72"/>
      <c r="F360" s="585"/>
      <c r="G360" s="69">
        <f t="shared" si="43"/>
        <v>0</v>
      </c>
      <c r="H360" s="69"/>
      <c r="I360" s="69">
        <f t="shared" si="44"/>
        <v>0</v>
      </c>
      <c r="J360" s="38"/>
      <c r="K360" s="72" t="str">
        <f t="shared" si="45"/>
        <v> </v>
      </c>
      <c r="L360" s="72" t="str">
        <f t="shared" si="46"/>
        <v> </v>
      </c>
      <c r="M360" s="38"/>
      <c r="N360" s="69">
        <f t="shared" si="47"/>
        <v>0</v>
      </c>
      <c r="O360" s="38" t="s">
        <v>30</v>
      </c>
      <c r="P360" s="38">
        <v>2018</v>
      </c>
    </row>
    <row r="361" spans="1:16" ht="16.5" customHeight="1">
      <c r="A361" s="30">
        <v>6</v>
      </c>
      <c r="B361" s="142" t="str">
        <f t="shared" si="42"/>
        <v>بوعروج </v>
      </c>
      <c r="C361" s="142" t="str">
        <f t="shared" si="42"/>
        <v>نسيمة</v>
      </c>
      <c r="D361" s="76" t="str">
        <f t="shared" si="42"/>
        <v> </v>
      </c>
      <c r="E361" s="72"/>
      <c r="F361" s="585"/>
      <c r="G361" s="69">
        <f t="shared" si="43"/>
        <v>0</v>
      </c>
      <c r="H361" s="69"/>
      <c r="I361" s="69">
        <f t="shared" si="44"/>
        <v>0</v>
      </c>
      <c r="J361" s="38"/>
      <c r="K361" s="72" t="str">
        <f t="shared" si="45"/>
        <v> </v>
      </c>
      <c r="L361" s="72" t="str">
        <f t="shared" si="46"/>
        <v> </v>
      </c>
      <c r="M361" s="38"/>
      <c r="N361" s="69">
        <f t="shared" si="47"/>
        <v>0</v>
      </c>
      <c r="O361" s="38" t="s">
        <v>30</v>
      </c>
      <c r="P361" s="38">
        <v>2018</v>
      </c>
    </row>
    <row r="362" spans="1:16" ht="16.5" customHeight="1">
      <c r="A362" s="30">
        <v>7</v>
      </c>
      <c r="B362" s="142" t="str">
        <f t="shared" si="42"/>
        <v>بولعيد </v>
      </c>
      <c r="C362" s="142" t="str">
        <f t="shared" si="42"/>
        <v>مريم</v>
      </c>
      <c r="D362" s="76" t="str">
        <f t="shared" si="42"/>
        <v> </v>
      </c>
      <c r="E362" s="72"/>
      <c r="F362" s="585"/>
      <c r="G362" s="69">
        <f t="shared" si="43"/>
        <v>0</v>
      </c>
      <c r="H362" s="69"/>
      <c r="I362" s="69">
        <f t="shared" si="44"/>
        <v>0</v>
      </c>
      <c r="J362" s="38"/>
      <c r="K362" s="72" t="str">
        <f t="shared" si="45"/>
        <v> </v>
      </c>
      <c r="L362" s="72" t="str">
        <f t="shared" si="46"/>
        <v> </v>
      </c>
      <c r="M362" s="38"/>
      <c r="N362" s="69">
        <f t="shared" si="47"/>
        <v>0</v>
      </c>
      <c r="O362" s="38" t="s">
        <v>30</v>
      </c>
      <c r="P362" s="38">
        <v>2018</v>
      </c>
    </row>
    <row r="363" spans="1:16" ht="16.5" customHeight="1">
      <c r="A363" s="30">
        <v>8</v>
      </c>
      <c r="B363" s="142" t="str">
        <f t="shared" si="42"/>
        <v>خاوة </v>
      </c>
      <c r="C363" s="142" t="str">
        <f t="shared" si="42"/>
        <v>أسماء</v>
      </c>
      <c r="D363" s="76" t="str">
        <f t="shared" si="42"/>
        <v> </v>
      </c>
      <c r="E363" s="72"/>
      <c r="F363" s="585"/>
      <c r="G363" s="69">
        <f t="shared" si="43"/>
        <v>0</v>
      </c>
      <c r="H363" s="69"/>
      <c r="I363" s="69">
        <f t="shared" si="44"/>
        <v>0</v>
      </c>
      <c r="J363" s="38"/>
      <c r="K363" s="72" t="str">
        <f t="shared" si="45"/>
        <v> </v>
      </c>
      <c r="L363" s="72" t="str">
        <f t="shared" si="46"/>
        <v> </v>
      </c>
      <c r="M363" s="38"/>
      <c r="N363" s="69">
        <f t="shared" si="47"/>
        <v>0</v>
      </c>
      <c r="O363" s="38" t="s">
        <v>30</v>
      </c>
      <c r="P363" s="38">
        <v>2018</v>
      </c>
    </row>
    <row r="364" spans="1:16" ht="16.5" customHeight="1">
      <c r="A364" s="30">
        <v>9</v>
      </c>
      <c r="B364" s="142" t="str">
        <f t="shared" si="42"/>
        <v>زغلاني </v>
      </c>
      <c r="C364" s="142" t="str">
        <f t="shared" si="42"/>
        <v>ساعد</v>
      </c>
      <c r="D364" s="76" t="str">
        <f t="shared" si="42"/>
        <v> </v>
      </c>
      <c r="E364" s="72"/>
      <c r="F364" s="585"/>
      <c r="G364" s="69">
        <f t="shared" si="43"/>
        <v>0</v>
      </c>
      <c r="H364" s="69"/>
      <c r="I364" s="69">
        <f t="shared" si="44"/>
        <v>0</v>
      </c>
      <c r="J364" s="38"/>
      <c r="K364" s="72" t="str">
        <f t="shared" si="45"/>
        <v> </v>
      </c>
      <c r="L364" s="72" t="str">
        <f t="shared" si="46"/>
        <v> </v>
      </c>
      <c r="M364" s="38"/>
      <c r="N364" s="69">
        <f t="shared" si="47"/>
        <v>0</v>
      </c>
      <c r="O364" s="38" t="s">
        <v>30</v>
      </c>
      <c r="P364" s="38">
        <v>2018</v>
      </c>
    </row>
    <row r="365" spans="1:16" ht="16.5" customHeight="1">
      <c r="A365" s="30">
        <v>10</v>
      </c>
      <c r="B365" s="142" t="str">
        <f t="shared" si="42"/>
        <v>زياني </v>
      </c>
      <c r="C365" s="142" t="str">
        <f t="shared" si="42"/>
        <v>أميرة</v>
      </c>
      <c r="D365" s="76" t="str">
        <f t="shared" si="42"/>
        <v> </v>
      </c>
      <c r="E365" s="72"/>
      <c r="F365" s="585"/>
      <c r="G365" s="69">
        <f t="shared" si="43"/>
        <v>0</v>
      </c>
      <c r="H365" s="69"/>
      <c r="I365" s="69">
        <f t="shared" si="44"/>
        <v>0</v>
      </c>
      <c r="J365" s="38"/>
      <c r="K365" s="72" t="str">
        <f t="shared" si="45"/>
        <v> </v>
      </c>
      <c r="L365" s="72" t="str">
        <f t="shared" si="46"/>
        <v> </v>
      </c>
      <c r="M365" s="38"/>
      <c r="N365" s="69">
        <f t="shared" si="47"/>
        <v>0</v>
      </c>
      <c r="O365" s="38" t="s">
        <v>30</v>
      </c>
      <c r="P365" s="38">
        <v>2018</v>
      </c>
    </row>
    <row r="366" spans="1:16" ht="16.5" customHeight="1">
      <c r="A366" s="30">
        <v>11</v>
      </c>
      <c r="B366" s="142" t="str">
        <f t="shared" si="42"/>
        <v>شلابي </v>
      </c>
      <c r="C366" s="142" t="str">
        <f t="shared" si="42"/>
        <v>هاجر</v>
      </c>
      <c r="D366" s="76" t="str">
        <f t="shared" si="42"/>
        <v> </v>
      </c>
      <c r="E366" s="72"/>
      <c r="F366" s="585"/>
      <c r="G366" s="69">
        <f t="shared" si="43"/>
        <v>0</v>
      </c>
      <c r="H366" s="69"/>
      <c r="I366" s="69">
        <f t="shared" si="44"/>
        <v>0</v>
      </c>
      <c r="J366" s="38"/>
      <c r="K366" s="72" t="str">
        <f t="shared" si="45"/>
        <v> </v>
      </c>
      <c r="L366" s="72" t="str">
        <f t="shared" si="46"/>
        <v> </v>
      </c>
      <c r="M366" s="38"/>
      <c r="N366" s="69">
        <f t="shared" si="47"/>
        <v>0</v>
      </c>
      <c r="O366" s="38" t="s">
        <v>30</v>
      </c>
      <c r="P366" s="38">
        <v>2018</v>
      </c>
    </row>
    <row r="367" spans="1:16" ht="16.5" customHeight="1">
      <c r="A367" s="30">
        <v>12</v>
      </c>
      <c r="B367" s="142" t="str">
        <f t="shared" si="42"/>
        <v>صولي </v>
      </c>
      <c r="C367" s="142" t="str">
        <f t="shared" si="42"/>
        <v>هشام</v>
      </c>
      <c r="D367" s="76" t="str">
        <f t="shared" si="42"/>
        <v> </v>
      </c>
      <c r="E367" s="72"/>
      <c r="F367" s="585"/>
      <c r="G367" s="69">
        <f t="shared" si="43"/>
        <v>0</v>
      </c>
      <c r="H367" s="69"/>
      <c r="I367" s="69">
        <f t="shared" si="44"/>
        <v>0</v>
      </c>
      <c r="J367" s="38"/>
      <c r="K367" s="72" t="str">
        <f t="shared" si="45"/>
        <v> </v>
      </c>
      <c r="L367" s="72" t="str">
        <f t="shared" si="46"/>
        <v> </v>
      </c>
      <c r="M367" s="38"/>
      <c r="N367" s="69">
        <f t="shared" si="47"/>
        <v>0</v>
      </c>
      <c r="O367" s="38" t="s">
        <v>30</v>
      </c>
      <c r="P367" s="38">
        <v>2018</v>
      </c>
    </row>
    <row r="368" spans="1:16" ht="16.5" customHeight="1">
      <c r="A368" s="30">
        <v>13</v>
      </c>
      <c r="B368" s="142" t="str">
        <f t="shared" si="42"/>
        <v>عطيل</v>
      </c>
      <c r="C368" s="142" t="str">
        <f t="shared" si="42"/>
        <v>آسيا</v>
      </c>
      <c r="D368" s="76" t="str">
        <f t="shared" si="42"/>
        <v> </v>
      </c>
      <c r="E368" s="72"/>
      <c r="F368" s="585"/>
      <c r="G368" s="69">
        <f t="shared" si="43"/>
        <v>0</v>
      </c>
      <c r="H368" s="69"/>
      <c r="I368" s="69">
        <f t="shared" si="44"/>
        <v>0</v>
      </c>
      <c r="J368" s="38"/>
      <c r="K368" s="72" t="str">
        <f t="shared" si="45"/>
        <v> </v>
      </c>
      <c r="L368" s="72" t="str">
        <f t="shared" si="46"/>
        <v> </v>
      </c>
      <c r="M368" s="38"/>
      <c r="N368" s="69">
        <f t="shared" si="47"/>
        <v>0</v>
      </c>
      <c r="O368" s="38" t="s">
        <v>30</v>
      </c>
      <c r="P368" s="38">
        <v>2018</v>
      </c>
    </row>
    <row r="369" spans="1:16" ht="16.5" customHeight="1">
      <c r="A369" s="30">
        <v>14</v>
      </c>
      <c r="B369" s="142" t="str">
        <f t="shared" si="42"/>
        <v>عيدود </v>
      </c>
      <c r="C369" s="142" t="str">
        <f t="shared" si="42"/>
        <v>صبرينة</v>
      </c>
      <c r="D369" s="76" t="str">
        <f t="shared" si="42"/>
        <v> </v>
      </c>
      <c r="E369" s="72"/>
      <c r="F369" s="585"/>
      <c r="G369" s="69">
        <f t="shared" si="43"/>
        <v>0</v>
      </c>
      <c r="H369" s="69"/>
      <c r="I369" s="69">
        <f t="shared" si="44"/>
        <v>0</v>
      </c>
      <c r="J369" s="38"/>
      <c r="K369" s="72" t="str">
        <f t="shared" si="45"/>
        <v> </v>
      </c>
      <c r="L369" s="72" t="str">
        <f t="shared" si="46"/>
        <v> </v>
      </c>
      <c r="M369" s="38"/>
      <c r="N369" s="69">
        <f t="shared" si="47"/>
        <v>0</v>
      </c>
      <c r="O369" s="38" t="s">
        <v>30</v>
      </c>
      <c r="P369" s="38">
        <v>2018</v>
      </c>
    </row>
    <row r="370" spans="1:16" ht="16.5" customHeight="1">
      <c r="A370" s="30">
        <v>15</v>
      </c>
      <c r="B370" s="142" t="str">
        <f t="shared" si="42"/>
        <v>قايدي </v>
      </c>
      <c r="C370" s="142" t="str">
        <f t="shared" si="42"/>
        <v>مريم</v>
      </c>
      <c r="D370" s="76" t="str">
        <f t="shared" si="42"/>
        <v> </v>
      </c>
      <c r="E370" s="72"/>
      <c r="F370" s="585"/>
      <c r="G370" s="69">
        <f t="shared" si="43"/>
        <v>0</v>
      </c>
      <c r="H370" s="69"/>
      <c r="I370" s="69">
        <f t="shared" si="44"/>
        <v>0</v>
      </c>
      <c r="J370" s="38"/>
      <c r="K370" s="72" t="str">
        <f t="shared" si="45"/>
        <v> </v>
      </c>
      <c r="L370" s="72" t="str">
        <f t="shared" si="46"/>
        <v> </v>
      </c>
      <c r="M370" s="38"/>
      <c r="N370" s="69">
        <f t="shared" si="47"/>
        <v>0</v>
      </c>
      <c r="O370" s="38" t="s">
        <v>30</v>
      </c>
      <c r="P370" s="38">
        <v>2018</v>
      </c>
    </row>
    <row r="371" spans="1:16" ht="16.5" customHeight="1">
      <c r="A371" s="30">
        <v>16</v>
      </c>
      <c r="B371" s="142" t="str">
        <f t="shared" si="42"/>
        <v>قرايفية </v>
      </c>
      <c r="C371" s="142" t="str">
        <f t="shared" si="42"/>
        <v>فؤاد</v>
      </c>
      <c r="D371" s="76" t="str">
        <f t="shared" si="42"/>
        <v> </v>
      </c>
      <c r="E371" s="72"/>
      <c r="F371" s="585"/>
      <c r="G371" s="69">
        <f t="shared" si="43"/>
        <v>0</v>
      </c>
      <c r="H371" s="69"/>
      <c r="I371" s="69">
        <f t="shared" si="44"/>
        <v>0</v>
      </c>
      <c r="J371" s="38"/>
      <c r="K371" s="72" t="str">
        <f t="shared" si="45"/>
        <v> </v>
      </c>
      <c r="L371" s="72" t="str">
        <f t="shared" si="46"/>
        <v> </v>
      </c>
      <c r="M371" s="38"/>
      <c r="N371" s="69">
        <f t="shared" si="47"/>
        <v>0</v>
      </c>
      <c r="O371" s="38" t="s">
        <v>30</v>
      </c>
      <c r="P371" s="38">
        <v>2018</v>
      </c>
    </row>
    <row r="372" spans="1:16" ht="16.5" customHeight="1">
      <c r="A372" s="30">
        <v>17</v>
      </c>
      <c r="B372" s="142" t="str">
        <f t="shared" si="42"/>
        <v>قوادرية</v>
      </c>
      <c r="C372" s="142" t="str">
        <f t="shared" si="42"/>
        <v>مريم</v>
      </c>
      <c r="D372" s="76" t="str">
        <f t="shared" si="42"/>
        <v> </v>
      </c>
      <c r="E372" s="72"/>
      <c r="F372" s="585"/>
      <c r="G372" s="69">
        <f t="shared" si="43"/>
        <v>0</v>
      </c>
      <c r="H372" s="69"/>
      <c r="I372" s="69">
        <f t="shared" si="44"/>
        <v>0</v>
      </c>
      <c r="J372" s="38"/>
      <c r="K372" s="72" t="str">
        <f t="shared" si="45"/>
        <v> </v>
      </c>
      <c r="L372" s="72" t="str">
        <f t="shared" si="46"/>
        <v> </v>
      </c>
      <c r="M372" s="38"/>
      <c r="N372" s="69">
        <f t="shared" si="47"/>
        <v>0</v>
      </c>
      <c r="O372" s="38" t="s">
        <v>30</v>
      </c>
      <c r="P372" s="38">
        <v>2018</v>
      </c>
    </row>
    <row r="373" spans="1:16" ht="16.5" customHeight="1">
      <c r="A373" s="30">
        <v>18</v>
      </c>
      <c r="B373" s="142" t="str">
        <f t="shared" si="42"/>
        <v>محفوظ </v>
      </c>
      <c r="C373" s="142" t="str">
        <f t="shared" si="42"/>
        <v>بشرى</v>
      </c>
      <c r="D373" s="76" t="str">
        <f t="shared" si="42"/>
        <v> </v>
      </c>
      <c r="E373" s="72"/>
      <c r="F373" s="585"/>
      <c r="G373" s="69">
        <f t="shared" si="43"/>
        <v>0</v>
      </c>
      <c r="H373" s="69"/>
      <c r="I373" s="69">
        <f t="shared" si="44"/>
        <v>0</v>
      </c>
      <c r="J373" s="38"/>
      <c r="K373" s="72" t="str">
        <f t="shared" si="45"/>
        <v> </v>
      </c>
      <c r="L373" s="72" t="str">
        <f t="shared" si="46"/>
        <v> </v>
      </c>
      <c r="M373" s="38"/>
      <c r="N373" s="69">
        <f t="shared" si="47"/>
        <v>0</v>
      </c>
      <c r="O373" s="38" t="s">
        <v>30</v>
      </c>
      <c r="P373" s="38">
        <v>2018</v>
      </c>
    </row>
    <row r="374" spans="1:16" ht="16.5" customHeight="1">
      <c r="A374" s="30">
        <v>19</v>
      </c>
      <c r="B374" s="142" t="str">
        <f t="shared" si="42"/>
        <v>مسطوري </v>
      </c>
      <c r="C374" s="142" t="str">
        <f t="shared" si="42"/>
        <v>سارة</v>
      </c>
      <c r="D374" s="76" t="str">
        <f t="shared" si="42"/>
        <v> </v>
      </c>
      <c r="E374" s="72"/>
      <c r="F374" s="585"/>
      <c r="G374" s="69">
        <f t="shared" si="43"/>
        <v>0</v>
      </c>
      <c r="H374" s="69"/>
      <c r="I374" s="69">
        <f t="shared" si="44"/>
        <v>0</v>
      </c>
      <c r="J374" s="38"/>
      <c r="K374" s="72" t="str">
        <f t="shared" si="45"/>
        <v> </v>
      </c>
      <c r="L374" s="72" t="str">
        <f t="shared" si="46"/>
        <v> </v>
      </c>
      <c r="M374" s="38"/>
      <c r="N374" s="69">
        <f t="shared" si="47"/>
        <v>0</v>
      </c>
      <c r="O374" s="38" t="s">
        <v>30</v>
      </c>
      <c r="P374" s="38">
        <v>2018</v>
      </c>
    </row>
    <row r="375" spans="1:16" ht="16.5" customHeight="1">
      <c r="A375" s="30">
        <v>20</v>
      </c>
      <c r="B375" s="142" t="str">
        <f t="shared" si="42"/>
        <v>هداف </v>
      </c>
      <c r="C375" s="142" t="str">
        <f t="shared" si="42"/>
        <v>حياة</v>
      </c>
      <c r="D375" s="76" t="str">
        <f t="shared" si="42"/>
        <v> </v>
      </c>
      <c r="E375" s="72"/>
      <c r="F375" s="585"/>
      <c r="G375" s="69">
        <f t="shared" si="43"/>
        <v>0</v>
      </c>
      <c r="H375" s="69"/>
      <c r="I375" s="69">
        <f t="shared" si="44"/>
        <v>0</v>
      </c>
      <c r="J375" s="38"/>
      <c r="K375" s="72" t="str">
        <f t="shared" si="45"/>
        <v> </v>
      </c>
      <c r="L375" s="72" t="str">
        <f t="shared" si="46"/>
        <v> </v>
      </c>
      <c r="M375" s="38"/>
      <c r="N375" s="69">
        <f t="shared" si="47"/>
        <v>0</v>
      </c>
      <c r="O375" s="38" t="s">
        <v>30</v>
      </c>
      <c r="P375" s="38">
        <v>2018</v>
      </c>
    </row>
    <row r="376" spans="1:16" ht="16.5" customHeight="1">
      <c r="A376" s="30">
        <v>21</v>
      </c>
      <c r="B376" s="142" t="str">
        <f t="shared" si="42"/>
        <v> </v>
      </c>
      <c r="C376" s="142" t="str">
        <f t="shared" si="42"/>
        <v> </v>
      </c>
      <c r="D376" s="76" t="str">
        <f t="shared" si="42"/>
        <v> </v>
      </c>
      <c r="E376" s="72"/>
      <c r="F376" s="585"/>
      <c r="G376" s="69">
        <f t="shared" si="43"/>
        <v>0</v>
      </c>
      <c r="H376" s="69"/>
      <c r="I376" s="69">
        <f t="shared" si="44"/>
        <v>0</v>
      </c>
      <c r="J376" s="38"/>
      <c r="K376" s="72" t="str">
        <f t="shared" si="45"/>
        <v> </v>
      </c>
      <c r="L376" s="72" t="str">
        <f t="shared" si="46"/>
        <v> </v>
      </c>
      <c r="M376" s="38"/>
      <c r="N376" s="69">
        <f t="shared" si="47"/>
        <v>0</v>
      </c>
      <c r="O376" s="38" t="s">
        <v>30</v>
      </c>
      <c r="P376" s="38">
        <v>2018</v>
      </c>
    </row>
    <row r="377" spans="1:16" ht="16.5" customHeight="1">
      <c r="A377" s="30">
        <v>22</v>
      </c>
      <c r="B377" s="142" t="str">
        <f t="shared" si="42"/>
        <v> </v>
      </c>
      <c r="C377" s="142" t="str">
        <f t="shared" si="42"/>
        <v> </v>
      </c>
      <c r="D377" s="76" t="str">
        <f t="shared" si="42"/>
        <v> </v>
      </c>
      <c r="E377" s="72"/>
      <c r="F377" s="585"/>
      <c r="G377" s="69">
        <f t="shared" si="43"/>
        <v>0</v>
      </c>
      <c r="H377" s="69"/>
      <c r="I377" s="69">
        <f t="shared" si="44"/>
        <v>0</v>
      </c>
      <c r="J377" s="38"/>
      <c r="K377" s="72" t="str">
        <f t="shared" si="45"/>
        <v> </v>
      </c>
      <c r="L377" s="72" t="str">
        <f t="shared" si="46"/>
        <v> </v>
      </c>
      <c r="M377" s="38"/>
      <c r="N377" s="69">
        <f t="shared" si="47"/>
        <v>0</v>
      </c>
      <c r="O377" s="38" t="s">
        <v>30</v>
      </c>
      <c r="P377" s="38">
        <v>2018</v>
      </c>
    </row>
    <row r="378" spans="1:16" ht="16.5" customHeight="1">
      <c r="A378" s="30">
        <v>23</v>
      </c>
      <c r="B378" s="142" t="str">
        <f t="shared" si="42"/>
        <v> </v>
      </c>
      <c r="C378" s="142" t="str">
        <f t="shared" si="42"/>
        <v> </v>
      </c>
      <c r="D378" s="76" t="str">
        <f t="shared" si="42"/>
        <v> </v>
      </c>
      <c r="E378" s="72"/>
      <c r="F378" s="585"/>
      <c r="G378" s="69">
        <f t="shared" si="43"/>
        <v>0</v>
      </c>
      <c r="H378" s="69"/>
      <c r="I378" s="69">
        <f t="shared" si="44"/>
        <v>0</v>
      </c>
      <c r="J378" s="38"/>
      <c r="K378" s="72" t="str">
        <f t="shared" si="45"/>
        <v> </v>
      </c>
      <c r="L378" s="72" t="str">
        <f t="shared" si="46"/>
        <v> </v>
      </c>
      <c r="M378" s="38"/>
      <c r="N378" s="69">
        <f t="shared" si="47"/>
        <v>0</v>
      </c>
      <c r="O378" s="38" t="s">
        <v>30</v>
      </c>
      <c r="P378" s="38">
        <v>2018</v>
      </c>
    </row>
    <row r="379" spans="1:16" ht="16.5" customHeight="1">
      <c r="A379" s="30">
        <v>24</v>
      </c>
      <c r="B379" s="142" t="str">
        <f t="shared" si="42"/>
        <v> </v>
      </c>
      <c r="C379" s="142" t="str">
        <f t="shared" si="42"/>
        <v> </v>
      </c>
      <c r="D379" s="76" t="str">
        <f t="shared" si="42"/>
        <v> </v>
      </c>
      <c r="E379" s="72"/>
      <c r="F379" s="585"/>
      <c r="G379" s="69">
        <f t="shared" si="43"/>
        <v>0</v>
      </c>
      <c r="H379" s="69"/>
      <c r="I379" s="69">
        <f t="shared" si="44"/>
        <v>0</v>
      </c>
      <c r="J379" s="38"/>
      <c r="K379" s="72" t="str">
        <f t="shared" si="45"/>
        <v> </v>
      </c>
      <c r="L379" s="72" t="str">
        <f t="shared" si="46"/>
        <v> </v>
      </c>
      <c r="M379" s="38"/>
      <c r="N379" s="69">
        <f t="shared" si="47"/>
        <v>0</v>
      </c>
      <c r="O379" s="38" t="s">
        <v>30</v>
      </c>
      <c r="P379" s="38">
        <v>2018</v>
      </c>
    </row>
    <row r="380" spans="1:16" ht="16.5" customHeight="1">
      <c r="A380" s="30">
        <v>25</v>
      </c>
      <c r="B380" s="142" t="str">
        <f t="shared" si="42"/>
        <v> </v>
      </c>
      <c r="C380" s="142" t="str">
        <f t="shared" si="42"/>
        <v> </v>
      </c>
      <c r="D380" s="76" t="str">
        <f t="shared" si="42"/>
        <v> </v>
      </c>
      <c r="E380" s="72"/>
      <c r="F380" s="585"/>
      <c r="G380" s="69">
        <f t="shared" si="43"/>
        <v>0</v>
      </c>
      <c r="H380" s="69"/>
      <c r="I380" s="69">
        <f t="shared" si="44"/>
        <v>0</v>
      </c>
      <c r="J380" s="38"/>
      <c r="K380" s="72" t="str">
        <f t="shared" si="45"/>
        <v> </v>
      </c>
      <c r="L380" s="72" t="str">
        <f t="shared" si="46"/>
        <v> </v>
      </c>
      <c r="M380" s="38"/>
      <c r="N380" s="69">
        <f t="shared" si="47"/>
        <v>0</v>
      </c>
      <c r="O380" s="38" t="s">
        <v>30</v>
      </c>
      <c r="P380" s="38">
        <v>2018</v>
      </c>
    </row>
    <row r="381" spans="1:16" ht="16.5" customHeight="1">
      <c r="A381" s="30">
        <v>26</v>
      </c>
      <c r="B381" s="142" t="str">
        <f t="shared" si="42"/>
        <v> </v>
      </c>
      <c r="C381" s="142" t="str">
        <f t="shared" si="42"/>
        <v> </v>
      </c>
      <c r="D381" s="76" t="str">
        <f t="shared" si="42"/>
        <v> </v>
      </c>
      <c r="E381" s="72"/>
      <c r="F381" s="585"/>
      <c r="G381" s="69">
        <f t="shared" si="43"/>
        <v>0</v>
      </c>
      <c r="H381" s="69"/>
      <c r="I381" s="69">
        <f t="shared" si="44"/>
        <v>0</v>
      </c>
      <c r="J381" s="38"/>
      <c r="K381" s="72" t="str">
        <f t="shared" si="45"/>
        <v> </v>
      </c>
      <c r="L381" s="72" t="str">
        <f t="shared" si="46"/>
        <v> </v>
      </c>
      <c r="M381" s="38"/>
      <c r="N381" s="69">
        <f t="shared" si="47"/>
        <v>0</v>
      </c>
      <c r="O381" s="38" t="s">
        <v>30</v>
      </c>
      <c r="P381" s="38">
        <v>2018</v>
      </c>
    </row>
    <row r="382" spans="1:16" ht="16.5" customHeight="1">
      <c r="A382" s="30">
        <v>27</v>
      </c>
      <c r="B382" s="142" t="str">
        <f t="shared" si="42"/>
        <v> </v>
      </c>
      <c r="C382" s="142" t="str">
        <f t="shared" si="42"/>
        <v> </v>
      </c>
      <c r="D382" s="76" t="str">
        <f t="shared" si="42"/>
        <v> </v>
      </c>
      <c r="E382" s="72"/>
      <c r="F382" s="585"/>
      <c r="G382" s="69">
        <f t="shared" si="43"/>
        <v>0</v>
      </c>
      <c r="H382" s="69"/>
      <c r="I382" s="69">
        <f t="shared" si="44"/>
        <v>0</v>
      </c>
      <c r="J382" s="38"/>
      <c r="K382" s="72" t="str">
        <f t="shared" si="45"/>
        <v> </v>
      </c>
      <c r="L382" s="72" t="str">
        <f t="shared" si="46"/>
        <v> </v>
      </c>
      <c r="M382" s="38"/>
      <c r="N382" s="69">
        <f t="shared" si="47"/>
        <v>0</v>
      </c>
      <c r="O382" s="38" t="s">
        <v>30</v>
      </c>
      <c r="P382" s="38">
        <v>2018</v>
      </c>
    </row>
    <row r="383" spans="1:16" ht="16.5" customHeight="1">
      <c r="A383" s="30">
        <v>28</v>
      </c>
      <c r="B383" s="142" t="str">
        <f t="shared" si="42"/>
        <v> </v>
      </c>
      <c r="C383" s="142" t="str">
        <f t="shared" si="42"/>
        <v> </v>
      </c>
      <c r="D383" s="76" t="str">
        <f t="shared" si="42"/>
        <v> </v>
      </c>
      <c r="E383" s="72"/>
      <c r="F383" s="585"/>
      <c r="G383" s="69">
        <f t="shared" si="43"/>
        <v>0</v>
      </c>
      <c r="H383" s="69"/>
      <c r="I383" s="69">
        <f t="shared" si="44"/>
        <v>0</v>
      </c>
      <c r="J383" s="38"/>
      <c r="K383" s="72" t="str">
        <f t="shared" si="45"/>
        <v> </v>
      </c>
      <c r="L383" s="72" t="str">
        <f t="shared" si="46"/>
        <v> </v>
      </c>
      <c r="M383" s="38"/>
      <c r="N383" s="69">
        <f t="shared" si="47"/>
        <v>0</v>
      </c>
      <c r="O383" s="38" t="s">
        <v>30</v>
      </c>
      <c r="P383" s="38">
        <v>2018</v>
      </c>
    </row>
    <row r="384" spans="1:16" ht="16.5" customHeight="1">
      <c r="A384" s="30">
        <v>29</v>
      </c>
      <c r="B384" s="142" t="str">
        <f t="shared" si="42"/>
        <v> </v>
      </c>
      <c r="C384" s="142" t="str">
        <f t="shared" si="42"/>
        <v> </v>
      </c>
      <c r="D384" s="76" t="str">
        <f t="shared" si="42"/>
        <v> </v>
      </c>
      <c r="E384" s="72"/>
      <c r="F384" s="585"/>
      <c r="G384" s="69">
        <f t="shared" si="43"/>
        <v>0</v>
      </c>
      <c r="H384" s="69"/>
      <c r="I384" s="69">
        <f t="shared" si="44"/>
        <v>0</v>
      </c>
      <c r="J384" s="38"/>
      <c r="K384" s="72" t="str">
        <f t="shared" si="45"/>
        <v> </v>
      </c>
      <c r="L384" s="72" t="str">
        <f t="shared" si="46"/>
        <v> </v>
      </c>
      <c r="M384" s="38"/>
      <c r="N384" s="69">
        <f t="shared" si="47"/>
        <v>0</v>
      </c>
      <c r="O384" s="38" t="s">
        <v>30</v>
      </c>
      <c r="P384" s="38">
        <v>2018</v>
      </c>
    </row>
    <row r="385" spans="1:16" ht="16.5" customHeight="1">
      <c r="A385" s="30">
        <v>30</v>
      </c>
      <c r="B385" s="142" t="str">
        <f t="shared" si="42"/>
        <v> </v>
      </c>
      <c r="C385" s="142" t="str">
        <f t="shared" si="42"/>
        <v> </v>
      </c>
      <c r="D385" s="76" t="str">
        <f t="shared" si="42"/>
        <v> </v>
      </c>
      <c r="E385" s="72"/>
      <c r="F385" s="585"/>
      <c r="G385" s="69">
        <f t="shared" si="43"/>
        <v>0</v>
      </c>
      <c r="H385" s="69"/>
      <c r="I385" s="69">
        <f t="shared" si="44"/>
        <v>0</v>
      </c>
      <c r="J385" s="38"/>
      <c r="K385" s="72" t="str">
        <f t="shared" si="45"/>
        <v> </v>
      </c>
      <c r="L385" s="72" t="str">
        <f t="shared" si="46"/>
        <v> </v>
      </c>
      <c r="M385" s="38"/>
      <c r="N385" s="69">
        <f t="shared" si="47"/>
        <v>0</v>
      </c>
      <c r="O385" s="38" t="s">
        <v>30</v>
      </c>
      <c r="P385" s="38">
        <v>2018</v>
      </c>
    </row>
    <row r="386" spans="1:16" ht="16.5" customHeight="1">
      <c r="A386" s="30">
        <v>31</v>
      </c>
      <c r="B386" s="142" t="str">
        <f t="shared" si="42"/>
        <v> </v>
      </c>
      <c r="C386" s="142" t="str">
        <f t="shared" si="42"/>
        <v> </v>
      </c>
      <c r="D386" s="76" t="str">
        <f t="shared" si="42"/>
        <v> </v>
      </c>
      <c r="E386" s="72"/>
      <c r="F386" s="585"/>
      <c r="G386" s="69">
        <f t="shared" si="43"/>
        <v>0</v>
      </c>
      <c r="H386" s="69"/>
      <c r="I386" s="69">
        <f t="shared" si="44"/>
        <v>0</v>
      </c>
      <c r="J386" s="38"/>
      <c r="K386" s="72" t="str">
        <f t="shared" si="45"/>
        <v> </v>
      </c>
      <c r="L386" s="72" t="str">
        <f t="shared" si="46"/>
        <v> </v>
      </c>
      <c r="M386" s="38"/>
      <c r="N386" s="69">
        <f t="shared" si="47"/>
        <v>0</v>
      </c>
      <c r="O386" s="38" t="s">
        <v>30</v>
      </c>
      <c r="P386" s="38">
        <v>2018</v>
      </c>
    </row>
    <row r="387" spans="1:16" ht="16.5" customHeight="1">
      <c r="A387" s="30">
        <v>32</v>
      </c>
      <c r="B387" s="142" t="str">
        <f t="shared" si="42"/>
        <v> </v>
      </c>
      <c r="C387" s="142" t="str">
        <f t="shared" si="42"/>
        <v> </v>
      </c>
      <c r="D387" s="76" t="str">
        <f t="shared" si="42"/>
        <v> </v>
      </c>
      <c r="E387" s="72"/>
      <c r="F387" s="585"/>
      <c r="G387" s="69">
        <f t="shared" si="43"/>
        <v>0</v>
      </c>
      <c r="H387" s="69"/>
      <c r="I387" s="69">
        <f t="shared" si="44"/>
        <v>0</v>
      </c>
      <c r="J387" s="38"/>
      <c r="K387" s="72" t="str">
        <f t="shared" si="45"/>
        <v> </v>
      </c>
      <c r="L387" s="72" t="str">
        <f t="shared" si="46"/>
        <v> </v>
      </c>
      <c r="M387" s="38"/>
      <c r="N387" s="69">
        <f>IF(I387&gt;((J387)*30)+M387,I387+M387,((J387)*30)+M387)</f>
        <v>0</v>
      </c>
      <c r="O387" s="38" t="s">
        <v>30</v>
      </c>
      <c r="P387" s="38">
        <v>2018</v>
      </c>
    </row>
    <row r="388" spans="2:16" ht="18">
      <c r="B388" s="19"/>
      <c r="C388" s="264" t="s">
        <v>18</v>
      </c>
      <c r="D388" s="264"/>
      <c r="O388" s="38" t="s">
        <v>30</v>
      </c>
      <c r="P388" s="38">
        <v>2018</v>
      </c>
    </row>
    <row r="389" spans="2:16" ht="18">
      <c r="B389" s="19"/>
      <c r="C389" s="264"/>
      <c r="D389" s="264"/>
      <c r="O389" s="38" t="s">
        <v>30</v>
      </c>
      <c r="P389" s="38">
        <v>2018</v>
      </c>
    </row>
    <row r="390" spans="2:16" ht="18">
      <c r="B390" s="19"/>
      <c r="C390" s="264"/>
      <c r="D390" s="264"/>
      <c r="P390" s="297"/>
    </row>
    <row r="391" spans="2:16" ht="18">
      <c r="B391" s="19"/>
      <c r="C391" s="264"/>
      <c r="D391" s="264"/>
      <c r="P391" s="297"/>
    </row>
    <row r="392" spans="2:16" ht="18">
      <c r="B392" s="19"/>
      <c r="C392" s="264"/>
      <c r="D392" s="264"/>
      <c r="P392" s="297"/>
    </row>
    <row r="393" spans="2:16" ht="18">
      <c r="B393" s="19"/>
      <c r="C393" s="264"/>
      <c r="D393" s="264"/>
      <c r="P393" s="297"/>
    </row>
    <row r="394" spans="2:16" ht="18">
      <c r="B394" s="19"/>
      <c r="C394" s="264"/>
      <c r="D394" s="264"/>
      <c r="P394" s="297"/>
    </row>
    <row r="395" spans="2:16" ht="18">
      <c r="B395" s="19"/>
      <c r="C395" s="264"/>
      <c r="D395" s="264"/>
      <c r="P395" s="297"/>
    </row>
    <row r="396" spans="2:16" ht="18">
      <c r="B396" s="19"/>
      <c r="C396" s="264"/>
      <c r="D396" s="264"/>
      <c r="P396" s="297"/>
    </row>
  </sheetData>
  <sheetProtection/>
  <mergeCells count="6">
    <mergeCell ref="N6:N7"/>
    <mergeCell ref="N92:N93"/>
    <mergeCell ref="N136:N137"/>
    <mergeCell ref="N180:N181"/>
    <mergeCell ref="N354:N355"/>
    <mergeCell ref="N269:N270"/>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8"/>
  </sheetPr>
  <dimension ref="A1:AC51"/>
  <sheetViews>
    <sheetView rightToLeft="1" view="pageBreakPreview" zoomScale="130" zoomScaleSheetLayoutView="130" workbookViewId="0" topLeftCell="A1">
      <selection activeCell="B4" sqref="B4"/>
    </sheetView>
  </sheetViews>
  <sheetFormatPr defaultColWidth="11.421875" defaultRowHeight="12.75"/>
  <cols>
    <col min="1" max="1" width="3.28125" style="25" customWidth="1"/>
    <col min="2" max="2" width="9.00390625" style="25" customWidth="1"/>
    <col min="3" max="3" width="10.140625" style="25" customWidth="1"/>
    <col min="4" max="4" width="4.140625" style="25" customWidth="1"/>
    <col min="5" max="5" width="5.7109375" style="25" customWidth="1"/>
    <col min="6" max="6" width="3.00390625" style="25" customWidth="1"/>
    <col min="7" max="7" width="5.7109375" style="25" customWidth="1"/>
    <col min="8" max="8" width="2.7109375" style="25" customWidth="1"/>
    <col min="9" max="9" width="5.8515625" style="25" customWidth="1"/>
    <col min="10" max="10" width="2.8515625" style="25" customWidth="1"/>
    <col min="11" max="11" width="6.421875" style="25" customWidth="1"/>
    <col min="12" max="12" width="3.00390625" style="25" customWidth="1"/>
    <col min="13" max="13" width="5.7109375" style="25" customWidth="1"/>
    <col min="14" max="14" width="2.8515625" style="25" customWidth="1"/>
    <col min="15" max="15" width="5.8515625" style="25" customWidth="1"/>
    <col min="16" max="16" width="2.8515625" style="25" customWidth="1"/>
    <col min="17" max="17" width="5.8515625" style="25" customWidth="1"/>
    <col min="18" max="18" width="2.7109375" style="25" customWidth="1"/>
    <col min="19" max="19" width="6.00390625" style="25" customWidth="1"/>
    <col min="20" max="20" width="3.00390625" style="25" customWidth="1"/>
    <col min="21" max="21" width="5.7109375" style="25" customWidth="1"/>
    <col min="22" max="22" width="2.7109375" style="25" customWidth="1"/>
    <col min="23" max="23" width="5.7109375" style="25" customWidth="1"/>
    <col min="24" max="24" width="2.7109375" style="25" customWidth="1"/>
    <col min="25" max="25" width="5.7109375" style="25" customWidth="1"/>
    <col min="26" max="26" width="2.7109375" style="25" customWidth="1"/>
    <col min="27" max="27" width="5.7109375" style="25" customWidth="1"/>
    <col min="28" max="28" width="3.28125" style="25" customWidth="1"/>
    <col min="29" max="29" width="10.28125" style="25" customWidth="1"/>
    <col min="30" max="16384" width="11.421875" style="25" customWidth="1"/>
  </cols>
  <sheetData>
    <row r="1" spans="1:29" ht="15" customHeight="1">
      <c r="A1" s="62" t="s">
        <v>19</v>
      </c>
      <c r="B1" s="19"/>
      <c r="C1" s="19"/>
      <c r="X1" s="62" t="s">
        <v>518</v>
      </c>
      <c r="Y1" s="61"/>
      <c r="Z1" s="61"/>
      <c r="AA1" s="61"/>
      <c r="AB1" s="61"/>
      <c r="AC1" s="61"/>
    </row>
    <row r="2" spans="1:29" ht="15" customHeight="1">
      <c r="A2" s="62" t="s">
        <v>20</v>
      </c>
      <c r="B2" s="19"/>
      <c r="C2" s="19"/>
      <c r="X2" s="62" t="s">
        <v>28</v>
      </c>
      <c r="Y2" s="61"/>
      <c r="Z2" s="61"/>
      <c r="AA2" s="61"/>
      <c r="AB2" s="61"/>
      <c r="AC2" s="61"/>
    </row>
    <row r="3" spans="1:29" ht="15" customHeight="1">
      <c r="A3" s="62" t="s">
        <v>4</v>
      </c>
      <c r="B3" s="19"/>
      <c r="C3" s="19"/>
      <c r="X3" s="62" t="s">
        <v>21</v>
      </c>
      <c r="Y3" s="61"/>
      <c r="Z3" s="61"/>
      <c r="AA3" s="61"/>
      <c r="AB3" s="61"/>
      <c r="AC3" s="61"/>
    </row>
    <row r="4" spans="2:29" ht="16.5" customHeight="1">
      <c r="B4" s="19" t="s">
        <v>527</v>
      </c>
      <c r="C4" s="4"/>
      <c r="K4" s="10" t="s">
        <v>115</v>
      </c>
      <c r="Y4" s="62" t="s">
        <v>27</v>
      </c>
      <c r="AC4" s="4" t="s">
        <v>196</v>
      </c>
    </row>
    <row r="5" spans="1:29" ht="12" customHeight="1">
      <c r="A5" s="59"/>
      <c r="B5" s="702" t="s">
        <v>163</v>
      </c>
      <c r="C5" s="702" t="s">
        <v>164</v>
      </c>
      <c r="D5" s="705" t="s">
        <v>84</v>
      </c>
      <c r="E5" s="666" t="s">
        <v>166</v>
      </c>
      <c r="F5" s="34"/>
      <c r="G5" s="34"/>
      <c r="H5" s="34"/>
      <c r="I5" s="34"/>
      <c r="J5" s="34"/>
      <c r="K5" s="24"/>
      <c r="L5" s="711" t="s">
        <v>80</v>
      </c>
      <c r="M5" s="104"/>
      <c r="N5" s="105" t="s">
        <v>38</v>
      </c>
      <c r="O5" s="106"/>
      <c r="P5" s="106"/>
      <c r="Q5" s="24"/>
      <c r="R5" s="711" t="s">
        <v>80</v>
      </c>
      <c r="S5" s="34" t="s">
        <v>37</v>
      </c>
      <c r="T5" s="102"/>
      <c r="U5" s="34"/>
      <c r="V5" s="711" t="s">
        <v>80</v>
      </c>
      <c r="W5" s="104"/>
      <c r="X5" s="106" t="s">
        <v>90</v>
      </c>
      <c r="Y5" s="107"/>
      <c r="Z5" s="711" t="s">
        <v>80</v>
      </c>
      <c r="AA5" s="64" t="s">
        <v>22</v>
      </c>
      <c r="AB5" s="716" t="s">
        <v>80</v>
      </c>
      <c r="AC5" s="708" t="s">
        <v>24</v>
      </c>
    </row>
    <row r="6" spans="1:29" ht="10.5" customHeight="1">
      <c r="A6" s="26" t="s">
        <v>9</v>
      </c>
      <c r="B6" s="703"/>
      <c r="C6" s="703"/>
      <c r="D6" s="706"/>
      <c r="E6" s="669" t="s">
        <v>487</v>
      </c>
      <c r="F6" s="35"/>
      <c r="G6" s="669" t="s">
        <v>499</v>
      </c>
      <c r="H6" s="98"/>
      <c r="I6" s="669" t="s">
        <v>500</v>
      </c>
      <c r="J6" s="35"/>
      <c r="K6" s="79"/>
      <c r="L6" s="714"/>
      <c r="M6" s="669" t="s">
        <v>501</v>
      </c>
      <c r="N6" s="27"/>
      <c r="O6" s="669" t="s">
        <v>480</v>
      </c>
      <c r="P6" s="80"/>
      <c r="Q6" s="100"/>
      <c r="R6" s="714"/>
      <c r="S6" s="669" t="s">
        <v>502</v>
      </c>
      <c r="T6" s="13"/>
      <c r="U6" s="14"/>
      <c r="V6" s="712"/>
      <c r="W6" s="97" t="s">
        <v>503</v>
      </c>
      <c r="X6" s="21"/>
      <c r="Y6" s="16"/>
      <c r="Z6" s="712"/>
      <c r="AA6" s="58" t="s">
        <v>25</v>
      </c>
      <c r="AB6" s="717"/>
      <c r="AC6" s="709"/>
    </row>
    <row r="7" spans="1:29" ht="10.5" customHeight="1">
      <c r="A7" s="15"/>
      <c r="B7" s="703"/>
      <c r="C7" s="703"/>
      <c r="D7" s="706"/>
      <c r="E7" s="675" t="s">
        <v>504</v>
      </c>
      <c r="F7" s="108"/>
      <c r="G7" s="676" t="s">
        <v>505</v>
      </c>
      <c r="H7" s="36"/>
      <c r="I7" s="677" t="s">
        <v>506</v>
      </c>
      <c r="J7" s="128"/>
      <c r="K7" s="101" t="s">
        <v>23</v>
      </c>
      <c r="L7" s="715"/>
      <c r="M7" s="81" t="s">
        <v>507</v>
      </c>
      <c r="N7" s="36"/>
      <c r="O7" s="80" t="s">
        <v>481</v>
      </c>
      <c r="P7" s="80"/>
      <c r="Q7" s="100" t="s">
        <v>23</v>
      </c>
      <c r="R7" s="715"/>
      <c r="S7" s="81" t="s">
        <v>508</v>
      </c>
      <c r="T7" s="17"/>
      <c r="U7" s="100" t="s">
        <v>23</v>
      </c>
      <c r="V7" s="713"/>
      <c r="W7" s="678" t="s">
        <v>190</v>
      </c>
      <c r="X7" s="21"/>
      <c r="Y7" s="100" t="s">
        <v>23</v>
      </c>
      <c r="Z7" s="713"/>
      <c r="AA7" s="60"/>
      <c r="AB7" s="718"/>
      <c r="AC7" s="709"/>
    </row>
    <row r="8" spans="1:29" ht="9.75" customHeight="1">
      <c r="A8" s="15"/>
      <c r="B8" s="703"/>
      <c r="C8" s="703"/>
      <c r="D8" s="706"/>
      <c r="E8" s="37" t="s">
        <v>81</v>
      </c>
      <c r="F8" s="29" t="s">
        <v>26</v>
      </c>
      <c r="G8" s="37" t="s">
        <v>81</v>
      </c>
      <c r="H8" s="29" t="s">
        <v>26</v>
      </c>
      <c r="I8" s="37" t="s">
        <v>81</v>
      </c>
      <c r="J8" s="29" t="s">
        <v>26</v>
      </c>
      <c r="K8" s="37" t="s">
        <v>81</v>
      </c>
      <c r="L8" s="44" t="s">
        <v>26</v>
      </c>
      <c r="M8" s="48" t="s">
        <v>81</v>
      </c>
      <c r="N8" s="28" t="s">
        <v>26</v>
      </c>
      <c r="O8" s="37" t="s">
        <v>81</v>
      </c>
      <c r="P8" s="29" t="s">
        <v>26</v>
      </c>
      <c r="Q8" s="37" t="s">
        <v>81</v>
      </c>
      <c r="R8" s="44" t="s">
        <v>26</v>
      </c>
      <c r="S8" s="48" t="s">
        <v>81</v>
      </c>
      <c r="T8" s="28" t="s">
        <v>26</v>
      </c>
      <c r="U8" s="37" t="s">
        <v>81</v>
      </c>
      <c r="V8" s="44" t="s">
        <v>26</v>
      </c>
      <c r="W8" s="37" t="s">
        <v>81</v>
      </c>
      <c r="X8" s="29" t="s">
        <v>26</v>
      </c>
      <c r="Y8" s="37" t="s">
        <v>81</v>
      </c>
      <c r="Z8" s="44" t="s">
        <v>26</v>
      </c>
      <c r="AA8" s="37" t="s">
        <v>81</v>
      </c>
      <c r="AB8" s="44" t="s">
        <v>26</v>
      </c>
      <c r="AC8" s="709"/>
    </row>
    <row r="9" spans="1:29" ht="9.75" customHeight="1">
      <c r="A9" s="28"/>
      <c r="B9" s="704"/>
      <c r="C9" s="704"/>
      <c r="D9" s="707"/>
      <c r="E9" s="38">
        <v>3</v>
      </c>
      <c r="F9" s="38">
        <v>7</v>
      </c>
      <c r="G9" s="38">
        <v>2</v>
      </c>
      <c r="H9" s="38">
        <v>6</v>
      </c>
      <c r="I9" s="38">
        <v>2</v>
      </c>
      <c r="J9" s="38">
        <v>5</v>
      </c>
      <c r="K9" s="38">
        <v>7</v>
      </c>
      <c r="L9" s="666">
        <v>18</v>
      </c>
      <c r="M9" s="38">
        <v>2</v>
      </c>
      <c r="N9" s="38">
        <v>5</v>
      </c>
      <c r="O9" s="38">
        <v>2</v>
      </c>
      <c r="P9" s="38">
        <v>4</v>
      </c>
      <c r="Q9" s="38">
        <v>4</v>
      </c>
      <c r="R9" s="666">
        <v>9</v>
      </c>
      <c r="S9" s="38">
        <v>2</v>
      </c>
      <c r="T9" s="38">
        <v>2</v>
      </c>
      <c r="U9" s="38">
        <f>S9</f>
        <v>2</v>
      </c>
      <c r="V9" s="666">
        <f>T9</f>
        <v>2</v>
      </c>
      <c r="W9" s="38">
        <v>1</v>
      </c>
      <c r="X9" s="38">
        <v>1</v>
      </c>
      <c r="Y9" s="38">
        <f>W9</f>
        <v>1</v>
      </c>
      <c r="Z9" s="666">
        <f>X9</f>
        <v>1</v>
      </c>
      <c r="AA9" s="38">
        <f>Y9+U9+Q9+K9</f>
        <v>14</v>
      </c>
      <c r="AB9" s="85">
        <f>Z9+V9+R9+L9</f>
        <v>30</v>
      </c>
      <c r="AC9" s="710"/>
    </row>
    <row r="10" spans="1:29" ht="12.75" customHeight="1">
      <c r="A10" s="47">
        <v>1</v>
      </c>
      <c r="B10" s="298" t="str">
        <f>IF('كشف النقاط'!B8&gt;0,'كشف النقاط'!B8," ")</f>
        <v>الحاج </v>
      </c>
      <c r="C10" s="298" t="str">
        <f>IF('كشف النقاط'!C8&gt;0,'كشف النقاط'!C8," ")</f>
        <v>مروة</v>
      </c>
      <c r="D10" s="244" t="str">
        <f>IF('كشف النقاط'!D8&gt;0,'كشف النقاط'!D8," ")</f>
        <v> </v>
      </c>
      <c r="E10" s="39">
        <f>'كشف النقاط'!I8</f>
        <v>48.75</v>
      </c>
      <c r="F10" s="40">
        <f>IF(E10&lt;30,0,7)</f>
        <v>7</v>
      </c>
      <c r="G10" s="39">
        <f>'كشف النقاط'!I51</f>
        <v>37.5</v>
      </c>
      <c r="H10" s="40">
        <f>IF(G10&lt;20,0,6)</f>
        <v>6</v>
      </c>
      <c r="I10" s="39">
        <f>'كشف النقاط'!I94</f>
        <v>31</v>
      </c>
      <c r="J10" s="40">
        <f>IF(I10&lt;20,0,5)</f>
        <v>5</v>
      </c>
      <c r="K10" s="39">
        <f>(E10+G10+I10)/7</f>
        <v>16.75</v>
      </c>
      <c r="L10" s="45">
        <f>IF(K10&lt;10,J10+H10+F10,18)</f>
        <v>18</v>
      </c>
      <c r="M10" s="39">
        <f>'كشف النقاط'!I138</f>
        <v>35.4</v>
      </c>
      <c r="N10" s="40">
        <f>IF(M10&lt;20,0,5)</f>
        <v>5</v>
      </c>
      <c r="O10" s="39">
        <f>'كشف النقاط'!I182</f>
        <v>23.5</v>
      </c>
      <c r="P10" s="40">
        <f>IF(O10&lt;20,0,4)</f>
        <v>4</v>
      </c>
      <c r="Q10" s="39">
        <f>(M10+O10)/4</f>
        <v>14.725</v>
      </c>
      <c r="R10" s="41">
        <f>IF(Q10&lt;10,P10+N10,9)</f>
        <v>9</v>
      </c>
      <c r="S10" s="42">
        <f>'كشف النقاط'!I226</f>
        <v>29.5</v>
      </c>
      <c r="T10" s="40">
        <f>IF(S10&lt;20,0,2)</f>
        <v>2</v>
      </c>
      <c r="U10" s="39">
        <f>S10/2</f>
        <v>14.75</v>
      </c>
      <c r="V10" s="45">
        <f>IF(U10&lt;10,0,2)</f>
        <v>2</v>
      </c>
      <c r="W10" s="39">
        <f>'كشف النقاط'!I271</f>
        <v>12.75</v>
      </c>
      <c r="X10" s="40">
        <f>IF(W10&lt;10,0,1)</f>
        <v>1</v>
      </c>
      <c r="Y10" s="39">
        <f>W10</f>
        <v>12.75</v>
      </c>
      <c r="Z10" s="109">
        <f>X10</f>
        <v>1</v>
      </c>
      <c r="AA10" s="39">
        <f>(E10+G10+I10+M10+O10+S10+W10)/14</f>
        <v>15.6</v>
      </c>
      <c r="AB10" s="46">
        <f>IF(AA10&lt;10,Z10+V10+R10+L10,30)</f>
        <v>30</v>
      </c>
      <c r="AC10" s="23" t="str">
        <f>IF('كشف النقاط'!H8+'كشف النقاط'!H51+'كشف النقاط'!H94+'كشف النقاط'!H138+'كشف النقاط'!H182+'كشف النقاط'!H226+'كشف النقاط'!H271&gt;0,"إنقاد"," ")</f>
        <v> </v>
      </c>
    </row>
    <row r="11" spans="1:29" ht="12.75" customHeight="1">
      <c r="A11" s="47">
        <f>1+A10</f>
        <v>2</v>
      </c>
      <c r="B11" s="298" t="str">
        <f>IF('كشف النقاط'!B9&gt;0,'كشف النقاط'!B9," ")</f>
        <v>العياشي </v>
      </c>
      <c r="C11" s="298" t="str">
        <f>IF('كشف النقاط'!C9&gt;0,'كشف النقاط'!C9," ")</f>
        <v>نوار</v>
      </c>
      <c r="D11" s="244" t="str">
        <f>IF('كشف النقاط'!D9&gt;0,'كشف النقاط'!D9," ")</f>
        <v> </v>
      </c>
      <c r="E11" s="39">
        <f>'كشف النقاط'!I9</f>
        <v>17.25</v>
      </c>
      <c r="F11" s="40">
        <f aca="true" t="shared" si="0" ref="F11:F41">IF(E11&lt;30,0,7)</f>
        <v>0</v>
      </c>
      <c r="G11" s="39">
        <f>'كشف النقاط'!I52</f>
        <v>10.5</v>
      </c>
      <c r="H11" s="40">
        <f aca="true" t="shared" si="1" ref="H11:H41">IF(G11&lt;20,0,6)</f>
        <v>0</v>
      </c>
      <c r="I11" s="39">
        <f>'كشف النقاط'!I95</f>
        <v>12</v>
      </c>
      <c r="J11" s="40">
        <f aca="true" t="shared" si="2" ref="J11:J41">IF(I11&lt;20,0,5)</f>
        <v>0</v>
      </c>
      <c r="K11" s="39">
        <f aca="true" t="shared" si="3" ref="K11:K41">(E11+G11+I11)/7</f>
        <v>5.678571428571429</v>
      </c>
      <c r="L11" s="45">
        <f aca="true" t="shared" si="4" ref="L11:L41">IF(K11&lt;10,J11+H11+F11,18)</f>
        <v>0</v>
      </c>
      <c r="M11" s="39">
        <f>'كشف النقاط'!I139</f>
        <v>12.4</v>
      </c>
      <c r="N11" s="40">
        <f aca="true" t="shared" si="5" ref="N11:N41">IF(M11&lt;20,0,5)</f>
        <v>0</v>
      </c>
      <c r="O11" s="39">
        <f>'كشف النقاط'!I183</f>
        <v>15</v>
      </c>
      <c r="P11" s="40">
        <f aca="true" t="shared" si="6" ref="P11:P41">IF(O11&lt;20,0,4)</f>
        <v>0</v>
      </c>
      <c r="Q11" s="39">
        <f aca="true" t="shared" si="7" ref="Q11:Q41">(M11+O11)/4</f>
        <v>6.85</v>
      </c>
      <c r="R11" s="41">
        <f aca="true" t="shared" si="8" ref="R11:R41">IF(Q11&lt;10,P11+N11,9)</f>
        <v>0</v>
      </c>
      <c r="S11" s="42">
        <f>'كشف النقاط'!I227</f>
        <v>12</v>
      </c>
      <c r="T11" s="40">
        <f aca="true" t="shared" si="9" ref="T11:T41">IF(S11&lt;20,0,2)</f>
        <v>0</v>
      </c>
      <c r="U11" s="39">
        <f aca="true" t="shared" si="10" ref="U11:U41">S11/2</f>
        <v>6</v>
      </c>
      <c r="V11" s="45">
        <f aca="true" t="shared" si="11" ref="V11:V41">IF(U11&lt;10,0,2)</f>
        <v>0</v>
      </c>
      <c r="W11" s="39">
        <f>'كشف النقاط'!I272</f>
        <v>4.75</v>
      </c>
      <c r="X11" s="40">
        <f aca="true" t="shared" si="12" ref="X11:X41">IF(W11&lt;10,0,1)</f>
        <v>0</v>
      </c>
      <c r="Y11" s="39">
        <f aca="true" t="shared" si="13" ref="Y11:Y41">W11</f>
        <v>4.75</v>
      </c>
      <c r="Z11" s="109">
        <f aca="true" t="shared" si="14" ref="Z11:Z41">X11</f>
        <v>0</v>
      </c>
      <c r="AA11" s="39">
        <f aca="true" t="shared" si="15" ref="AA11:AA41">(E11+G11+I11+M11+O11+S11+W11)/14</f>
        <v>5.992857142857143</v>
      </c>
      <c r="AB11" s="46">
        <f aca="true" t="shared" si="16" ref="AB11:AB41">IF(AA11&lt;10,Z11+V11+R11+L11,30)</f>
        <v>0</v>
      </c>
      <c r="AC11" s="23" t="str">
        <f>IF('كشف النقاط'!H9+'كشف النقاط'!H52+'كشف النقاط'!H95+'كشف النقاط'!H139+'كشف النقاط'!H183+'كشف النقاط'!H227+'كشف النقاط'!H272&gt;0,"إنقاد"," ")</f>
        <v> </v>
      </c>
    </row>
    <row r="12" spans="1:29" ht="12.75" customHeight="1">
      <c r="A12" s="47">
        <f aca="true" t="shared" si="17" ref="A12:A30">1+A11</f>
        <v>3</v>
      </c>
      <c r="B12" s="298" t="str">
        <f>IF('كشف النقاط'!B10&gt;0,'كشف النقاط'!B10," ")</f>
        <v>باطح </v>
      </c>
      <c r="C12" s="298" t="str">
        <f>IF('كشف النقاط'!C10&gt;0,'كشف النقاط'!C10," ")</f>
        <v>محمد لمين</v>
      </c>
      <c r="D12" s="244" t="str">
        <f>IF('كشف النقاط'!D10&gt;0,'كشف النقاط'!D10," ")</f>
        <v> </v>
      </c>
      <c r="E12" s="39">
        <f>'كشف النقاط'!I10</f>
        <v>47.25</v>
      </c>
      <c r="F12" s="40">
        <f t="shared" si="0"/>
        <v>7</v>
      </c>
      <c r="G12" s="39">
        <f>'كشف النقاط'!I53</f>
        <v>23</v>
      </c>
      <c r="H12" s="40">
        <f t="shared" si="1"/>
        <v>6</v>
      </c>
      <c r="I12" s="39">
        <f>'كشف النقاط'!I96</f>
        <v>30</v>
      </c>
      <c r="J12" s="40">
        <f t="shared" si="2"/>
        <v>5</v>
      </c>
      <c r="K12" s="39">
        <f t="shared" si="3"/>
        <v>14.321428571428571</v>
      </c>
      <c r="L12" s="45">
        <f t="shared" si="4"/>
        <v>18</v>
      </c>
      <c r="M12" s="39">
        <f>'كشف النقاط'!I140</f>
        <v>21.4</v>
      </c>
      <c r="N12" s="40">
        <f t="shared" si="5"/>
        <v>5</v>
      </c>
      <c r="O12" s="39">
        <f>'كشف النقاط'!I184</f>
        <v>24.5</v>
      </c>
      <c r="P12" s="40">
        <f t="shared" si="6"/>
        <v>4</v>
      </c>
      <c r="Q12" s="39">
        <f t="shared" si="7"/>
        <v>11.475</v>
      </c>
      <c r="R12" s="41">
        <f t="shared" si="8"/>
        <v>9</v>
      </c>
      <c r="S12" s="42">
        <f>'كشف النقاط'!I228</f>
        <v>24</v>
      </c>
      <c r="T12" s="40">
        <f t="shared" si="9"/>
        <v>2</v>
      </c>
      <c r="U12" s="39">
        <f t="shared" si="10"/>
        <v>12</v>
      </c>
      <c r="V12" s="45">
        <f t="shared" si="11"/>
        <v>2</v>
      </c>
      <c r="W12" s="39">
        <f>'كشف النقاط'!I273</f>
        <v>10.75</v>
      </c>
      <c r="X12" s="40">
        <f t="shared" si="12"/>
        <v>1</v>
      </c>
      <c r="Y12" s="39">
        <f t="shared" si="13"/>
        <v>10.75</v>
      </c>
      <c r="Z12" s="109">
        <f t="shared" si="14"/>
        <v>1</v>
      </c>
      <c r="AA12" s="39">
        <f t="shared" si="15"/>
        <v>12.921428571428573</v>
      </c>
      <c r="AB12" s="46">
        <f t="shared" si="16"/>
        <v>30</v>
      </c>
      <c r="AC12" s="23" t="str">
        <f>IF('كشف النقاط'!H10+'كشف النقاط'!H53+'كشف النقاط'!H96+'كشف النقاط'!H140+'كشف النقاط'!H184+'كشف النقاط'!H228+'كشف النقاط'!H273&gt;0,"إنقاد"," ")</f>
        <v> </v>
      </c>
    </row>
    <row r="13" spans="1:29" ht="12.75" customHeight="1">
      <c r="A13" s="47">
        <f t="shared" si="17"/>
        <v>4</v>
      </c>
      <c r="B13" s="298" t="str">
        <f>IF('كشف النقاط'!B11&gt;0,'كشف النقاط'!B11," ")</f>
        <v>بوساحة </v>
      </c>
      <c r="C13" s="298" t="str">
        <f>IF('كشف النقاط'!C11&gt;0,'كشف النقاط'!C11," ")</f>
        <v>حسام الدين</v>
      </c>
      <c r="D13" s="244" t="str">
        <f>IF('كشف النقاط'!D11&gt;0,'كشف النقاط'!D11," ")</f>
        <v> </v>
      </c>
      <c r="E13" s="39">
        <f>'كشف النقاط'!I11</f>
        <v>32.25</v>
      </c>
      <c r="F13" s="40">
        <f t="shared" si="0"/>
        <v>7</v>
      </c>
      <c r="G13" s="39">
        <f>'كشف النقاط'!I54</f>
        <v>11.5</v>
      </c>
      <c r="H13" s="40">
        <f t="shared" si="1"/>
        <v>0</v>
      </c>
      <c r="I13" s="39">
        <f>'كشف النقاط'!I97</f>
        <v>16</v>
      </c>
      <c r="J13" s="40">
        <f t="shared" si="2"/>
        <v>0</v>
      </c>
      <c r="K13" s="39">
        <f t="shared" si="3"/>
        <v>8.535714285714286</v>
      </c>
      <c r="L13" s="45">
        <f t="shared" si="4"/>
        <v>7</v>
      </c>
      <c r="M13" s="39">
        <f>'كشف النقاط'!I141</f>
        <v>24</v>
      </c>
      <c r="N13" s="40">
        <f t="shared" si="5"/>
        <v>5</v>
      </c>
      <c r="O13" s="39">
        <f>'كشف النقاط'!I185</f>
        <v>25.5</v>
      </c>
      <c r="P13" s="40">
        <f t="shared" si="6"/>
        <v>4</v>
      </c>
      <c r="Q13" s="39">
        <f t="shared" si="7"/>
        <v>12.375</v>
      </c>
      <c r="R13" s="41">
        <f t="shared" si="8"/>
        <v>9</v>
      </c>
      <c r="S13" s="42">
        <f>'كشف النقاط'!I229</f>
        <v>29</v>
      </c>
      <c r="T13" s="40">
        <f t="shared" si="9"/>
        <v>2</v>
      </c>
      <c r="U13" s="39">
        <f t="shared" si="10"/>
        <v>14.5</v>
      </c>
      <c r="V13" s="45">
        <f t="shared" si="11"/>
        <v>2</v>
      </c>
      <c r="W13" s="39">
        <f>'كشف النقاط'!I274</f>
        <v>7.75</v>
      </c>
      <c r="X13" s="40">
        <f t="shared" si="12"/>
        <v>0</v>
      </c>
      <c r="Y13" s="39">
        <f t="shared" si="13"/>
        <v>7.75</v>
      </c>
      <c r="Z13" s="109">
        <f t="shared" si="14"/>
        <v>0</v>
      </c>
      <c r="AA13" s="39">
        <f t="shared" si="15"/>
        <v>10.428571428571429</v>
      </c>
      <c r="AB13" s="46">
        <f t="shared" si="16"/>
        <v>30</v>
      </c>
      <c r="AC13" s="23" t="str">
        <f>IF('كشف النقاط'!H11+'كشف النقاط'!H54+'كشف النقاط'!H97+'كشف النقاط'!H141+'كشف النقاط'!H185+'كشف النقاط'!H229+'كشف النقاط'!H274&gt;0,"إنقاد"," ")</f>
        <v> </v>
      </c>
    </row>
    <row r="14" spans="1:29" ht="12.75" customHeight="1">
      <c r="A14" s="47">
        <f t="shared" si="17"/>
        <v>5</v>
      </c>
      <c r="B14" s="298" t="str">
        <f>IF('كشف النقاط'!B12&gt;0,'كشف النقاط'!B12," ")</f>
        <v>بوسالم </v>
      </c>
      <c r="C14" s="298" t="str">
        <f>IF('كشف النقاط'!C12&gt;0,'كشف النقاط'!C12," ")</f>
        <v>محمد وليد</v>
      </c>
      <c r="D14" s="244" t="str">
        <f>IF('كشف النقاط'!D12&gt;0,'كشف النقاط'!D12," ")</f>
        <v> </v>
      </c>
      <c r="E14" s="39">
        <f>'كشف النقاط'!I12</f>
        <v>40.5</v>
      </c>
      <c r="F14" s="40">
        <f t="shared" si="0"/>
        <v>7</v>
      </c>
      <c r="G14" s="39">
        <f>'كشف النقاط'!I55</f>
        <v>14.5</v>
      </c>
      <c r="H14" s="40">
        <f t="shared" si="1"/>
        <v>0</v>
      </c>
      <c r="I14" s="39">
        <f>'كشف النقاط'!I98</f>
        <v>23.5</v>
      </c>
      <c r="J14" s="40">
        <f t="shared" si="2"/>
        <v>5</v>
      </c>
      <c r="K14" s="39">
        <f t="shared" si="3"/>
        <v>11.214285714285714</v>
      </c>
      <c r="L14" s="45">
        <f t="shared" si="4"/>
        <v>18</v>
      </c>
      <c r="M14" s="39">
        <f>'كشف النقاط'!I142</f>
        <v>22.6</v>
      </c>
      <c r="N14" s="40">
        <f t="shared" si="5"/>
        <v>5</v>
      </c>
      <c r="O14" s="39">
        <f>'كشف النقاط'!I186</f>
        <v>25</v>
      </c>
      <c r="P14" s="40">
        <f t="shared" si="6"/>
        <v>4</v>
      </c>
      <c r="Q14" s="39">
        <f t="shared" si="7"/>
        <v>11.9</v>
      </c>
      <c r="R14" s="41">
        <f t="shared" si="8"/>
        <v>9</v>
      </c>
      <c r="S14" s="42">
        <f>'كشف النقاط'!I230</f>
        <v>21.5</v>
      </c>
      <c r="T14" s="40">
        <f t="shared" si="9"/>
        <v>2</v>
      </c>
      <c r="U14" s="39">
        <f t="shared" si="10"/>
        <v>10.75</v>
      </c>
      <c r="V14" s="45">
        <f t="shared" si="11"/>
        <v>2</v>
      </c>
      <c r="W14" s="39">
        <f>'كشف النقاط'!I275</f>
        <v>5.75</v>
      </c>
      <c r="X14" s="40">
        <f t="shared" si="12"/>
        <v>0</v>
      </c>
      <c r="Y14" s="39">
        <f t="shared" si="13"/>
        <v>5.75</v>
      </c>
      <c r="Z14" s="109">
        <f t="shared" si="14"/>
        <v>0</v>
      </c>
      <c r="AA14" s="39">
        <f t="shared" si="15"/>
        <v>10.953571428571427</v>
      </c>
      <c r="AB14" s="46">
        <f t="shared" si="16"/>
        <v>30</v>
      </c>
      <c r="AC14" s="23" t="str">
        <f>IF('كشف النقاط'!H12+'كشف النقاط'!H55+'كشف النقاط'!H98+'كشف النقاط'!H142+'كشف النقاط'!H186+'كشف النقاط'!H230+'كشف النقاط'!H275&gt;0,"إنقاد"," ")</f>
        <v> </v>
      </c>
    </row>
    <row r="15" spans="1:29" ht="12.75" customHeight="1">
      <c r="A15" s="47">
        <f t="shared" si="17"/>
        <v>6</v>
      </c>
      <c r="B15" s="298" t="str">
        <f>IF('كشف النقاط'!B13&gt;0,'كشف النقاط'!B13," ")</f>
        <v>بوعروج </v>
      </c>
      <c r="C15" s="298" t="str">
        <f>IF('كشف النقاط'!C13&gt;0,'كشف النقاط'!C13," ")</f>
        <v>نسيمة</v>
      </c>
      <c r="D15" s="244" t="str">
        <f>IF('كشف النقاط'!D13&gt;0,'كشف النقاط'!D13," ")</f>
        <v> </v>
      </c>
      <c r="E15" s="39">
        <f>'كشف النقاط'!I13</f>
        <v>40.5</v>
      </c>
      <c r="F15" s="40">
        <f t="shared" si="0"/>
        <v>7</v>
      </c>
      <c r="G15" s="39">
        <f>'كشف النقاط'!I56</f>
        <v>19</v>
      </c>
      <c r="H15" s="40">
        <f t="shared" si="1"/>
        <v>0</v>
      </c>
      <c r="I15" s="39">
        <f>'كشف النقاط'!I99</f>
        <v>17</v>
      </c>
      <c r="J15" s="40">
        <f t="shared" si="2"/>
        <v>0</v>
      </c>
      <c r="K15" s="39">
        <f t="shared" si="3"/>
        <v>10.928571428571429</v>
      </c>
      <c r="L15" s="45">
        <f t="shared" si="4"/>
        <v>18</v>
      </c>
      <c r="M15" s="39">
        <f>'كشف النقاط'!I143</f>
        <v>20.4</v>
      </c>
      <c r="N15" s="40">
        <f t="shared" si="5"/>
        <v>5</v>
      </c>
      <c r="O15" s="39">
        <f>'كشف النقاط'!I187</f>
        <v>21</v>
      </c>
      <c r="P15" s="40">
        <f t="shared" si="6"/>
        <v>4</v>
      </c>
      <c r="Q15" s="39">
        <f t="shared" si="7"/>
        <v>10.35</v>
      </c>
      <c r="R15" s="41">
        <f t="shared" si="8"/>
        <v>9</v>
      </c>
      <c r="S15" s="42">
        <f>'كشف النقاط'!I231</f>
        <v>28</v>
      </c>
      <c r="T15" s="40">
        <f t="shared" si="9"/>
        <v>2</v>
      </c>
      <c r="U15" s="39">
        <f t="shared" si="10"/>
        <v>14</v>
      </c>
      <c r="V15" s="45">
        <f t="shared" si="11"/>
        <v>2</v>
      </c>
      <c r="W15" s="39">
        <f>'كشف النقاط'!I276</f>
        <v>6.5</v>
      </c>
      <c r="X15" s="40">
        <f t="shared" si="12"/>
        <v>0</v>
      </c>
      <c r="Y15" s="39">
        <f t="shared" si="13"/>
        <v>6.5</v>
      </c>
      <c r="Z15" s="109">
        <f t="shared" si="14"/>
        <v>0</v>
      </c>
      <c r="AA15" s="39">
        <f t="shared" si="15"/>
        <v>10.885714285714286</v>
      </c>
      <c r="AB15" s="46">
        <f t="shared" si="16"/>
        <v>30</v>
      </c>
      <c r="AC15" s="23" t="str">
        <f>IF('كشف النقاط'!H13+'كشف النقاط'!H56+'كشف النقاط'!H99+'كشف النقاط'!H143+'كشف النقاط'!H187+'كشف النقاط'!H231+'كشف النقاط'!H276&gt;0,"إنقاد"," ")</f>
        <v> </v>
      </c>
    </row>
    <row r="16" spans="1:29" ht="12.75" customHeight="1">
      <c r="A16" s="47">
        <f t="shared" si="17"/>
        <v>7</v>
      </c>
      <c r="B16" s="298" t="str">
        <f>IF('كشف النقاط'!B14&gt;0,'كشف النقاط'!B14," ")</f>
        <v>بولعيد </v>
      </c>
      <c r="C16" s="298" t="str">
        <f>IF('كشف النقاط'!C14&gt;0,'كشف النقاط'!C14," ")</f>
        <v>مريم</v>
      </c>
      <c r="D16" s="244" t="str">
        <f>IF('كشف النقاط'!D14&gt;0,'كشف النقاط'!D14," ")</f>
        <v> </v>
      </c>
      <c r="E16" s="39">
        <f>'كشف النقاط'!I14</f>
        <v>35.25</v>
      </c>
      <c r="F16" s="40">
        <f t="shared" si="0"/>
        <v>7</v>
      </c>
      <c r="G16" s="39">
        <f>'كشف النقاط'!I57</f>
        <v>12.5</v>
      </c>
      <c r="H16" s="40">
        <f t="shared" si="1"/>
        <v>0</v>
      </c>
      <c r="I16" s="39">
        <f>'كشف النقاط'!I100</f>
        <v>18.5</v>
      </c>
      <c r="J16" s="40">
        <f t="shared" si="2"/>
        <v>0</v>
      </c>
      <c r="K16" s="39">
        <f t="shared" si="3"/>
        <v>9.464285714285714</v>
      </c>
      <c r="L16" s="45">
        <f t="shared" si="4"/>
        <v>7</v>
      </c>
      <c r="M16" s="39">
        <f>'كشف النقاط'!I144</f>
        <v>12</v>
      </c>
      <c r="N16" s="40">
        <f t="shared" si="5"/>
        <v>0</v>
      </c>
      <c r="O16" s="39">
        <f>'كشف النقاط'!I188</f>
        <v>16.5</v>
      </c>
      <c r="P16" s="40">
        <f t="shared" si="6"/>
        <v>0</v>
      </c>
      <c r="Q16" s="39">
        <f t="shared" si="7"/>
        <v>7.125</v>
      </c>
      <c r="R16" s="41">
        <f t="shared" si="8"/>
        <v>0</v>
      </c>
      <c r="S16" s="42">
        <f>'كشف النقاط'!I232</f>
        <v>25.5</v>
      </c>
      <c r="T16" s="40">
        <f t="shared" si="9"/>
        <v>2</v>
      </c>
      <c r="U16" s="39">
        <f t="shared" si="10"/>
        <v>12.75</v>
      </c>
      <c r="V16" s="45">
        <f t="shared" si="11"/>
        <v>2</v>
      </c>
      <c r="W16" s="39">
        <f>'كشف النقاط'!I277</f>
        <v>8</v>
      </c>
      <c r="X16" s="40">
        <f t="shared" si="12"/>
        <v>0</v>
      </c>
      <c r="Y16" s="39">
        <f t="shared" si="13"/>
        <v>8</v>
      </c>
      <c r="Z16" s="109">
        <f t="shared" si="14"/>
        <v>0</v>
      </c>
      <c r="AA16" s="39">
        <f t="shared" si="15"/>
        <v>9.160714285714286</v>
      </c>
      <c r="AB16" s="46">
        <f t="shared" si="16"/>
        <v>9</v>
      </c>
      <c r="AC16" s="23" t="str">
        <f>IF('كشف النقاط'!H14+'كشف النقاط'!H57+'كشف النقاط'!H100+'كشف النقاط'!H144+'كشف النقاط'!H188+'كشف النقاط'!H232+'كشف النقاط'!H277&gt;0,"إنقاد"," ")</f>
        <v> </v>
      </c>
    </row>
    <row r="17" spans="1:29" ht="12.75" customHeight="1">
      <c r="A17" s="47">
        <f t="shared" si="17"/>
        <v>8</v>
      </c>
      <c r="B17" s="298" t="str">
        <f>IF('كشف النقاط'!B15&gt;0,'كشف النقاط'!B15," ")</f>
        <v>خاوة </v>
      </c>
      <c r="C17" s="298" t="str">
        <f>IF('كشف النقاط'!C15&gt;0,'كشف النقاط'!C15," ")</f>
        <v>أسماء</v>
      </c>
      <c r="D17" s="244" t="str">
        <f>IF('كشف النقاط'!D15&gt;0,'كشف النقاط'!D15," ")</f>
        <v> </v>
      </c>
      <c r="E17" s="39">
        <f>'كشف النقاط'!I15</f>
        <v>38.25</v>
      </c>
      <c r="F17" s="40">
        <f t="shared" si="0"/>
        <v>7</v>
      </c>
      <c r="G17" s="39">
        <f>'كشف النقاط'!I58</f>
        <v>16.5</v>
      </c>
      <c r="H17" s="40">
        <f t="shared" si="1"/>
        <v>0</v>
      </c>
      <c r="I17" s="39">
        <f>'كشف النقاط'!I101</f>
        <v>21.5</v>
      </c>
      <c r="J17" s="40">
        <f t="shared" si="2"/>
        <v>5</v>
      </c>
      <c r="K17" s="39">
        <f t="shared" si="3"/>
        <v>10.892857142857142</v>
      </c>
      <c r="L17" s="45">
        <f t="shared" si="4"/>
        <v>18</v>
      </c>
      <c r="M17" s="39">
        <f>'كشف النقاط'!I145</f>
        <v>17</v>
      </c>
      <c r="N17" s="40">
        <f t="shared" si="5"/>
        <v>0</v>
      </c>
      <c r="O17" s="39">
        <f>'كشف النقاط'!I189</f>
        <v>24</v>
      </c>
      <c r="P17" s="40">
        <f t="shared" si="6"/>
        <v>4</v>
      </c>
      <c r="Q17" s="39">
        <f t="shared" si="7"/>
        <v>10.25</v>
      </c>
      <c r="R17" s="41">
        <f t="shared" si="8"/>
        <v>9</v>
      </c>
      <c r="S17" s="42">
        <f>'كشف النقاط'!I233</f>
        <v>28</v>
      </c>
      <c r="T17" s="40">
        <f t="shared" si="9"/>
        <v>2</v>
      </c>
      <c r="U17" s="39">
        <f t="shared" si="10"/>
        <v>14</v>
      </c>
      <c r="V17" s="45">
        <f t="shared" si="11"/>
        <v>2</v>
      </c>
      <c r="W17" s="39">
        <f>'كشف النقاط'!I278</f>
        <v>6</v>
      </c>
      <c r="X17" s="40">
        <f t="shared" si="12"/>
        <v>0</v>
      </c>
      <c r="Y17" s="39">
        <f t="shared" si="13"/>
        <v>6</v>
      </c>
      <c r="Z17" s="109">
        <f t="shared" si="14"/>
        <v>0</v>
      </c>
      <c r="AA17" s="39">
        <f t="shared" si="15"/>
        <v>10.803571428571429</v>
      </c>
      <c r="AB17" s="46">
        <f t="shared" si="16"/>
        <v>30</v>
      </c>
      <c r="AC17" s="23" t="str">
        <f>IF('كشف النقاط'!H15+'كشف النقاط'!H58+'كشف النقاط'!H101+'كشف النقاط'!H145+'كشف النقاط'!H189+'كشف النقاط'!H233+'كشف النقاط'!H278&gt;0,"إنقاد"," ")</f>
        <v> </v>
      </c>
    </row>
    <row r="18" spans="1:29" ht="12.75" customHeight="1">
      <c r="A18" s="47">
        <f t="shared" si="17"/>
        <v>9</v>
      </c>
      <c r="B18" s="298" t="str">
        <f>IF('كشف النقاط'!B16&gt;0,'كشف النقاط'!B16," ")</f>
        <v>زغلاني </v>
      </c>
      <c r="C18" s="298" t="str">
        <f>IF('كشف النقاط'!C16&gt;0,'كشف النقاط'!C16," ")</f>
        <v>ساعد</v>
      </c>
      <c r="D18" s="244" t="str">
        <f>IF('كشف النقاط'!D16&gt;0,'كشف النقاط'!D16," ")</f>
        <v> </v>
      </c>
      <c r="E18" s="39">
        <f>'كشف النقاط'!I16</f>
        <v>34.5</v>
      </c>
      <c r="F18" s="40">
        <f t="shared" si="0"/>
        <v>7</v>
      </c>
      <c r="G18" s="39">
        <f>'كشف النقاط'!I59</f>
        <v>12</v>
      </c>
      <c r="H18" s="40">
        <f t="shared" si="1"/>
        <v>0</v>
      </c>
      <c r="I18" s="39">
        <f>'كشف النقاط'!I102</f>
        <v>20</v>
      </c>
      <c r="J18" s="40">
        <f t="shared" si="2"/>
        <v>5</v>
      </c>
      <c r="K18" s="39">
        <f t="shared" si="3"/>
        <v>9.5</v>
      </c>
      <c r="L18" s="45">
        <f t="shared" si="4"/>
        <v>12</v>
      </c>
      <c r="M18" s="39">
        <f>'كشف النقاط'!I146</f>
        <v>14</v>
      </c>
      <c r="N18" s="40">
        <f t="shared" si="5"/>
        <v>0</v>
      </c>
      <c r="O18" s="39">
        <f>'كشف النقاط'!I190</f>
        <v>24</v>
      </c>
      <c r="P18" s="40">
        <f t="shared" si="6"/>
        <v>4</v>
      </c>
      <c r="Q18" s="39">
        <f t="shared" si="7"/>
        <v>9.5</v>
      </c>
      <c r="R18" s="41">
        <f t="shared" si="8"/>
        <v>4</v>
      </c>
      <c r="S18" s="42">
        <f>'كشف النقاط'!I234</f>
        <v>28.5</v>
      </c>
      <c r="T18" s="40">
        <f t="shared" si="9"/>
        <v>2</v>
      </c>
      <c r="U18" s="39">
        <f t="shared" si="10"/>
        <v>14.25</v>
      </c>
      <c r="V18" s="45">
        <f t="shared" si="11"/>
        <v>2</v>
      </c>
      <c r="W18" s="39">
        <f>'كشف النقاط'!I279</f>
        <v>5</v>
      </c>
      <c r="X18" s="40">
        <f t="shared" si="12"/>
        <v>0</v>
      </c>
      <c r="Y18" s="39">
        <f t="shared" si="13"/>
        <v>5</v>
      </c>
      <c r="Z18" s="109">
        <f t="shared" si="14"/>
        <v>0</v>
      </c>
      <c r="AA18" s="39">
        <f t="shared" si="15"/>
        <v>9.857142857142858</v>
      </c>
      <c r="AB18" s="46">
        <f t="shared" si="16"/>
        <v>18</v>
      </c>
      <c r="AC18" s="23" t="str">
        <f>IF('كشف النقاط'!H16+'كشف النقاط'!H59+'كشف النقاط'!H102+'كشف النقاط'!H146+'كشف النقاط'!H190+'كشف النقاط'!H234+'كشف النقاط'!H279&gt;0,"إنقاد"," ")</f>
        <v> </v>
      </c>
    </row>
    <row r="19" spans="1:29" ht="12.75" customHeight="1">
      <c r="A19" s="47">
        <f t="shared" si="17"/>
        <v>10</v>
      </c>
      <c r="B19" s="298" t="str">
        <f>IF('كشف النقاط'!B17&gt;0,'كشف النقاط'!B17," ")</f>
        <v>زياني </v>
      </c>
      <c r="C19" s="298" t="str">
        <f>IF('كشف النقاط'!C17&gt;0,'كشف النقاط'!C17," ")</f>
        <v>أميرة</v>
      </c>
      <c r="D19" s="244" t="str">
        <f>IF('كشف النقاط'!D17&gt;0,'كشف النقاط'!D17," ")</f>
        <v> </v>
      </c>
      <c r="E19" s="39">
        <f>'كشف النقاط'!I17</f>
        <v>43.5</v>
      </c>
      <c r="F19" s="40">
        <f t="shared" si="0"/>
        <v>7</v>
      </c>
      <c r="G19" s="39">
        <f>'كشف النقاط'!I60</f>
        <v>17</v>
      </c>
      <c r="H19" s="40">
        <f t="shared" si="1"/>
        <v>0</v>
      </c>
      <c r="I19" s="39">
        <f>'كشف النقاط'!I103</f>
        <v>19</v>
      </c>
      <c r="J19" s="40">
        <f t="shared" si="2"/>
        <v>0</v>
      </c>
      <c r="K19" s="39">
        <f t="shared" si="3"/>
        <v>11.357142857142858</v>
      </c>
      <c r="L19" s="45">
        <f t="shared" si="4"/>
        <v>18</v>
      </c>
      <c r="M19" s="39">
        <f>'كشف النقاط'!I147</f>
        <v>16</v>
      </c>
      <c r="N19" s="40">
        <f t="shared" si="5"/>
        <v>0</v>
      </c>
      <c r="O19" s="39">
        <f>'كشف النقاط'!I191</f>
        <v>25</v>
      </c>
      <c r="P19" s="40">
        <f t="shared" si="6"/>
        <v>4</v>
      </c>
      <c r="Q19" s="39">
        <f t="shared" si="7"/>
        <v>10.25</v>
      </c>
      <c r="R19" s="41">
        <f t="shared" si="8"/>
        <v>9</v>
      </c>
      <c r="S19" s="42">
        <f>'كشف النقاط'!I235</f>
        <v>27.5</v>
      </c>
      <c r="T19" s="40">
        <f t="shared" si="9"/>
        <v>2</v>
      </c>
      <c r="U19" s="39">
        <f t="shared" si="10"/>
        <v>13.75</v>
      </c>
      <c r="V19" s="45">
        <f t="shared" si="11"/>
        <v>2</v>
      </c>
      <c r="W19" s="39">
        <f>'كشف النقاط'!I280</f>
        <v>9.25</v>
      </c>
      <c r="X19" s="40">
        <f t="shared" si="12"/>
        <v>0</v>
      </c>
      <c r="Y19" s="39">
        <f t="shared" si="13"/>
        <v>9.25</v>
      </c>
      <c r="Z19" s="109">
        <f t="shared" si="14"/>
        <v>0</v>
      </c>
      <c r="AA19" s="39">
        <f t="shared" si="15"/>
        <v>11.232142857142858</v>
      </c>
      <c r="AB19" s="46">
        <f t="shared" si="16"/>
        <v>30</v>
      </c>
      <c r="AC19" s="23" t="str">
        <f>IF('كشف النقاط'!H17+'كشف النقاط'!H60+'كشف النقاط'!H103+'كشف النقاط'!H147+'كشف النقاط'!H191+'كشف النقاط'!H235+'كشف النقاط'!H280&gt;0,"إنقاد"," ")</f>
        <v> </v>
      </c>
    </row>
    <row r="20" spans="1:29" ht="12.75" customHeight="1">
      <c r="A20" s="47">
        <f t="shared" si="17"/>
        <v>11</v>
      </c>
      <c r="B20" s="298" t="str">
        <f>IF('كشف النقاط'!B18&gt;0,'كشف النقاط'!B18," ")</f>
        <v>شلابي </v>
      </c>
      <c r="C20" s="298" t="str">
        <f>IF('كشف النقاط'!C18&gt;0,'كشف النقاط'!C18," ")</f>
        <v>هاجر</v>
      </c>
      <c r="D20" s="244" t="str">
        <f>IF('كشف النقاط'!D18&gt;0,'كشف النقاط'!D18," ")</f>
        <v> </v>
      </c>
      <c r="E20" s="39">
        <f>'كشف النقاط'!I18</f>
        <v>45</v>
      </c>
      <c r="F20" s="40">
        <f t="shared" si="0"/>
        <v>7</v>
      </c>
      <c r="G20" s="39">
        <f>'كشف النقاط'!I61</f>
        <v>20</v>
      </c>
      <c r="H20" s="40">
        <f t="shared" si="1"/>
        <v>6</v>
      </c>
      <c r="I20" s="39">
        <f>'كشف النقاط'!I104</f>
        <v>21</v>
      </c>
      <c r="J20" s="40">
        <f t="shared" si="2"/>
        <v>5</v>
      </c>
      <c r="K20" s="39">
        <f t="shared" si="3"/>
        <v>12.285714285714286</v>
      </c>
      <c r="L20" s="45">
        <f t="shared" si="4"/>
        <v>18</v>
      </c>
      <c r="M20" s="39">
        <f>'كشف النقاط'!I148</f>
        <v>21.7</v>
      </c>
      <c r="N20" s="40">
        <f t="shared" si="5"/>
        <v>5</v>
      </c>
      <c r="O20" s="39">
        <f>'كشف النقاط'!I192</f>
        <v>19.5</v>
      </c>
      <c r="P20" s="40">
        <f t="shared" si="6"/>
        <v>0</v>
      </c>
      <c r="Q20" s="39">
        <f t="shared" si="7"/>
        <v>10.3</v>
      </c>
      <c r="R20" s="41">
        <f t="shared" si="8"/>
        <v>9</v>
      </c>
      <c r="S20" s="42">
        <f>'كشف النقاط'!I236</f>
        <v>25</v>
      </c>
      <c r="T20" s="40">
        <f t="shared" si="9"/>
        <v>2</v>
      </c>
      <c r="U20" s="39">
        <f t="shared" si="10"/>
        <v>12.5</v>
      </c>
      <c r="V20" s="45">
        <f t="shared" si="11"/>
        <v>2</v>
      </c>
      <c r="W20" s="39">
        <f>'كشف النقاط'!I281</f>
        <v>5</v>
      </c>
      <c r="X20" s="40">
        <f t="shared" si="12"/>
        <v>0</v>
      </c>
      <c r="Y20" s="39">
        <f t="shared" si="13"/>
        <v>5</v>
      </c>
      <c r="Z20" s="109">
        <f t="shared" si="14"/>
        <v>0</v>
      </c>
      <c r="AA20" s="39">
        <f t="shared" si="15"/>
        <v>11.228571428571428</v>
      </c>
      <c r="AB20" s="46">
        <f t="shared" si="16"/>
        <v>30</v>
      </c>
      <c r="AC20" s="23" t="str">
        <f>IF('كشف النقاط'!H18+'كشف النقاط'!H61+'كشف النقاط'!H104+'كشف النقاط'!H148+'كشف النقاط'!H192+'كشف النقاط'!H236+'كشف النقاط'!H281&gt;0,"إنقاد"," ")</f>
        <v> </v>
      </c>
    </row>
    <row r="21" spans="1:29" ht="12.75" customHeight="1">
      <c r="A21" s="47">
        <f t="shared" si="17"/>
        <v>12</v>
      </c>
      <c r="B21" s="298" t="str">
        <f>IF('كشف النقاط'!B19&gt;0,'كشف النقاط'!B19," ")</f>
        <v>صولي </v>
      </c>
      <c r="C21" s="298" t="str">
        <f>IF('كشف النقاط'!C19&gt;0,'كشف النقاط'!C19," ")</f>
        <v>هشام</v>
      </c>
      <c r="D21" s="244" t="str">
        <f>IF('كشف النقاط'!D19&gt;0,'كشف النقاط'!D19," ")</f>
        <v> </v>
      </c>
      <c r="E21" s="39">
        <f>'كشف النقاط'!I19</f>
        <v>42</v>
      </c>
      <c r="F21" s="40">
        <f t="shared" si="0"/>
        <v>7</v>
      </c>
      <c r="G21" s="39">
        <f>'كشف النقاط'!I62</f>
        <v>16</v>
      </c>
      <c r="H21" s="40">
        <f t="shared" si="1"/>
        <v>0</v>
      </c>
      <c r="I21" s="39">
        <f>'كشف النقاط'!I105</f>
        <v>22.5</v>
      </c>
      <c r="J21" s="40">
        <f t="shared" si="2"/>
        <v>5</v>
      </c>
      <c r="K21" s="39">
        <f t="shared" si="3"/>
        <v>11.5</v>
      </c>
      <c r="L21" s="45">
        <f t="shared" si="4"/>
        <v>18</v>
      </c>
      <c r="M21" s="39">
        <f>'كشف النقاط'!I149</f>
        <v>16</v>
      </c>
      <c r="N21" s="40">
        <f t="shared" si="5"/>
        <v>0</v>
      </c>
      <c r="O21" s="39">
        <f>'كشف النقاط'!I193</f>
        <v>21</v>
      </c>
      <c r="P21" s="40">
        <f t="shared" si="6"/>
        <v>4</v>
      </c>
      <c r="Q21" s="39">
        <f t="shared" si="7"/>
        <v>9.25</v>
      </c>
      <c r="R21" s="41">
        <f t="shared" si="8"/>
        <v>4</v>
      </c>
      <c r="S21" s="42">
        <f>'كشف النقاط'!I237</f>
        <v>24.5</v>
      </c>
      <c r="T21" s="40">
        <f t="shared" si="9"/>
        <v>2</v>
      </c>
      <c r="U21" s="39">
        <f t="shared" si="10"/>
        <v>12.25</v>
      </c>
      <c r="V21" s="45">
        <f t="shared" si="11"/>
        <v>2</v>
      </c>
      <c r="W21" s="39">
        <f>'كشف النقاط'!I282</f>
        <v>8</v>
      </c>
      <c r="X21" s="40">
        <f t="shared" si="12"/>
        <v>0</v>
      </c>
      <c r="Y21" s="39">
        <f t="shared" si="13"/>
        <v>8</v>
      </c>
      <c r="Z21" s="109">
        <f t="shared" si="14"/>
        <v>0</v>
      </c>
      <c r="AA21" s="39">
        <f t="shared" si="15"/>
        <v>10.714285714285714</v>
      </c>
      <c r="AB21" s="46">
        <f t="shared" si="16"/>
        <v>30</v>
      </c>
      <c r="AC21" s="23" t="str">
        <f>IF('كشف النقاط'!H19+'كشف النقاط'!H62+'كشف النقاط'!H105+'كشف النقاط'!H149+'كشف النقاط'!H193+'كشف النقاط'!H237+'كشف النقاط'!H282&gt;0,"إنقاد"," ")</f>
        <v> </v>
      </c>
    </row>
    <row r="22" spans="1:29" ht="12.75" customHeight="1">
      <c r="A22" s="47">
        <f t="shared" si="17"/>
        <v>13</v>
      </c>
      <c r="B22" s="298" t="str">
        <f>IF('كشف النقاط'!B20&gt;0,'كشف النقاط'!B20," ")</f>
        <v>عطيل</v>
      </c>
      <c r="C22" s="298" t="str">
        <f>IF('كشف النقاط'!C20&gt;0,'كشف النقاط'!C20," ")</f>
        <v>آسيا</v>
      </c>
      <c r="D22" s="244" t="str">
        <f>IF('كشف النقاط'!D20&gt;0,'كشف النقاط'!D20," ")</f>
        <v> </v>
      </c>
      <c r="E22" s="39">
        <f>'كشف النقاط'!I20</f>
        <v>49.5</v>
      </c>
      <c r="F22" s="40">
        <f t="shared" si="0"/>
        <v>7</v>
      </c>
      <c r="G22" s="39">
        <f>'كشف النقاط'!I63</f>
        <v>31</v>
      </c>
      <c r="H22" s="40">
        <f t="shared" si="1"/>
        <v>6</v>
      </c>
      <c r="I22" s="39">
        <f>'كشف النقاط'!I106</f>
        <v>32</v>
      </c>
      <c r="J22" s="40">
        <f t="shared" si="2"/>
        <v>5</v>
      </c>
      <c r="K22" s="39">
        <f t="shared" si="3"/>
        <v>16.071428571428573</v>
      </c>
      <c r="L22" s="45">
        <f t="shared" si="4"/>
        <v>18</v>
      </c>
      <c r="M22" s="39">
        <f>'كشف النقاط'!I150</f>
        <v>35.4</v>
      </c>
      <c r="N22" s="40">
        <f t="shared" si="5"/>
        <v>5</v>
      </c>
      <c r="O22" s="39">
        <f>'كشف النقاط'!I194</f>
        <v>27.5</v>
      </c>
      <c r="P22" s="40">
        <f t="shared" si="6"/>
        <v>4</v>
      </c>
      <c r="Q22" s="39">
        <f t="shared" si="7"/>
        <v>15.725</v>
      </c>
      <c r="R22" s="41">
        <f t="shared" si="8"/>
        <v>9</v>
      </c>
      <c r="S22" s="42">
        <f>'كشف النقاط'!I238</f>
        <v>28.5</v>
      </c>
      <c r="T22" s="40">
        <f t="shared" si="9"/>
        <v>2</v>
      </c>
      <c r="U22" s="39">
        <f t="shared" si="10"/>
        <v>14.25</v>
      </c>
      <c r="V22" s="45">
        <f t="shared" si="11"/>
        <v>2</v>
      </c>
      <c r="W22" s="39">
        <f>'كشف النقاط'!I283</f>
        <v>13.25</v>
      </c>
      <c r="X22" s="40">
        <f t="shared" si="12"/>
        <v>1</v>
      </c>
      <c r="Y22" s="39">
        <f t="shared" si="13"/>
        <v>13.25</v>
      </c>
      <c r="Z22" s="109">
        <f t="shared" si="14"/>
        <v>1</v>
      </c>
      <c r="AA22" s="39">
        <f t="shared" si="15"/>
        <v>15.510714285714286</v>
      </c>
      <c r="AB22" s="46">
        <f t="shared" si="16"/>
        <v>30</v>
      </c>
      <c r="AC22" s="23" t="str">
        <f>IF('كشف النقاط'!H20+'كشف النقاط'!H63+'كشف النقاط'!H106+'كشف النقاط'!H150+'كشف النقاط'!H194+'كشف النقاط'!H238+'كشف النقاط'!H283&gt;0,"إنقاد"," ")</f>
        <v> </v>
      </c>
    </row>
    <row r="23" spans="1:29" ht="12.75" customHeight="1">
      <c r="A23" s="47">
        <f t="shared" si="17"/>
        <v>14</v>
      </c>
      <c r="B23" s="298" t="str">
        <f>IF('كشف النقاط'!B21&gt;0,'كشف النقاط'!B21," ")</f>
        <v>عيدود </v>
      </c>
      <c r="C23" s="298" t="str">
        <f>IF('كشف النقاط'!C21&gt;0,'كشف النقاط'!C21," ")</f>
        <v>صبرينة</v>
      </c>
      <c r="D23" s="244" t="str">
        <f>IF('كشف النقاط'!D21&gt;0,'كشف النقاط'!D21," ")</f>
        <v> </v>
      </c>
      <c r="E23" s="39">
        <f>'كشف النقاط'!I21</f>
        <v>38.25</v>
      </c>
      <c r="F23" s="40">
        <f t="shared" si="0"/>
        <v>7</v>
      </c>
      <c r="G23" s="39">
        <f>'كشف النقاط'!I64</f>
        <v>12</v>
      </c>
      <c r="H23" s="40">
        <f t="shared" si="1"/>
        <v>0</v>
      </c>
      <c r="I23" s="39">
        <f>'كشف النقاط'!I107</f>
        <v>15</v>
      </c>
      <c r="J23" s="40">
        <f t="shared" si="2"/>
        <v>0</v>
      </c>
      <c r="K23" s="39">
        <f t="shared" si="3"/>
        <v>9.321428571428571</v>
      </c>
      <c r="L23" s="45">
        <f t="shared" si="4"/>
        <v>7</v>
      </c>
      <c r="M23" s="39">
        <f>'كشف النقاط'!I151</f>
        <v>16.4</v>
      </c>
      <c r="N23" s="40">
        <f t="shared" si="5"/>
        <v>0</v>
      </c>
      <c r="O23" s="39">
        <f>'كشف النقاط'!I195</f>
        <v>22</v>
      </c>
      <c r="P23" s="40">
        <f t="shared" si="6"/>
        <v>4</v>
      </c>
      <c r="Q23" s="39">
        <f t="shared" si="7"/>
        <v>9.6</v>
      </c>
      <c r="R23" s="41">
        <f t="shared" si="8"/>
        <v>4</v>
      </c>
      <c r="S23" s="42">
        <f>'كشف النقاط'!I239</f>
        <v>21</v>
      </c>
      <c r="T23" s="40">
        <f t="shared" si="9"/>
        <v>2</v>
      </c>
      <c r="U23" s="39">
        <f t="shared" si="10"/>
        <v>10.5</v>
      </c>
      <c r="V23" s="45">
        <f t="shared" si="11"/>
        <v>2</v>
      </c>
      <c r="W23" s="39">
        <f>'كشف النقاط'!I284</f>
        <v>8.25</v>
      </c>
      <c r="X23" s="40">
        <f t="shared" si="12"/>
        <v>0</v>
      </c>
      <c r="Y23" s="39">
        <f t="shared" si="13"/>
        <v>8.25</v>
      </c>
      <c r="Z23" s="109">
        <f t="shared" si="14"/>
        <v>0</v>
      </c>
      <c r="AA23" s="39">
        <f t="shared" si="15"/>
        <v>9.492857142857144</v>
      </c>
      <c r="AB23" s="46">
        <f t="shared" si="16"/>
        <v>13</v>
      </c>
      <c r="AC23" s="23" t="str">
        <f>IF('كشف النقاط'!H21+'كشف النقاط'!H64+'كشف النقاط'!H107+'كشف النقاط'!H151+'كشف النقاط'!H195+'كشف النقاط'!H239+'كشف النقاط'!H284&gt;0,"إنقاد"," ")</f>
        <v> </v>
      </c>
    </row>
    <row r="24" spans="1:29" ht="12.75" customHeight="1">
      <c r="A24" s="47">
        <f t="shared" si="17"/>
        <v>15</v>
      </c>
      <c r="B24" s="298" t="str">
        <f>IF('كشف النقاط'!B22&gt;0,'كشف النقاط'!B22," ")</f>
        <v>قايدي </v>
      </c>
      <c r="C24" s="298" t="str">
        <f>IF('كشف النقاط'!C22&gt;0,'كشف النقاط'!C22," ")</f>
        <v>مريم</v>
      </c>
      <c r="D24" s="244" t="str">
        <f>IF('كشف النقاط'!D22&gt;0,'كشف النقاط'!D22," ")</f>
        <v> </v>
      </c>
      <c r="E24" s="39">
        <f>'كشف النقاط'!I22</f>
        <v>39.75</v>
      </c>
      <c r="F24" s="40">
        <f t="shared" si="0"/>
        <v>7</v>
      </c>
      <c r="G24" s="39">
        <f>'كشف النقاط'!I65</f>
        <v>25.5</v>
      </c>
      <c r="H24" s="40">
        <f t="shared" si="1"/>
        <v>6</v>
      </c>
      <c r="I24" s="39">
        <f>'كشف النقاط'!I108</f>
        <v>22</v>
      </c>
      <c r="J24" s="40">
        <f t="shared" si="2"/>
        <v>5</v>
      </c>
      <c r="K24" s="39">
        <f t="shared" si="3"/>
        <v>12.464285714285714</v>
      </c>
      <c r="L24" s="45">
        <f t="shared" si="4"/>
        <v>18</v>
      </c>
      <c r="M24" s="39">
        <f>'كشف النقاط'!I152</f>
        <v>20</v>
      </c>
      <c r="N24" s="40">
        <f t="shared" si="5"/>
        <v>5</v>
      </c>
      <c r="O24" s="39">
        <f>'كشف النقاط'!I196</f>
        <v>26.5</v>
      </c>
      <c r="P24" s="40">
        <f t="shared" si="6"/>
        <v>4</v>
      </c>
      <c r="Q24" s="39">
        <f t="shared" si="7"/>
        <v>11.625</v>
      </c>
      <c r="R24" s="41">
        <f t="shared" si="8"/>
        <v>9</v>
      </c>
      <c r="S24" s="42">
        <f>'كشف النقاط'!I240</f>
        <v>20</v>
      </c>
      <c r="T24" s="40">
        <f t="shared" si="9"/>
        <v>2</v>
      </c>
      <c r="U24" s="39">
        <f t="shared" si="10"/>
        <v>10</v>
      </c>
      <c r="V24" s="45">
        <f t="shared" si="11"/>
        <v>2</v>
      </c>
      <c r="W24" s="39">
        <f>'كشف النقاط'!I285</f>
        <v>7.25</v>
      </c>
      <c r="X24" s="40">
        <f t="shared" si="12"/>
        <v>0</v>
      </c>
      <c r="Y24" s="39">
        <f t="shared" si="13"/>
        <v>7.25</v>
      </c>
      <c r="Z24" s="109">
        <f t="shared" si="14"/>
        <v>0</v>
      </c>
      <c r="AA24" s="39">
        <f t="shared" si="15"/>
        <v>11.5</v>
      </c>
      <c r="AB24" s="46">
        <f t="shared" si="16"/>
        <v>30</v>
      </c>
      <c r="AC24" s="23" t="str">
        <f>IF('كشف النقاط'!H22+'كشف النقاط'!H65+'كشف النقاط'!H108+'كشف النقاط'!H152+'كشف النقاط'!H196+'كشف النقاط'!H240+'كشف النقاط'!H285&gt;0,"إنقاد"," ")</f>
        <v> </v>
      </c>
    </row>
    <row r="25" spans="1:29" ht="12.75" customHeight="1">
      <c r="A25" s="47">
        <f t="shared" si="17"/>
        <v>16</v>
      </c>
      <c r="B25" s="298" t="str">
        <f>IF('كشف النقاط'!B23&gt;0,'كشف النقاط'!B23," ")</f>
        <v>قرايفية </v>
      </c>
      <c r="C25" s="298" t="str">
        <f>IF('كشف النقاط'!C23&gt;0,'كشف النقاط'!C23," ")</f>
        <v>فؤاد</v>
      </c>
      <c r="D25" s="244" t="str">
        <f>IF('كشف النقاط'!D23&gt;0,'كشف النقاط'!D23," ")</f>
        <v> </v>
      </c>
      <c r="E25" s="39">
        <f>'كشف النقاط'!I23</f>
        <v>42.75</v>
      </c>
      <c r="F25" s="40">
        <f t="shared" si="0"/>
        <v>7</v>
      </c>
      <c r="G25" s="39">
        <f>'كشف النقاط'!I66</f>
        <v>14</v>
      </c>
      <c r="H25" s="40">
        <f t="shared" si="1"/>
        <v>0</v>
      </c>
      <c r="I25" s="39">
        <f>'كشف النقاط'!I109</f>
        <v>23</v>
      </c>
      <c r="J25" s="40">
        <f t="shared" si="2"/>
        <v>5</v>
      </c>
      <c r="K25" s="39">
        <f t="shared" si="3"/>
        <v>11.392857142857142</v>
      </c>
      <c r="L25" s="45">
        <f t="shared" si="4"/>
        <v>18</v>
      </c>
      <c r="M25" s="39">
        <f>'كشف النقاط'!I153</f>
        <v>24.2</v>
      </c>
      <c r="N25" s="40">
        <f t="shared" si="5"/>
        <v>5</v>
      </c>
      <c r="O25" s="39">
        <f>'كشف النقاط'!I197</f>
        <v>25.5</v>
      </c>
      <c r="P25" s="40">
        <f t="shared" si="6"/>
        <v>4</v>
      </c>
      <c r="Q25" s="39">
        <f t="shared" si="7"/>
        <v>12.425</v>
      </c>
      <c r="R25" s="41">
        <f t="shared" si="8"/>
        <v>9</v>
      </c>
      <c r="S25" s="42">
        <f>'كشف النقاط'!I241</f>
        <v>27</v>
      </c>
      <c r="T25" s="40">
        <f t="shared" si="9"/>
        <v>2</v>
      </c>
      <c r="U25" s="39">
        <f t="shared" si="10"/>
        <v>13.5</v>
      </c>
      <c r="V25" s="45">
        <f t="shared" si="11"/>
        <v>2</v>
      </c>
      <c r="W25" s="39">
        <f>'كشف النقاط'!I286</f>
        <v>5</v>
      </c>
      <c r="X25" s="40">
        <f t="shared" si="12"/>
        <v>0</v>
      </c>
      <c r="Y25" s="39">
        <f t="shared" si="13"/>
        <v>5</v>
      </c>
      <c r="Z25" s="109">
        <f t="shared" si="14"/>
        <v>0</v>
      </c>
      <c r="AA25" s="39">
        <f t="shared" si="15"/>
        <v>11.532142857142857</v>
      </c>
      <c r="AB25" s="46">
        <f t="shared" si="16"/>
        <v>30</v>
      </c>
      <c r="AC25" s="23" t="str">
        <f>IF('كشف النقاط'!H23+'كشف النقاط'!H66+'كشف النقاط'!H109+'كشف النقاط'!H153+'كشف النقاط'!H197+'كشف النقاط'!H241+'كشف النقاط'!H286&gt;0,"إنقاد"," ")</f>
        <v> </v>
      </c>
    </row>
    <row r="26" spans="1:29" ht="12.75" customHeight="1">
      <c r="A26" s="47">
        <f t="shared" si="17"/>
        <v>17</v>
      </c>
      <c r="B26" s="298" t="str">
        <f>IF('كشف النقاط'!B24&gt;0,'كشف النقاط'!B24," ")</f>
        <v>قوادرية</v>
      </c>
      <c r="C26" s="298" t="str">
        <f>IF('كشف النقاط'!C24&gt;0,'كشف النقاط'!C24," ")</f>
        <v>مريم</v>
      </c>
      <c r="D26" s="244" t="str">
        <f>IF('كشف النقاط'!D24&gt;0,'كشف النقاط'!D24," ")</f>
        <v> </v>
      </c>
      <c r="E26" s="39">
        <f>'كشف النقاط'!I24</f>
        <v>50.25</v>
      </c>
      <c r="F26" s="40">
        <f t="shared" si="0"/>
        <v>7</v>
      </c>
      <c r="G26" s="39">
        <f>'كشف النقاط'!I67</f>
        <v>35</v>
      </c>
      <c r="H26" s="40">
        <f t="shared" si="1"/>
        <v>6</v>
      </c>
      <c r="I26" s="39">
        <f>'كشف النقاط'!I110</f>
        <v>33</v>
      </c>
      <c r="J26" s="40">
        <f t="shared" si="2"/>
        <v>5</v>
      </c>
      <c r="K26" s="39">
        <f t="shared" si="3"/>
        <v>16.892857142857142</v>
      </c>
      <c r="L26" s="45">
        <f t="shared" si="4"/>
        <v>18</v>
      </c>
      <c r="M26" s="39">
        <f>'كشف النقاط'!I154</f>
        <v>37.3</v>
      </c>
      <c r="N26" s="40">
        <f t="shared" si="5"/>
        <v>5</v>
      </c>
      <c r="O26" s="39">
        <f>'كشف النقاط'!I198</f>
        <v>28.5</v>
      </c>
      <c r="P26" s="40">
        <f t="shared" si="6"/>
        <v>4</v>
      </c>
      <c r="Q26" s="39">
        <f t="shared" si="7"/>
        <v>16.45</v>
      </c>
      <c r="R26" s="41">
        <f t="shared" si="8"/>
        <v>9</v>
      </c>
      <c r="S26" s="42">
        <f>'كشف النقاط'!I242</f>
        <v>31</v>
      </c>
      <c r="T26" s="40">
        <f t="shared" si="9"/>
        <v>2</v>
      </c>
      <c r="U26" s="39">
        <f t="shared" si="10"/>
        <v>15.5</v>
      </c>
      <c r="V26" s="45">
        <f t="shared" si="11"/>
        <v>2</v>
      </c>
      <c r="W26" s="39">
        <f>'كشف النقاط'!I287</f>
        <v>12</v>
      </c>
      <c r="X26" s="40">
        <f t="shared" si="12"/>
        <v>1</v>
      </c>
      <c r="Y26" s="39">
        <f t="shared" si="13"/>
        <v>12</v>
      </c>
      <c r="Z26" s="109">
        <f t="shared" si="14"/>
        <v>1</v>
      </c>
      <c r="AA26" s="39">
        <f t="shared" si="15"/>
        <v>16.217857142857145</v>
      </c>
      <c r="AB26" s="46">
        <f t="shared" si="16"/>
        <v>30</v>
      </c>
      <c r="AC26" s="23" t="str">
        <f>IF('كشف النقاط'!H24+'كشف النقاط'!H67+'كشف النقاط'!H110+'كشف النقاط'!H154+'كشف النقاط'!H198+'كشف النقاط'!H242+'كشف النقاط'!H287&gt;0,"إنقاد"," ")</f>
        <v> </v>
      </c>
    </row>
    <row r="27" spans="1:29" ht="11.25" customHeight="1" hidden="1">
      <c r="A27" s="47">
        <f t="shared" si="17"/>
        <v>18</v>
      </c>
      <c r="B27" s="298" t="str">
        <f>IF('كشف النقاط'!B25&gt;0,'كشف النقاط'!B25," ")</f>
        <v>محفوظ </v>
      </c>
      <c r="C27" s="298" t="str">
        <f>IF('كشف النقاط'!C25&gt;0,'كشف النقاط'!C25," ")</f>
        <v>بشرى</v>
      </c>
      <c r="D27" s="244" t="str">
        <f>IF('كشف النقاط'!D25&gt;0,'كشف النقاط'!D25," ")</f>
        <v> </v>
      </c>
      <c r="E27" s="39">
        <f>'كشف النقاط'!I25</f>
        <v>49.5</v>
      </c>
      <c r="F27" s="40">
        <f t="shared" si="0"/>
        <v>7</v>
      </c>
      <c r="G27" s="39">
        <f>'كشف النقاط'!I68</f>
        <v>36.75</v>
      </c>
      <c r="H27" s="40">
        <f t="shared" si="1"/>
        <v>6</v>
      </c>
      <c r="I27" s="39">
        <f>'كشف النقاط'!I111</f>
        <v>32</v>
      </c>
      <c r="J27" s="40">
        <f t="shared" si="2"/>
        <v>5</v>
      </c>
      <c r="K27" s="39">
        <f t="shared" si="3"/>
        <v>16.892857142857142</v>
      </c>
      <c r="L27" s="45">
        <f t="shared" si="4"/>
        <v>18</v>
      </c>
      <c r="M27" s="39">
        <f>'كشف النقاط'!I155</f>
        <v>36.8</v>
      </c>
      <c r="N27" s="40">
        <f t="shared" si="5"/>
        <v>5</v>
      </c>
      <c r="O27" s="39">
        <f>'كشف النقاط'!I199</f>
        <v>26.5</v>
      </c>
      <c r="P27" s="40">
        <f t="shared" si="6"/>
        <v>4</v>
      </c>
      <c r="Q27" s="39">
        <f t="shared" si="7"/>
        <v>15.825</v>
      </c>
      <c r="R27" s="41">
        <f t="shared" si="8"/>
        <v>9</v>
      </c>
      <c r="S27" s="42">
        <f>'كشف النقاط'!I243</f>
        <v>31</v>
      </c>
      <c r="T27" s="40">
        <f t="shared" si="9"/>
        <v>2</v>
      </c>
      <c r="U27" s="39">
        <f t="shared" si="10"/>
        <v>15.5</v>
      </c>
      <c r="V27" s="45">
        <f t="shared" si="11"/>
        <v>2</v>
      </c>
      <c r="W27" s="39">
        <f>'كشف النقاط'!I288</f>
        <v>11.75</v>
      </c>
      <c r="X27" s="40">
        <f t="shared" si="12"/>
        <v>1</v>
      </c>
      <c r="Y27" s="39">
        <f t="shared" si="13"/>
        <v>11.75</v>
      </c>
      <c r="Z27" s="109">
        <f t="shared" si="14"/>
        <v>1</v>
      </c>
      <c r="AA27" s="39">
        <f t="shared" si="15"/>
        <v>16.021428571428572</v>
      </c>
      <c r="AB27" s="46">
        <f t="shared" si="16"/>
        <v>30</v>
      </c>
      <c r="AC27" s="23" t="str">
        <f>IF('كشف النقاط'!H25+'كشف النقاط'!H68+'كشف النقاط'!H111+'كشف النقاط'!H155+'كشف النقاط'!H199+'كشف النقاط'!H243+'كشف النقاط'!H288&gt;0,"إنقاد"," ")</f>
        <v> </v>
      </c>
    </row>
    <row r="28" spans="1:29" ht="11.25" customHeight="1" hidden="1">
      <c r="A28" s="47">
        <f t="shared" si="17"/>
        <v>19</v>
      </c>
      <c r="B28" s="298" t="str">
        <f>IF('كشف النقاط'!B26&gt;0,'كشف النقاط'!B26," ")</f>
        <v>مسطوري </v>
      </c>
      <c r="C28" s="298" t="str">
        <f>IF('كشف النقاط'!C26&gt;0,'كشف النقاط'!C26," ")</f>
        <v>سارة</v>
      </c>
      <c r="D28" s="244" t="str">
        <f>IF('كشف النقاط'!D26&gt;0,'كشف النقاط'!D26," ")</f>
        <v> </v>
      </c>
      <c r="E28" s="39">
        <f>'كشف النقاط'!I26</f>
        <v>36</v>
      </c>
      <c r="F28" s="40">
        <f t="shared" si="0"/>
        <v>7</v>
      </c>
      <c r="G28" s="39">
        <f>'كشف النقاط'!I69</f>
        <v>12.5</v>
      </c>
      <c r="H28" s="40">
        <f t="shared" si="1"/>
        <v>0</v>
      </c>
      <c r="I28" s="39">
        <f>'كشف النقاط'!I112</f>
        <v>15</v>
      </c>
      <c r="J28" s="40">
        <f t="shared" si="2"/>
        <v>0</v>
      </c>
      <c r="K28" s="39">
        <f t="shared" si="3"/>
        <v>9.071428571428571</v>
      </c>
      <c r="L28" s="45">
        <f t="shared" si="4"/>
        <v>7</v>
      </c>
      <c r="M28" s="39">
        <f>'كشف النقاط'!I156</f>
        <v>21</v>
      </c>
      <c r="N28" s="40">
        <f t="shared" si="5"/>
        <v>5</v>
      </c>
      <c r="O28" s="39">
        <f>'كشف النقاط'!I200</f>
        <v>24</v>
      </c>
      <c r="P28" s="40">
        <f t="shared" si="6"/>
        <v>4</v>
      </c>
      <c r="Q28" s="39">
        <f t="shared" si="7"/>
        <v>11.25</v>
      </c>
      <c r="R28" s="41">
        <f t="shared" si="8"/>
        <v>9</v>
      </c>
      <c r="S28" s="42">
        <f>'كشف النقاط'!I244</f>
        <v>29</v>
      </c>
      <c r="T28" s="40">
        <f t="shared" si="9"/>
        <v>2</v>
      </c>
      <c r="U28" s="39">
        <f t="shared" si="10"/>
        <v>14.5</v>
      </c>
      <c r="V28" s="45">
        <f t="shared" si="11"/>
        <v>2</v>
      </c>
      <c r="W28" s="39">
        <f>'كشف النقاط'!I289</f>
        <v>5.5</v>
      </c>
      <c r="X28" s="40">
        <f t="shared" si="12"/>
        <v>0</v>
      </c>
      <c r="Y28" s="39">
        <f t="shared" si="13"/>
        <v>5.5</v>
      </c>
      <c r="Z28" s="109">
        <f t="shared" si="14"/>
        <v>0</v>
      </c>
      <c r="AA28" s="39">
        <f t="shared" si="15"/>
        <v>10.214285714285714</v>
      </c>
      <c r="AB28" s="46">
        <f t="shared" si="16"/>
        <v>30</v>
      </c>
      <c r="AC28" s="23" t="str">
        <f>IF('كشف النقاط'!H26+'كشف النقاط'!H69+'كشف النقاط'!H112+'كشف النقاط'!H156+'كشف النقاط'!H200+'كشف النقاط'!H244+'كشف النقاط'!H289&gt;0,"إنقاد"," ")</f>
        <v> </v>
      </c>
    </row>
    <row r="29" spans="1:29" ht="11.25" customHeight="1" hidden="1">
      <c r="A29" s="47">
        <f t="shared" si="17"/>
        <v>20</v>
      </c>
      <c r="B29" s="298" t="str">
        <f>IF('كشف النقاط'!B27&gt;0,'كشف النقاط'!B27," ")</f>
        <v>هداف </v>
      </c>
      <c r="C29" s="298" t="str">
        <f>IF('كشف النقاط'!C27&gt;0,'كشف النقاط'!C27," ")</f>
        <v>حياة</v>
      </c>
      <c r="D29" s="244" t="str">
        <f>IF('كشف النقاط'!D27&gt;0,'كشف النقاط'!D27," ")</f>
        <v> </v>
      </c>
      <c r="E29" s="39">
        <f>'كشف النقاط'!I27</f>
        <v>39</v>
      </c>
      <c r="F29" s="40">
        <f t="shared" si="0"/>
        <v>7</v>
      </c>
      <c r="G29" s="39">
        <f>'كشف النقاط'!I70</f>
        <v>25.75</v>
      </c>
      <c r="H29" s="40">
        <f t="shared" si="1"/>
        <v>6</v>
      </c>
      <c r="I29" s="39">
        <f>'كشف النقاط'!I113</f>
        <v>21.5</v>
      </c>
      <c r="J29" s="40">
        <f t="shared" si="2"/>
        <v>5</v>
      </c>
      <c r="K29" s="39">
        <f t="shared" si="3"/>
        <v>12.321428571428571</v>
      </c>
      <c r="L29" s="45">
        <f t="shared" si="4"/>
        <v>18</v>
      </c>
      <c r="M29" s="39">
        <f>'كشف النقاط'!I157</f>
        <v>18.2</v>
      </c>
      <c r="N29" s="40">
        <f t="shared" si="5"/>
        <v>0</v>
      </c>
      <c r="O29" s="39">
        <f>'كشف النقاط'!I201</f>
        <v>27.5</v>
      </c>
      <c r="P29" s="40">
        <f t="shared" si="6"/>
        <v>4</v>
      </c>
      <c r="Q29" s="39">
        <f t="shared" si="7"/>
        <v>11.425</v>
      </c>
      <c r="R29" s="41">
        <f t="shared" si="8"/>
        <v>9</v>
      </c>
      <c r="S29" s="42">
        <f>'كشف النقاط'!I245</f>
        <v>25</v>
      </c>
      <c r="T29" s="40">
        <f t="shared" si="9"/>
        <v>2</v>
      </c>
      <c r="U29" s="39">
        <f t="shared" si="10"/>
        <v>12.5</v>
      </c>
      <c r="V29" s="45">
        <f t="shared" si="11"/>
        <v>2</v>
      </c>
      <c r="W29" s="39">
        <f>'كشف النقاط'!I290</f>
        <v>8.75</v>
      </c>
      <c r="X29" s="40">
        <f t="shared" si="12"/>
        <v>0</v>
      </c>
      <c r="Y29" s="39">
        <f t="shared" si="13"/>
        <v>8.75</v>
      </c>
      <c r="Z29" s="109">
        <f t="shared" si="14"/>
        <v>0</v>
      </c>
      <c r="AA29" s="39">
        <f t="shared" si="15"/>
        <v>11.835714285714285</v>
      </c>
      <c r="AB29" s="46">
        <f t="shared" si="16"/>
        <v>30</v>
      </c>
      <c r="AC29" s="23" t="str">
        <f>IF('كشف النقاط'!H27+'كشف النقاط'!H70+'كشف النقاط'!H113+'كشف النقاط'!H157+'كشف النقاط'!H201+'كشف النقاط'!H245+'كشف النقاط'!H290&gt;0,"إنقاد"," ")</f>
        <v> </v>
      </c>
    </row>
    <row r="30" spans="1:29" ht="11.25" customHeight="1" hidden="1">
      <c r="A30" s="47">
        <f t="shared" si="17"/>
        <v>21</v>
      </c>
      <c r="B30" s="298" t="str">
        <f>IF('كشف النقاط'!B28&gt;0,'كشف النقاط'!B28," ")</f>
        <v> </v>
      </c>
      <c r="C30" s="298" t="str">
        <f>IF('كشف النقاط'!C28&gt;0,'كشف النقاط'!C28," ")</f>
        <v> </v>
      </c>
      <c r="D30" s="244" t="str">
        <f>IF('كشف النقاط'!D28&gt;0,'كشف النقاط'!D28," ")</f>
        <v> </v>
      </c>
      <c r="E30" s="39">
        <f>'كشف النقاط'!I28</f>
        <v>0</v>
      </c>
      <c r="F30" s="40">
        <f t="shared" si="0"/>
        <v>0</v>
      </c>
      <c r="G30" s="39">
        <f>'كشف النقاط'!I71</f>
        <v>0</v>
      </c>
      <c r="H30" s="40">
        <f t="shared" si="1"/>
        <v>0</v>
      </c>
      <c r="I30" s="39">
        <f>'كشف النقاط'!I114</f>
        <v>0</v>
      </c>
      <c r="J30" s="40">
        <f t="shared" si="2"/>
        <v>0</v>
      </c>
      <c r="K30" s="39">
        <f t="shared" si="3"/>
        <v>0</v>
      </c>
      <c r="L30" s="45">
        <f t="shared" si="4"/>
        <v>0</v>
      </c>
      <c r="M30" s="39">
        <f>'كشف النقاط'!I158</f>
        <v>0</v>
      </c>
      <c r="N30" s="40">
        <f t="shared" si="5"/>
        <v>0</v>
      </c>
      <c r="O30" s="39">
        <f>'كشف النقاط'!I202</f>
        <v>0</v>
      </c>
      <c r="P30" s="40">
        <f t="shared" si="6"/>
        <v>0</v>
      </c>
      <c r="Q30" s="39">
        <f t="shared" si="7"/>
        <v>0</v>
      </c>
      <c r="R30" s="41">
        <f t="shared" si="8"/>
        <v>0</v>
      </c>
      <c r="S30" s="42">
        <f>'كشف النقاط'!I246</f>
        <v>0</v>
      </c>
      <c r="T30" s="40">
        <f t="shared" si="9"/>
        <v>0</v>
      </c>
      <c r="U30" s="39">
        <f t="shared" si="10"/>
        <v>0</v>
      </c>
      <c r="V30" s="45">
        <f t="shared" si="11"/>
        <v>0</v>
      </c>
      <c r="W30" s="39">
        <f>'كشف النقاط'!I291</f>
        <v>0</v>
      </c>
      <c r="X30" s="40">
        <f t="shared" si="12"/>
        <v>0</v>
      </c>
      <c r="Y30" s="39">
        <f t="shared" si="13"/>
        <v>0</v>
      </c>
      <c r="Z30" s="109">
        <f t="shared" si="14"/>
        <v>0</v>
      </c>
      <c r="AA30" s="39">
        <f t="shared" si="15"/>
        <v>0</v>
      </c>
      <c r="AB30" s="46">
        <f t="shared" si="16"/>
        <v>0</v>
      </c>
      <c r="AC30" s="23" t="str">
        <f>IF('كشف النقاط'!H28+'كشف النقاط'!H71+'كشف النقاط'!H114+'كشف النقاط'!H158+'كشف النقاط'!H202+'كشف النقاط'!H246+'كشف النقاط'!H291&gt;0,"إنقاد"," ")</f>
        <v> </v>
      </c>
    </row>
    <row r="31" spans="1:29" ht="11.25" customHeight="1" hidden="1">
      <c r="A31" s="30">
        <v>22</v>
      </c>
      <c r="B31" s="298" t="str">
        <f>IF('كشف النقاط'!B29&gt;0,'كشف النقاط'!B29," ")</f>
        <v> </v>
      </c>
      <c r="C31" s="298" t="str">
        <f>IF('كشف النقاط'!C29&gt;0,'كشف النقاط'!C29," ")</f>
        <v> </v>
      </c>
      <c r="D31" s="155" t="str">
        <f>IF('كشف النقاط'!D29&gt;0,'كشف النقاط'!D29," ")</f>
        <v> </v>
      </c>
      <c r="E31" s="39">
        <f>'كشف النقاط'!I29</f>
        <v>0</v>
      </c>
      <c r="F31" s="40">
        <f t="shared" si="0"/>
        <v>0</v>
      </c>
      <c r="G31" s="39">
        <f>'كشف النقاط'!I72</f>
        <v>0</v>
      </c>
      <c r="H31" s="40">
        <f t="shared" si="1"/>
        <v>0</v>
      </c>
      <c r="I31" s="39">
        <f>'كشف النقاط'!I115</f>
        <v>0</v>
      </c>
      <c r="J31" s="40">
        <f t="shared" si="2"/>
        <v>0</v>
      </c>
      <c r="K31" s="39">
        <f t="shared" si="3"/>
        <v>0</v>
      </c>
      <c r="L31" s="45">
        <f t="shared" si="4"/>
        <v>0</v>
      </c>
      <c r="M31" s="39">
        <f>'كشف النقاط'!I159</f>
        <v>0</v>
      </c>
      <c r="N31" s="40">
        <f t="shared" si="5"/>
        <v>0</v>
      </c>
      <c r="O31" s="39">
        <f>'كشف النقاط'!I203</f>
        <v>0</v>
      </c>
      <c r="P31" s="40">
        <f t="shared" si="6"/>
        <v>0</v>
      </c>
      <c r="Q31" s="39">
        <f t="shared" si="7"/>
        <v>0</v>
      </c>
      <c r="R31" s="41">
        <f t="shared" si="8"/>
        <v>0</v>
      </c>
      <c r="S31" s="42">
        <f>'كشف النقاط'!I247</f>
        <v>0</v>
      </c>
      <c r="T31" s="40">
        <f t="shared" si="9"/>
        <v>0</v>
      </c>
      <c r="U31" s="39">
        <f t="shared" si="10"/>
        <v>0</v>
      </c>
      <c r="V31" s="45">
        <f t="shared" si="11"/>
        <v>0</v>
      </c>
      <c r="W31" s="39">
        <f>'كشف النقاط'!I292</f>
        <v>0</v>
      </c>
      <c r="X31" s="40">
        <f t="shared" si="12"/>
        <v>0</v>
      </c>
      <c r="Y31" s="39">
        <f t="shared" si="13"/>
        <v>0</v>
      </c>
      <c r="Z31" s="109">
        <f t="shared" si="14"/>
        <v>0</v>
      </c>
      <c r="AA31" s="39">
        <f t="shared" si="15"/>
        <v>0</v>
      </c>
      <c r="AB31" s="46">
        <f t="shared" si="16"/>
        <v>0</v>
      </c>
      <c r="AC31" s="23" t="str">
        <f>IF('كشف النقاط'!H29+'كشف النقاط'!H72+'كشف النقاط'!H115+'كشف النقاط'!H159+'كشف النقاط'!H203+'كشف النقاط'!H247+'كشف النقاط'!H292&gt;0,"إنقاد"," ")</f>
        <v> </v>
      </c>
    </row>
    <row r="32" spans="1:29" ht="11.25" customHeight="1" hidden="1">
      <c r="A32" s="30">
        <v>23</v>
      </c>
      <c r="B32" s="298" t="str">
        <f>IF('كشف النقاط'!B30&gt;0,'كشف النقاط'!B30," ")</f>
        <v> </v>
      </c>
      <c r="C32" s="298" t="str">
        <f>IF('كشف النقاط'!C30&gt;0,'كشف النقاط'!C30," ")</f>
        <v> </v>
      </c>
      <c r="D32" s="155" t="str">
        <f>IF('كشف النقاط'!D30&gt;0,'كشف النقاط'!D30," ")</f>
        <v> </v>
      </c>
      <c r="E32" s="39">
        <f>'كشف النقاط'!I30</f>
        <v>0</v>
      </c>
      <c r="F32" s="40">
        <f t="shared" si="0"/>
        <v>0</v>
      </c>
      <c r="G32" s="39">
        <f>'كشف النقاط'!I73</f>
        <v>0</v>
      </c>
      <c r="H32" s="40">
        <f t="shared" si="1"/>
        <v>0</v>
      </c>
      <c r="I32" s="39">
        <f>'كشف النقاط'!I116</f>
        <v>0</v>
      </c>
      <c r="J32" s="40">
        <f t="shared" si="2"/>
        <v>0</v>
      </c>
      <c r="K32" s="39">
        <f t="shared" si="3"/>
        <v>0</v>
      </c>
      <c r="L32" s="45">
        <f t="shared" si="4"/>
        <v>0</v>
      </c>
      <c r="M32" s="39">
        <f>'كشف النقاط'!I160</f>
        <v>0</v>
      </c>
      <c r="N32" s="40">
        <f t="shared" si="5"/>
        <v>0</v>
      </c>
      <c r="O32" s="39">
        <f>'كشف النقاط'!I204</f>
        <v>0</v>
      </c>
      <c r="P32" s="40">
        <f t="shared" si="6"/>
        <v>0</v>
      </c>
      <c r="Q32" s="39">
        <f t="shared" si="7"/>
        <v>0</v>
      </c>
      <c r="R32" s="41">
        <f t="shared" si="8"/>
        <v>0</v>
      </c>
      <c r="S32" s="42">
        <f>'كشف النقاط'!I248</f>
        <v>0</v>
      </c>
      <c r="T32" s="40">
        <f t="shared" si="9"/>
        <v>0</v>
      </c>
      <c r="U32" s="39">
        <f t="shared" si="10"/>
        <v>0</v>
      </c>
      <c r="V32" s="45">
        <f t="shared" si="11"/>
        <v>0</v>
      </c>
      <c r="W32" s="39">
        <f>'كشف النقاط'!I293</f>
        <v>0</v>
      </c>
      <c r="X32" s="40">
        <f t="shared" si="12"/>
        <v>0</v>
      </c>
      <c r="Y32" s="39">
        <f t="shared" si="13"/>
        <v>0</v>
      </c>
      <c r="Z32" s="109">
        <f t="shared" si="14"/>
        <v>0</v>
      </c>
      <c r="AA32" s="39">
        <f t="shared" si="15"/>
        <v>0</v>
      </c>
      <c r="AB32" s="46">
        <f t="shared" si="16"/>
        <v>0</v>
      </c>
      <c r="AC32" s="23" t="str">
        <f>IF('كشف النقاط'!H30+'كشف النقاط'!H73+'كشف النقاط'!H116+'كشف النقاط'!H160+'كشف النقاط'!H204+'كشف النقاط'!H248+'كشف النقاط'!H293&gt;0,"إنقاد"," ")</f>
        <v> </v>
      </c>
    </row>
    <row r="33" spans="1:29" ht="11.25" customHeight="1" hidden="1">
      <c r="A33" s="30">
        <v>24</v>
      </c>
      <c r="B33" s="298" t="str">
        <f>IF('كشف النقاط'!B31&gt;0,'كشف النقاط'!B31," ")</f>
        <v> </v>
      </c>
      <c r="C33" s="298" t="str">
        <f>IF('كشف النقاط'!C31&gt;0,'كشف النقاط'!C31," ")</f>
        <v> </v>
      </c>
      <c r="D33" s="155" t="str">
        <f>IF('كشف النقاط'!D31&gt;0,'كشف النقاط'!D31," ")</f>
        <v> </v>
      </c>
      <c r="E33" s="39">
        <f>'كشف النقاط'!I31</f>
        <v>0</v>
      </c>
      <c r="F33" s="40">
        <f t="shared" si="0"/>
        <v>0</v>
      </c>
      <c r="G33" s="39">
        <f>'كشف النقاط'!I74</f>
        <v>0</v>
      </c>
      <c r="H33" s="40">
        <f t="shared" si="1"/>
        <v>0</v>
      </c>
      <c r="I33" s="39">
        <f>'كشف النقاط'!I117</f>
        <v>0</v>
      </c>
      <c r="J33" s="40">
        <f t="shared" si="2"/>
        <v>0</v>
      </c>
      <c r="K33" s="39">
        <f t="shared" si="3"/>
        <v>0</v>
      </c>
      <c r="L33" s="45">
        <f t="shared" si="4"/>
        <v>0</v>
      </c>
      <c r="M33" s="39">
        <f>'كشف النقاط'!I161</f>
        <v>0</v>
      </c>
      <c r="N33" s="40">
        <f t="shared" si="5"/>
        <v>0</v>
      </c>
      <c r="O33" s="39">
        <f>'كشف النقاط'!I205</f>
        <v>0</v>
      </c>
      <c r="P33" s="40">
        <f t="shared" si="6"/>
        <v>0</v>
      </c>
      <c r="Q33" s="39">
        <f t="shared" si="7"/>
        <v>0</v>
      </c>
      <c r="R33" s="41">
        <f t="shared" si="8"/>
        <v>0</v>
      </c>
      <c r="S33" s="42">
        <f>'كشف النقاط'!I249</f>
        <v>0</v>
      </c>
      <c r="T33" s="40">
        <f t="shared" si="9"/>
        <v>0</v>
      </c>
      <c r="U33" s="39">
        <f t="shared" si="10"/>
        <v>0</v>
      </c>
      <c r="V33" s="45">
        <f t="shared" si="11"/>
        <v>0</v>
      </c>
      <c r="W33" s="39">
        <f>'كشف النقاط'!I294</f>
        <v>0</v>
      </c>
      <c r="X33" s="40">
        <f t="shared" si="12"/>
        <v>0</v>
      </c>
      <c r="Y33" s="39">
        <f t="shared" si="13"/>
        <v>0</v>
      </c>
      <c r="Z33" s="109">
        <f t="shared" si="14"/>
        <v>0</v>
      </c>
      <c r="AA33" s="39">
        <f t="shared" si="15"/>
        <v>0</v>
      </c>
      <c r="AB33" s="46">
        <f t="shared" si="16"/>
        <v>0</v>
      </c>
      <c r="AC33" s="23" t="str">
        <f>IF('كشف النقاط'!H31+'كشف النقاط'!H74+'كشف النقاط'!H117+'كشف النقاط'!H161+'كشف النقاط'!H205+'كشف النقاط'!H249+'كشف النقاط'!H294&gt;0,"إنقاد"," ")</f>
        <v> </v>
      </c>
    </row>
    <row r="34" spans="1:29" ht="11.25" customHeight="1" hidden="1">
      <c r="A34" s="30">
        <v>25</v>
      </c>
      <c r="B34" s="298" t="str">
        <f>IF('كشف النقاط'!B32&gt;0,'كشف النقاط'!B32," ")</f>
        <v> </v>
      </c>
      <c r="C34" s="298" t="str">
        <f>IF('كشف النقاط'!C32&gt;0,'كشف النقاط'!C32," ")</f>
        <v> </v>
      </c>
      <c r="D34" s="155" t="str">
        <f>IF('كشف النقاط'!D32&gt;0,'كشف النقاط'!D32," ")</f>
        <v> </v>
      </c>
      <c r="E34" s="39">
        <f>'كشف النقاط'!I32</f>
        <v>0</v>
      </c>
      <c r="F34" s="40">
        <f t="shared" si="0"/>
        <v>0</v>
      </c>
      <c r="G34" s="39">
        <f>'كشف النقاط'!I75</f>
        <v>0</v>
      </c>
      <c r="H34" s="40">
        <f t="shared" si="1"/>
        <v>0</v>
      </c>
      <c r="I34" s="39">
        <f>'كشف النقاط'!I118</f>
        <v>0</v>
      </c>
      <c r="J34" s="40">
        <f t="shared" si="2"/>
        <v>0</v>
      </c>
      <c r="K34" s="39">
        <f t="shared" si="3"/>
        <v>0</v>
      </c>
      <c r="L34" s="45">
        <f t="shared" si="4"/>
        <v>0</v>
      </c>
      <c r="M34" s="39">
        <f>'كشف النقاط'!I162</f>
        <v>0</v>
      </c>
      <c r="N34" s="40">
        <f t="shared" si="5"/>
        <v>0</v>
      </c>
      <c r="O34" s="39">
        <f>'كشف النقاط'!I206</f>
        <v>0</v>
      </c>
      <c r="P34" s="40">
        <f t="shared" si="6"/>
        <v>0</v>
      </c>
      <c r="Q34" s="39">
        <f t="shared" si="7"/>
        <v>0</v>
      </c>
      <c r="R34" s="41">
        <f t="shared" si="8"/>
        <v>0</v>
      </c>
      <c r="S34" s="42">
        <f>'كشف النقاط'!I250</f>
        <v>0</v>
      </c>
      <c r="T34" s="40">
        <f t="shared" si="9"/>
        <v>0</v>
      </c>
      <c r="U34" s="39">
        <f t="shared" si="10"/>
        <v>0</v>
      </c>
      <c r="V34" s="45">
        <f t="shared" si="11"/>
        <v>0</v>
      </c>
      <c r="W34" s="39">
        <f>'كشف النقاط'!I295</f>
        <v>0</v>
      </c>
      <c r="X34" s="40">
        <f t="shared" si="12"/>
        <v>0</v>
      </c>
      <c r="Y34" s="39">
        <f t="shared" si="13"/>
        <v>0</v>
      </c>
      <c r="Z34" s="109">
        <f t="shared" si="14"/>
        <v>0</v>
      </c>
      <c r="AA34" s="39">
        <f t="shared" si="15"/>
        <v>0</v>
      </c>
      <c r="AB34" s="46">
        <f t="shared" si="16"/>
        <v>0</v>
      </c>
      <c r="AC34" s="23" t="str">
        <f>IF('كشف النقاط'!H32+'كشف النقاط'!H75+'كشف النقاط'!H118+'كشف النقاط'!H162+'كشف النقاط'!H206+'كشف النقاط'!H250+'كشف النقاط'!H295&gt;0,"إنقاد"," ")</f>
        <v> </v>
      </c>
    </row>
    <row r="35" spans="1:29" ht="11.25" customHeight="1" hidden="1">
      <c r="A35" s="30">
        <v>26</v>
      </c>
      <c r="B35" s="298" t="str">
        <f>IF('كشف النقاط'!B33&gt;0,'كشف النقاط'!B33," ")</f>
        <v> </v>
      </c>
      <c r="C35" s="298" t="str">
        <f>IF('كشف النقاط'!C33&gt;0,'كشف النقاط'!C33," ")</f>
        <v> </v>
      </c>
      <c r="D35" s="155" t="str">
        <f>IF('كشف النقاط'!D33&gt;0,'كشف النقاط'!D33," ")</f>
        <v> </v>
      </c>
      <c r="E35" s="39">
        <f>'كشف النقاط'!I33</f>
        <v>0</v>
      </c>
      <c r="F35" s="40">
        <f t="shared" si="0"/>
        <v>0</v>
      </c>
      <c r="G35" s="39">
        <f>'كشف النقاط'!I76</f>
        <v>0</v>
      </c>
      <c r="H35" s="40">
        <f t="shared" si="1"/>
        <v>0</v>
      </c>
      <c r="I35" s="39">
        <f>'كشف النقاط'!I119</f>
        <v>0</v>
      </c>
      <c r="J35" s="40">
        <f t="shared" si="2"/>
        <v>0</v>
      </c>
      <c r="K35" s="39">
        <f t="shared" si="3"/>
        <v>0</v>
      </c>
      <c r="L35" s="45">
        <f t="shared" si="4"/>
        <v>0</v>
      </c>
      <c r="M35" s="39">
        <f>'كشف النقاط'!I163</f>
        <v>0</v>
      </c>
      <c r="N35" s="40">
        <f t="shared" si="5"/>
        <v>0</v>
      </c>
      <c r="O35" s="39">
        <f>'كشف النقاط'!I207</f>
        <v>0</v>
      </c>
      <c r="P35" s="40">
        <f t="shared" si="6"/>
        <v>0</v>
      </c>
      <c r="Q35" s="39">
        <f t="shared" si="7"/>
        <v>0</v>
      </c>
      <c r="R35" s="41">
        <f t="shared" si="8"/>
        <v>0</v>
      </c>
      <c r="S35" s="42">
        <f>'كشف النقاط'!I251</f>
        <v>0</v>
      </c>
      <c r="T35" s="40">
        <f t="shared" si="9"/>
        <v>0</v>
      </c>
      <c r="U35" s="39">
        <f t="shared" si="10"/>
        <v>0</v>
      </c>
      <c r="V35" s="45">
        <f t="shared" si="11"/>
        <v>0</v>
      </c>
      <c r="W35" s="39">
        <f>'كشف النقاط'!I296</f>
        <v>0</v>
      </c>
      <c r="X35" s="40">
        <f t="shared" si="12"/>
        <v>0</v>
      </c>
      <c r="Y35" s="39">
        <f t="shared" si="13"/>
        <v>0</v>
      </c>
      <c r="Z35" s="109">
        <f t="shared" si="14"/>
        <v>0</v>
      </c>
      <c r="AA35" s="39">
        <f t="shared" si="15"/>
        <v>0</v>
      </c>
      <c r="AB35" s="46">
        <f t="shared" si="16"/>
        <v>0</v>
      </c>
      <c r="AC35" s="23" t="str">
        <f>IF('كشف النقاط'!H33+'كشف النقاط'!H76+'كشف النقاط'!H119+'كشف النقاط'!H163+'كشف النقاط'!H207+'كشف النقاط'!H251+'كشف النقاط'!H296&gt;0,"إنقاد"," ")</f>
        <v> </v>
      </c>
    </row>
    <row r="36" spans="1:29" ht="11.25" customHeight="1" hidden="1">
      <c r="A36" s="30">
        <v>27</v>
      </c>
      <c r="B36" s="298" t="str">
        <f>IF('كشف النقاط'!B34&gt;0,'كشف النقاط'!B34," ")</f>
        <v> </v>
      </c>
      <c r="C36" s="298" t="str">
        <f>IF('كشف النقاط'!C34&gt;0,'كشف النقاط'!C34," ")</f>
        <v> </v>
      </c>
      <c r="D36" s="155" t="str">
        <f>IF('كشف النقاط'!D34&gt;0,'كشف النقاط'!D34," ")</f>
        <v> </v>
      </c>
      <c r="E36" s="39">
        <f>'كشف النقاط'!I34</f>
        <v>0</v>
      </c>
      <c r="F36" s="40">
        <f t="shared" si="0"/>
        <v>0</v>
      </c>
      <c r="G36" s="39">
        <f>'كشف النقاط'!I77</f>
        <v>0</v>
      </c>
      <c r="H36" s="40">
        <f t="shared" si="1"/>
        <v>0</v>
      </c>
      <c r="I36" s="39">
        <f>'كشف النقاط'!I120</f>
        <v>0</v>
      </c>
      <c r="J36" s="40">
        <f t="shared" si="2"/>
        <v>0</v>
      </c>
      <c r="K36" s="39">
        <f t="shared" si="3"/>
        <v>0</v>
      </c>
      <c r="L36" s="45">
        <f t="shared" si="4"/>
        <v>0</v>
      </c>
      <c r="M36" s="39">
        <f>'كشف النقاط'!I164</f>
        <v>0</v>
      </c>
      <c r="N36" s="40">
        <f t="shared" si="5"/>
        <v>0</v>
      </c>
      <c r="O36" s="39">
        <f>'كشف النقاط'!I208</f>
        <v>0</v>
      </c>
      <c r="P36" s="40">
        <f t="shared" si="6"/>
        <v>0</v>
      </c>
      <c r="Q36" s="39">
        <f t="shared" si="7"/>
        <v>0</v>
      </c>
      <c r="R36" s="41">
        <f t="shared" si="8"/>
        <v>0</v>
      </c>
      <c r="S36" s="42">
        <f>'كشف النقاط'!I252</f>
        <v>0</v>
      </c>
      <c r="T36" s="40">
        <f t="shared" si="9"/>
        <v>0</v>
      </c>
      <c r="U36" s="39">
        <f t="shared" si="10"/>
        <v>0</v>
      </c>
      <c r="V36" s="45">
        <f t="shared" si="11"/>
        <v>0</v>
      </c>
      <c r="W36" s="39">
        <f>'كشف النقاط'!I297</f>
        <v>0</v>
      </c>
      <c r="X36" s="40">
        <f t="shared" si="12"/>
        <v>0</v>
      </c>
      <c r="Y36" s="39">
        <f t="shared" si="13"/>
        <v>0</v>
      </c>
      <c r="Z36" s="109">
        <f t="shared" si="14"/>
        <v>0</v>
      </c>
      <c r="AA36" s="39">
        <f t="shared" si="15"/>
        <v>0</v>
      </c>
      <c r="AB36" s="46">
        <f t="shared" si="16"/>
        <v>0</v>
      </c>
      <c r="AC36" s="23" t="str">
        <f>IF('كشف النقاط'!H34+'كشف النقاط'!H77+'كشف النقاط'!H120+'كشف النقاط'!H164+'كشف النقاط'!H208+'كشف النقاط'!H252+'كشف النقاط'!H297&gt;0,"إنقاد"," ")</f>
        <v> </v>
      </c>
    </row>
    <row r="37" spans="1:29" ht="11.25" customHeight="1" hidden="1">
      <c r="A37" s="30">
        <v>28</v>
      </c>
      <c r="B37" s="298" t="str">
        <f>IF('كشف النقاط'!B35&gt;0,'كشف النقاط'!B35," ")</f>
        <v> </v>
      </c>
      <c r="C37" s="298" t="str">
        <f>IF('كشف النقاط'!C35&gt;0,'كشف النقاط'!C35," ")</f>
        <v> </v>
      </c>
      <c r="D37" s="155" t="str">
        <f>IF('كشف النقاط'!D35&gt;0,'كشف النقاط'!D35," ")</f>
        <v> </v>
      </c>
      <c r="E37" s="39">
        <f>'كشف النقاط'!I35</f>
        <v>0</v>
      </c>
      <c r="F37" s="40">
        <f t="shared" si="0"/>
        <v>0</v>
      </c>
      <c r="G37" s="39">
        <f>'كشف النقاط'!I78</f>
        <v>0</v>
      </c>
      <c r="H37" s="40">
        <f t="shared" si="1"/>
        <v>0</v>
      </c>
      <c r="I37" s="39">
        <f>'كشف النقاط'!I121</f>
        <v>0</v>
      </c>
      <c r="J37" s="40">
        <f t="shared" si="2"/>
        <v>0</v>
      </c>
      <c r="K37" s="39">
        <f t="shared" si="3"/>
        <v>0</v>
      </c>
      <c r="L37" s="45">
        <f t="shared" si="4"/>
        <v>0</v>
      </c>
      <c r="M37" s="39">
        <f>'كشف النقاط'!I165</f>
        <v>0</v>
      </c>
      <c r="N37" s="40">
        <f t="shared" si="5"/>
        <v>0</v>
      </c>
      <c r="O37" s="39">
        <f>'كشف النقاط'!I209</f>
        <v>0</v>
      </c>
      <c r="P37" s="40">
        <f t="shared" si="6"/>
        <v>0</v>
      </c>
      <c r="Q37" s="39">
        <f t="shared" si="7"/>
        <v>0</v>
      </c>
      <c r="R37" s="41">
        <f t="shared" si="8"/>
        <v>0</v>
      </c>
      <c r="S37" s="42">
        <f>'كشف النقاط'!I253</f>
        <v>0</v>
      </c>
      <c r="T37" s="40">
        <f t="shared" si="9"/>
        <v>0</v>
      </c>
      <c r="U37" s="39">
        <f t="shared" si="10"/>
        <v>0</v>
      </c>
      <c r="V37" s="45">
        <f t="shared" si="11"/>
        <v>0</v>
      </c>
      <c r="W37" s="39">
        <f>'كشف النقاط'!I298</f>
        <v>0</v>
      </c>
      <c r="X37" s="40">
        <f t="shared" si="12"/>
        <v>0</v>
      </c>
      <c r="Y37" s="39">
        <f t="shared" si="13"/>
        <v>0</v>
      </c>
      <c r="Z37" s="109">
        <f t="shared" si="14"/>
        <v>0</v>
      </c>
      <c r="AA37" s="39">
        <f t="shared" si="15"/>
        <v>0</v>
      </c>
      <c r="AB37" s="46">
        <f t="shared" si="16"/>
        <v>0</v>
      </c>
      <c r="AC37" s="23" t="str">
        <f>IF('كشف النقاط'!H35+'كشف النقاط'!H78+'كشف النقاط'!H121+'كشف النقاط'!H165+'كشف النقاط'!H209+'كشف النقاط'!H253+'كشف النقاط'!H298&gt;0,"إنقاد"," ")</f>
        <v> </v>
      </c>
    </row>
    <row r="38" spans="1:29" ht="11.25" customHeight="1" hidden="1">
      <c r="A38" s="30">
        <v>29</v>
      </c>
      <c r="B38" s="298" t="str">
        <f>IF('كشف النقاط'!B36&gt;0,'كشف النقاط'!B36," ")</f>
        <v> </v>
      </c>
      <c r="C38" s="298" t="str">
        <f>IF('كشف النقاط'!C36&gt;0,'كشف النقاط'!C36," ")</f>
        <v> </v>
      </c>
      <c r="D38" s="155" t="str">
        <f>IF('كشف النقاط'!D36&gt;0,'كشف النقاط'!D36," ")</f>
        <v> </v>
      </c>
      <c r="E38" s="39">
        <f>'كشف النقاط'!I36</f>
        <v>0</v>
      </c>
      <c r="F38" s="40">
        <f t="shared" si="0"/>
        <v>0</v>
      </c>
      <c r="G38" s="39">
        <f>'كشف النقاط'!I79</f>
        <v>0</v>
      </c>
      <c r="H38" s="40">
        <f t="shared" si="1"/>
        <v>0</v>
      </c>
      <c r="I38" s="39">
        <f>'كشف النقاط'!I122</f>
        <v>0</v>
      </c>
      <c r="J38" s="40">
        <f t="shared" si="2"/>
        <v>0</v>
      </c>
      <c r="K38" s="39">
        <f t="shared" si="3"/>
        <v>0</v>
      </c>
      <c r="L38" s="45">
        <f t="shared" si="4"/>
        <v>0</v>
      </c>
      <c r="M38" s="39">
        <f>'كشف النقاط'!I166</f>
        <v>0</v>
      </c>
      <c r="N38" s="40">
        <f t="shared" si="5"/>
        <v>0</v>
      </c>
      <c r="O38" s="39">
        <f>'كشف النقاط'!I210</f>
        <v>0</v>
      </c>
      <c r="P38" s="40">
        <f t="shared" si="6"/>
        <v>0</v>
      </c>
      <c r="Q38" s="39">
        <f t="shared" si="7"/>
        <v>0</v>
      </c>
      <c r="R38" s="41">
        <f t="shared" si="8"/>
        <v>0</v>
      </c>
      <c r="S38" s="42">
        <f>'كشف النقاط'!I254</f>
        <v>0</v>
      </c>
      <c r="T38" s="40">
        <f t="shared" si="9"/>
        <v>0</v>
      </c>
      <c r="U38" s="39">
        <f t="shared" si="10"/>
        <v>0</v>
      </c>
      <c r="V38" s="45">
        <f t="shared" si="11"/>
        <v>0</v>
      </c>
      <c r="W38" s="39">
        <f>'كشف النقاط'!I299</f>
        <v>0</v>
      </c>
      <c r="X38" s="40">
        <f t="shared" si="12"/>
        <v>0</v>
      </c>
      <c r="Y38" s="39">
        <f t="shared" si="13"/>
        <v>0</v>
      </c>
      <c r="Z38" s="109">
        <f t="shared" si="14"/>
        <v>0</v>
      </c>
      <c r="AA38" s="39">
        <f t="shared" si="15"/>
        <v>0</v>
      </c>
      <c r="AB38" s="46">
        <f t="shared" si="16"/>
        <v>0</v>
      </c>
      <c r="AC38" s="23" t="str">
        <f>IF('كشف النقاط'!H36+'كشف النقاط'!H79+'كشف النقاط'!H122+'كشف النقاط'!H166+'كشف النقاط'!H210+'كشف النقاط'!H254+'كشف النقاط'!H299&gt;0,"إنقاد"," ")</f>
        <v> </v>
      </c>
    </row>
    <row r="39" spans="1:29" ht="11.25" customHeight="1" hidden="1">
      <c r="A39" s="30">
        <v>30</v>
      </c>
      <c r="B39" s="298" t="str">
        <f>IF('كشف النقاط'!B37&gt;0,'كشف النقاط'!B37," ")</f>
        <v> </v>
      </c>
      <c r="C39" s="298" t="str">
        <f>IF('كشف النقاط'!C37&gt;0,'كشف النقاط'!C37," ")</f>
        <v> </v>
      </c>
      <c r="D39" s="155" t="str">
        <f>IF('كشف النقاط'!D37&gt;0,'كشف النقاط'!D37," ")</f>
        <v> </v>
      </c>
      <c r="E39" s="39">
        <f>'كشف النقاط'!I37</f>
        <v>0</v>
      </c>
      <c r="F39" s="40">
        <f t="shared" si="0"/>
        <v>0</v>
      </c>
      <c r="G39" s="39">
        <f>'كشف النقاط'!I80</f>
        <v>0</v>
      </c>
      <c r="H39" s="40">
        <f t="shared" si="1"/>
        <v>0</v>
      </c>
      <c r="I39" s="39">
        <f>'كشف النقاط'!I123</f>
        <v>0</v>
      </c>
      <c r="J39" s="40">
        <f t="shared" si="2"/>
        <v>0</v>
      </c>
      <c r="K39" s="39">
        <f t="shared" si="3"/>
        <v>0</v>
      </c>
      <c r="L39" s="45">
        <f t="shared" si="4"/>
        <v>0</v>
      </c>
      <c r="M39" s="39">
        <f>'كشف النقاط'!I167</f>
        <v>0</v>
      </c>
      <c r="N39" s="40">
        <f t="shared" si="5"/>
        <v>0</v>
      </c>
      <c r="O39" s="39">
        <f>'كشف النقاط'!I211</f>
        <v>0</v>
      </c>
      <c r="P39" s="40">
        <f t="shared" si="6"/>
        <v>0</v>
      </c>
      <c r="Q39" s="39">
        <f t="shared" si="7"/>
        <v>0</v>
      </c>
      <c r="R39" s="41">
        <f t="shared" si="8"/>
        <v>0</v>
      </c>
      <c r="S39" s="42">
        <f>'كشف النقاط'!I255</f>
        <v>0</v>
      </c>
      <c r="T39" s="40">
        <f t="shared" si="9"/>
        <v>0</v>
      </c>
      <c r="U39" s="39">
        <f t="shared" si="10"/>
        <v>0</v>
      </c>
      <c r="V39" s="45">
        <f t="shared" si="11"/>
        <v>0</v>
      </c>
      <c r="W39" s="39">
        <f>'كشف النقاط'!I300</f>
        <v>0</v>
      </c>
      <c r="X39" s="40">
        <f t="shared" si="12"/>
        <v>0</v>
      </c>
      <c r="Y39" s="39">
        <f t="shared" si="13"/>
        <v>0</v>
      </c>
      <c r="Z39" s="109">
        <f t="shared" si="14"/>
        <v>0</v>
      </c>
      <c r="AA39" s="39">
        <f t="shared" si="15"/>
        <v>0</v>
      </c>
      <c r="AB39" s="46">
        <f t="shared" si="16"/>
        <v>0</v>
      </c>
      <c r="AC39" s="23" t="str">
        <f>IF('كشف النقاط'!H37+'كشف النقاط'!H80+'كشف النقاط'!H123+'كشف النقاط'!H167+'كشف النقاط'!H211+'كشف النقاط'!H255+'كشف النقاط'!H300&gt;0,"إنقاد"," ")</f>
        <v> </v>
      </c>
    </row>
    <row r="40" spans="1:29" ht="12.75" customHeight="1" hidden="1">
      <c r="A40" s="30">
        <v>31</v>
      </c>
      <c r="B40" s="295" t="str">
        <f>IF('كشف النقاط'!B38&gt;0,'كشف النقاط'!B38," ")</f>
        <v> </v>
      </c>
      <c r="C40" s="295" t="str">
        <f>IF('كشف النقاط'!C38&gt;0,'كشف النقاط'!C38," ")</f>
        <v> </v>
      </c>
      <c r="D40" s="155" t="str">
        <f>IF('كشف النقاط'!D38&gt;0,'كشف النقاط'!D38," ")</f>
        <v> </v>
      </c>
      <c r="E40" s="39">
        <f>'كشف النقاط'!I38</f>
        <v>0</v>
      </c>
      <c r="F40" s="40">
        <f t="shared" si="0"/>
        <v>0</v>
      </c>
      <c r="G40" s="39">
        <f>'كشف النقاط'!I81</f>
        <v>0</v>
      </c>
      <c r="H40" s="40">
        <f t="shared" si="1"/>
        <v>0</v>
      </c>
      <c r="I40" s="39">
        <f>'كشف النقاط'!I124</f>
        <v>0</v>
      </c>
      <c r="J40" s="40">
        <f t="shared" si="2"/>
        <v>0</v>
      </c>
      <c r="K40" s="39">
        <f t="shared" si="3"/>
        <v>0</v>
      </c>
      <c r="L40" s="45">
        <f t="shared" si="4"/>
        <v>0</v>
      </c>
      <c r="M40" s="39">
        <f>'كشف النقاط'!I168</f>
        <v>0</v>
      </c>
      <c r="N40" s="40">
        <f t="shared" si="5"/>
        <v>0</v>
      </c>
      <c r="O40" s="39">
        <f>'كشف النقاط'!I212</f>
        <v>0</v>
      </c>
      <c r="P40" s="40">
        <f t="shared" si="6"/>
        <v>0</v>
      </c>
      <c r="Q40" s="39">
        <f t="shared" si="7"/>
        <v>0</v>
      </c>
      <c r="R40" s="41">
        <f t="shared" si="8"/>
        <v>0</v>
      </c>
      <c r="S40" s="42">
        <f>'كشف النقاط'!I256</f>
        <v>0</v>
      </c>
      <c r="T40" s="40">
        <f t="shared" si="9"/>
        <v>0</v>
      </c>
      <c r="U40" s="39">
        <f t="shared" si="10"/>
        <v>0</v>
      </c>
      <c r="V40" s="45">
        <f t="shared" si="11"/>
        <v>0</v>
      </c>
      <c r="W40" s="39">
        <f>'كشف النقاط'!I301</f>
        <v>0</v>
      </c>
      <c r="X40" s="40">
        <f t="shared" si="12"/>
        <v>0</v>
      </c>
      <c r="Y40" s="39">
        <f t="shared" si="13"/>
        <v>0</v>
      </c>
      <c r="Z40" s="109">
        <f t="shared" si="14"/>
        <v>0</v>
      </c>
      <c r="AA40" s="39">
        <f t="shared" si="15"/>
        <v>0</v>
      </c>
      <c r="AB40" s="46">
        <f t="shared" si="16"/>
        <v>0</v>
      </c>
      <c r="AC40" s="23" t="str">
        <f>IF('كشف النقاط'!H38+'كشف النقاط'!H81+'كشف النقاط'!H124+'كشف النقاط'!H168+'كشف النقاط'!H212+'كشف النقاط'!H256+'كشف النقاط'!H301&gt;0,"إنقاد"," ")</f>
        <v> </v>
      </c>
    </row>
    <row r="41" spans="1:29" ht="12.75" customHeight="1" hidden="1">
      <c r="A41" s="30">
        <v>32</v>
      </c>
      <c r="B41" s="295" t="str">
        <f>IF('كشف النقاط'!B39&gt;0,'كشف النقاط'!B39," ")</f>
        <v> </v>
      </c>
      <c r="C41" s="295" t="str">
        <f>IF('كشف النقاط'!C39&gt;0,'كشف النقاط'!C39," ")</f>
        <v> </v>
      </c>
      <c r="D41" s="155" t="str">
        <f>IF('كشف النقاط'!D39&gt;0,'كشف النقاط'!D39," ")</f>
        <v> </v>
      </c>
      <c r="E41" s="39">
        <f>'كشف النقاط'!I39</f>
        <v>0</v>
      </c>
      <c r="F41" s="40">
        <f t="shared" si="0"/>
        <v>0</v>
      </c>
      <c r="G41" s="39">
        <f>'كشف النقاط'!I82</f>
        <v>0</v>
      </c>
      <c r="H41" s="40">
        <f t="shared" si="1"/>
        <v>0</v>
      </c>
      <c r="I41" s="39">
        <f>'كشف النقاط'!I125</f>
        <v>0</v>
      </c>
      <c r="J41" s="40">
        <f t="shared" si="2"/>
        <v>0</v>
      </c>
      <c r="K41" s="39">
        <f t="shared" si="3"/>
        <v>0</v>
      </c>
      <c r="L41" s="45">
        <f t="shared" si="4"/>
        <v>0</v>
      </c>
      <c r="M41" s="39">
        <f>'كشف النقاط'!I169</f>
        <v>0</v>
      </c>
      <c r="N41" s="40">
        <f t="shared" si="5"/>
        <v>0</v>
      </c>
      <c r="O41" s="39">
        <f>'كشف النقاط'!I213</f>
        <v>0</v>
      </c>
      <c r="P41" s="40">
        <f t="shared" si="6"/>
        <v>0</v>
      </c>
      <c r="Q41" s="39">
        <f t="shared" si="7"/>
        <v>0</v>
      </c>
      <c r="R41" s="41">
        <f t="shared" si="8"/>
        <v>0</v>
      </c>
      <c r="S41" s="42">
        <f>'كشف النقاط'!I257</f>
        <v>0</v>
      </c>
      <c r="T41" s="40">
        <f t="shared" si="9"/>
        <v>0</v>
      </c>
      <c r="U41" s="39">
        <f t="shared" si="10"/>
        <v>0</v>
      </c>
      <c r="V41" s="45">
        <f t="shared" si="11"/>
        <v>0</v>
      </c>
      <c r="W41" s="39">
        <f>'كشف النقاط'!I302</f>
        <v>0</v>
      </c>
      <c r="X41" s="40">
        <f t="shared" si="12"/>
        <v>0</v>
      </c>
      <c r="Y41" s="39">
        <f t="shared" si="13"/>
        <v>0</v>
      </c>
      <c r="Z41" s="109">
        <f t="shared" si="14"/>
        <v>0</v>
      </c>
      <c r="AA41" s="39">
        <f t="shared" si="15"/>
        <v>0</v>
      </c>
      <c r="AB41" s="46">
        <f t="shared" si="16"/>
        <v>0</v>
      </c>
      <c r="AC41" s="23" t="str">
        <f>IF('كشف النقاط'!H39+'كشف النقاط'!H82+'كشف النقاط'!H125+'كشف النقاط'!H169+'كشف النقاط'!H213+'كشف النقاط'!H257+'كشف النقاط'!H302&gt;0,"إنقاد"," ")</f>
        <v> </v>
      </c>
    </row>
    <row r="42" spans="5:27" ht="12" customHeight="1">
      <c r="E42" s="51" t="s">
        <v>509</v>
      </c>
      <c r="F42" s="49"/>
      <c r="G42" s="51" t="s">
        <v>510</v>
      </c>
      <c r="H42" s="50"/>
      <c r="I42" s="51" t="s">
        <v>493</v>
      </c>
      <c r="J42" s="49"/>
      <c r="K42" s="50"/>
      <c r="L42" s="50"/>
      <c r="M42" s="51" t="s">
        <v>511</v>
      </c>
      <c r="N42" s="49"/>
      <c r="O42" s="51" t="s">
        <v>210</v>
      </c>
      <c r="P42" s="49"/>
      <c r="Q42" s="50"/>
      <c r="R42" s="49"/>
      <c r="S42" s="51" t="s">
        <v>512</v>
      </c>
      <c r="T42" s="49"/>
      <c r="U42" s="49"/>
      <c r="V42" s="49"/>
      <c r="W42" s="51" t="s">
        <v>482</v>
      </c>
      <c r="X42" s="49"/>
      <c r="Y42" s="50"/>
      <c r="AA42" s="245"/>
    </row>
    <row r="43" spans="5:25" ht="9.75" customHeight="1">
      <c r="E43" s="33"/>
      <c r="F43" s="31"/>
      <c r="G43" s="33"/>
      <c r="H43" s="31"/>
      <c r="I43" s="33"/>
      <c r="J43" s="31"/>
      <c r="K43" s="1"/>
      <c r="L43" s="31"/>
      <c r="M43" s="33"/>
      <c r="N43" s="31"/>
      <c r="O43" s="33"/>
      <c r="P43" s="31"/>
      <c r="Q43" s="1"/>
      <c r="R43" s="31"/>
      <c r="S43" s="33"/>
      <c r="W43" s="33"/>
      <c r="Y43" s="1"/>
    </row>
    <row r="44" spans="5:27" ht="18">
      <c r="E44" s="32"/>
      <c r="F44" s="31"/>
      <c r="G44" s="32"/>
      <c r="H44" s="31"/>
      <c r="I44" s="32"/>
      <c r="J44" s="31"/>
      <c r="K44" s="1"/>
      <c r="L44" s="31"/>
      <c r="M44" s="32"/>
      <c r="N44" s="31"/>
      <c r="O44" s="32"/>
      <c r="P44" s="31"/>
      <c r="Q44" s="1"/>
      <c r="R44" s="31"/>
      <c r="S44" s="32"/>
      <c r="W44" s="32"/>
      <c r="Y44" s="1"/>
      <c r="AA44" s="19" t="s">
        <v>29</v>
      </c>
    </row>
    <row r="45" spans="5:25" ht="12.75">
      <c r="E45" s="32"/>
      <c r="F45" s="31"/>
      <c r="G45" s="32"/>
      <c r="H45" s="31"/>
      <c r="I45" s="32"/>
      <c r="J45" s="31"/>
      <c r="K45" s="1"/>
      <c r="L45" s="31"/>
      <c r="M45" s="32"/>
      <c r="N45" s="31"/>
      <c r="O45" s="32"/>
      <c r="P45" s="31"/>
      <c r="Q45" s="1"/>
      <c r="R45" s="31"/>
      <c r="S45" s="32"/>
      <c r="W45" s="32"/>
      <c r="Y45" s="1"/>
    </row>
    <row r="46" spans="5:25" ht="12.75">
      <c r="E46" s="32"/>
      <c r="F46" s="31"/>
      <c r="G46" s="32"/>
      <c r="H46" s="31"/>
      <c r="I46" s="32"/>
      <c r="J46" s="31"/>
      <c r="K46" s="1"/>
      <c r="L46" s="31"/>
      <c r="M46" s="32"/>
      <c r="N46" s="31"/>
      <c r="O46" s="32"/>
      <c r="P46" s="31"/>
      <c r="Q46" s="1"/>
      <c r="R46" s="31"/>
      <c r="S46" s="32"/>
      <c r="W46" s="32"/>
      <c r="Y46" s="1"/>
    </row>
    <row r="47" spans="5:25" ht="12.75">
      <c r="E47" s="32"/>
      <c r="F47" s="31"/>
      <c r="G47" s="32"/>
      <c r="H47" s="31"/>
      <c r="I47" s="32"/>
      <c r="J47" s="31"/>
      <c r="K47" s="1"/>
      <c r="L47" s="31"/>
      <c r="M47" s="32"/>
      <c r="N47" s="31"/>
      <c r="O47" s="32"/>
      <c r="P47" s="31"/>
      <c r="Q47" s="1"/>
      <c r="R47" s="31"/>
      <c r="S47" s="32"/>
      <c r="W47" s="32"/>
      <c r="Y47" s="1"/>
    </row>
    <row r="48" spans="5:25" ht="12.75">
      <c r="E48" s="32"/>
      <c r="F48" s="31"/>
      <c r="G48" s="32"/>
      <c r="H48" s="31"/>
      <c r="I48" s="32"/>
      <c r="J48" s="31"/>
      <c r="K48" s="1"/>
      <c r="L48" s="31"/>
      <c r="M48" s="32"/>
      <c r="N48" s="31"/>
      <c r="O48" s="32"/>
      <c r="P48" s="31"/>
      <c r="Q48" s="1"/>
      <c r="R48" s="31"/>
      <c r="S48" s="32"/>
      <c r="W48" s="32"/>
      <c r="Y48" s="1"/>
    </row>
    <row r="49" spans="5:25" ht="12.75">
      <c r="E49" s="32"/>
      <c r="F49" s="31"/>
      <c r="G49" s="32"/>
      <c r="H49" s="31"/>
      <c r="I49" s="32"/>
      <c r="J49" s="31"/>
      <c r="K49" s="1"/>
      <c r="L49" s="31"/>
      <c r="M49" s="32"/>
      <c r="N49" s="31"/>
      <c r="O49" s="32"/>
      <c r="P49" s="31"/>
      <c r="Q49" s="1"/>
      <c r="R49" s="31"/>
      <c r="S49" s="32"/>
      <c r="W49" s="32"/>
      <c r="Y49" s="1"/>
    </row>
    <row r="50" spans="5:25" ht="12.75">
      <c r="E50" s="32"/>
      <c r="F50" s="31"/>
      <c r="G50" s="32"/>
      <c r="H50" s="31"/>
      <c r="I50" s="32"/>
      <c r="J50" s="31"/>
      <c r="K50" s="1"/>
      <c r="L50" s="31"/>
      <c r="M50" s="32"/>
      <c r="N50" s="31"/>
      <c r="O50" s="32"/>
      <c r="P50" s="31"/>
      <c r="Q50" s="1"/>
      <c r="R50" s="31"/>
      <c r="S50" s="32"/>
      <c r="W50" s="32"/>
      <c r="Y50" s="1"/>
    </row>
    <row r="51" spans="5:25" ht="12.75">
      <c r="E51" s="32"/>
      <c r="F51" s="31"/>
      <c r="G51" s="32"/>
      <c r="H51" s="31"/>
      <c r="I51" s="32"/>
      <c r="J51" s="31"/>
      <c r="K51" s="1"/>
      <c r="L51" s="31"/>
      <c r="M51" s="32"/>
      <c r="N51" s="31"/>
      <c r="O51" s="32"/>
      <c r="P51" s="31"/>
      <c r="Q51" s="1"/>
      <c r="R51" s="31"/>
      <c r="S51" s="32"/>
      <c r="W51" s="32"/>
      <c r="Y51" s="1"/>
    </row>
  </sheetData>
  <sheetProtection/>
  <mergeCells count="9">
    <mergeCell ref="B5:B9"/>
    <mergeCell ref="D5:D9"/>
    <mergeCell ref="AC5:AC9"/>
    <mergeCell ref="V5:V7"/>
    <mergeCell ref="L5:L7"/>
    <mergeCell ref="R5:R7"/>
    <mergeCell ref="AB5:AB7"/>
    <mergeCell ref="Z5:Z7"/>
    <mergeCell ref="C5:C9"/>
  </mergeCells>
  <printOptions/>
  <pageMargins left="0.25" right="0.25" top="0.75" bottom="0.75" header="0.3" footer="0.3"/>
  <pageSetup horizontalDpi="600" verticalDpi="600" orientation="landscape" paperSize="9" r:id="rId1"/>
  <rowBreaks count="1" manualBreakCount="1">
    <brk id="46" max="30" man="1"/>
  </rowBreaks>
</worksheet>
</file>

<file path=xl/worksheets/sheet4.xml><?xml version="1.0" encoding="utf-8"?>
<worksheet xmlns="http://schemas.openxmlformats.org/spreadsheetml/2006/main" xmlns:r="http://schemas.openxmlformats.org/officeDocument/2006/relationships">
  <sheetPr>
    <tabColor indexed="18"/>
  </sheetPr>
  <dimension ref="A1:AC47"/>
  <sheetViews>
    <sheetView rightToLeft="1" view="pageBreakPreview" zoomScale="124" zoomScaleSheetLayoutView="124" workbookViewId="0" topLeftCell="A1">
      <selection activeCell="B4" sqref="B4"/>
    </sheetView>
  </sheetViews>
  <sheetFormatPr defaultColWidth="11.421875" defaultRowHeight="12.75"/>
  <cols>
    <col min="1" max="1" width="3.28125" style="25" customWidth="1"/>
    <col min="2" max="2" width="7.8515625" style="25" customWidth="1"/>
    <col min="3" max="3" width="10.8515625" style="25" customWidth="1"/>
    <col min="4" max="4" width="4.00390625" style="25" customWidth="1"/>
    <col min="5" max="5" width="5.7109375" style="25" customWidth="1"/>
    <col min="6" max="6" width="4.00390625" style="25" bestFit="1" customWidth="1"/>
    <col min="7" max="7" width="5.8515625" style="25" customWidth="1"/>
    <col min="8" max="8" width="3.00390625" style="25" customWidth="1"/>
    <col min="9" max="9" width="5.7109375" style="25" customWidth="1"/>
    <col min="10" max="10" width="2.8515625" style="25" customWidth="1"/>
    <col min="11" max="11" width="5.8515625" style="25" customWidth="1"/>
    <col min="12" max="12" width="3.00390625" style="25" customWidth="1"/>
    <col min="13" max="13" width="5.8515625" style="25" customWidth="1"/>
    <col min="14" max="14" width="2.8515625" style="25" customWidth="1"/>
    <col min="15" max="15" width="5.8515625" style="25" customWidth="1"/>
    <col min="16" max="16" width="2.8515625" style="25" customWidth="1"/>
    <col min="17" max="17" width="5.7109375" style="25" customWidth="1"/>
    <col min="18" max="18" width="2.7109375" style="25" customWidth="1"/>
    <col min="19" max="19" width="6.140625" style="25" customWidth="1"/>
    <col min="20" max="20" width="2.8515625" style="25" customWidth="1"/>
    <col min="21" max="21" width="6.421875" style="25" customWidth="1"/>
    <col min="22" max="22" width="2.7109375" style="25" customWidth="1"/>
    <col min="23" max="23" width="5.7109375" style="25" customWidth="1"/>
    <col min="24" max="24" width="2.8515625" style="25" customWidth="1"/>
    <col min="25" max="25" width="5.7109375" style="25" customWidth="1"/>
    <col min="26" max="26" width="2.7109375" style="25" customWidth="1"/>
    <col min="27" max="27" width="6.421875" style="25" customWidth="1"/>
    <col min="28" max="28" width="3.00390625" style="25" customWidth="1"/>
    <col min="29" max="29" width="7.28125" style="25" customWidth="1"/>
    <col min="30" max="16384" width="11.421875" style="25" customWidth="1"/>
  </cols>
  <sheetData>
    <row r="1" spans="1:28" ht="16.5" customHeight="1">
      <c r="A1" s="19" t="s">
        <v>19</v>
      </c>
      <c r="B1" s="19"/>
      <c r="C1" s="19"/>
      <c r="X1" s="62" t="s">
        <v>518</v>
      </c>
      <c r="Y1" s="61"/>
      <c r="Z1" s="61"/>
      <c r="AA1" s="61"/>
      <c r="AB1" s="61"/>
    </row>
    <row r="2" spans="1:28" ht="16.5" customHeight="1">
      <c r="A2" s="19" t="s">
        <v>20</v>
      </c>
      <c r="B2" s="19"/>
      <c r="C2" s="19"/>
      <c r="X2" s="61" t="s">
        <v>28</v>
      </c>
      <c r="Y2" s="61"/>
      <c r="Z2" s="61"/>
      <c r="AA2" s="61"/>
      <c r="AB2" s="61"/>
    </row>
    <row r="3" spans="1:28" ht="16.5" customHeight="1">
      <c r="A3" s="19" t="s">
        <v>4</v>
      </c>
      <c r="B3" s="19"/>
      <c r="C3" s="19"/>
      <c r="X3" s="61" t="s">
        <v>21</v>
      </c>
      <c r="Y3" s="61"/>
      <c r="Z3" s="61"/>
      <c r="AA3" s="61"/>
      <c r="AB3" s="61"/>
    </row>
    <row r="4" spans="2:29" ht="19.5" customHeight="1">
      <c r="B4" s="19" t="s">
        <v>527</v>
      </c>
      <c r="C4" s="4"/>
      <c r="K4" s="10" t="s">
        <v>115</v>
      </c>
      <c r="Y4" s="61" t="s">
        <v>198</v>
      </c>
      <c r="AC4" s="4"/>
    </row>
    <row r="5" spans="1:29" ht="15" customHeight="1">
      <c r="A5" s="722" t="s">
        <v>9</v>
      </c>
      <c r="B5" s="702" t="s">
        <v>163</v>
      </c>
      <c r="C5" s="702" t="s">
        <v>164</v>
      </c>
      <c r="D5" s="725" t="s">
        <v>84</v>
      </c>
      <c r="E5" s="666" t="s">
        <v>166</v>
      </c>
      <c r="F5" s="34"/>
      <c r="G5" s="34"/>
      <c r="H5" s="34"/>
      <c r="I5" s="34"/>
      <c r="J5" s="34"/>
      <c r="K5" s="24"/>
      <c r="L5" s="711" t="s">
        <v>80</v>
      </c>
      <c r="M5" s="104"/>
      <c r="N5" s="105" t="s">
        <v>38</v>
      </c>
      <c r="O5" s="106"/>
      <c r="P5" s="106"/>
      <c r="Q5" s="24"/>
      <c r="R5" s="711" t="s">
        <v>80</v>
      </c>
      <c r="S5" s="34" t="s">
        <v>37</v>
      </c>
      <c r="T5" s="102"/>
      <c r="U5" s="34"/>
      <c r="V5" s="711" t="s">
        <v>80</v>
      </c>
      <c r="W5" s="104"/>
      <c r="X5" s="106" t="s">
        <v>90</v>
      </c>
      <c r="Y5" s="107"/>
      <c r="Z5" s="711" t="s">
        <v>80</v>
      </c>
      <c r="AA5" s="64" t="s">
        <v>22</v>
      </c>
      <c r="AB5" s="716" t="s">
        <v>80</v>
      </c>
      <c r="AC5" s="719" t="s">
        <v>24</v>
      </c>
    </row>
    <row r="6" spans="1:29" ht="11.25" customHeight="1">
      <c r="A6" s="723"/>
      <c r="B6" s="703"/>
      <c r="C6" s="703"/>
      <c r="D6" s="726"/>
      <c r="E6" s="669" t="s">
        <v>487</v>
      </c>
      <c r="F6" s="35"/>
      <c r="G6" s="669" t="s">
        <v>499</v>
      </c>
      <c r="H6" s="98"/>
      <c r="I6" s="669" t="s">
        <v>500</v>
      </c>
      <c r="J6" s="35"/>
      <c r="K6" s="79"/>
      <c r="L6" s="714"/>
      <c r="M6" s="669" t="s">
        <v>501</v>
      </c>
      <c r="N6" s="27"/>
      <c r="O6" s="669" t="s">
        <v>480</v>
      </c>
      <c r="P6" s="80"/>
      <c r="Q6" s="100"/>
      <c r="R6" s="714"/>
      <c r="S6" s="669" t="s">
        <v>502</v>
      </c>
      <c r="T6" s="13"/>
      <c r="U6" s="14"/>
      <c r="V6" s="712"/>
      <c r="W6" s="97" t="s">
        <v>503</v>
      </c>
      <c r="X6" s="21"/>
      <c r="Y6" s="16"/>
      <c r="Z6" s="712"/>
      <c r="AA6" s="58" t="s">
        <v>25</v>
      </c>
      <c r="AB6" s="717"/>
      <c r="AC6" s="720"/>
    </row>
    <row r="7" spans="1:29" ht="12.75" customHeight="1">
      <c r="A7" s="723"/>
      <c r="B7" s="703"/>
      <c r="C7" s="703"/>
      <c r="D7" s="726"/>
      <c r="E7" s="675" t="s">
        <v>504</v>
      </c>
      <c r="F7" s="108"/>
      <c r="G7" s="676" t="s">
        <v>505</v>
      </c>
      <c r="H7" s="36"/>
      <c r="I7" s="677" t="s">
        <v>506</v>
      </c>
      <c r="J7" s="128"/>
      <c r="K7" s="101" t="s">
        <v>23</v>
      </c>
      <c r="L7" s="715"/>
      <c r="M7" s="81" t="s">
        <v>507</v>
      </c>
      <c r="N7" s="36"/>
      <c r="O7" s="80" t="s">
        <v>481</v>
      </c>
      <c r="P7" s="80"/>
      <c r="Q7" s="100" t="s">
        <v>23</v>
      </c>
      <c r="R7" s="715"/>
      <c r="S7" s="81" t="s">
        <v>508</v>
      </c>
      <c r="T7" s="17"/>
      <c r="U7" s="100" t="s">
        <v>23</v>
      </c>
      <c r="V7" s="713"/>
      <c r="W7" s="678" t="s">
        <v>190</v>
      </c>
      <c r="X7" s="21"/>
      <c r="Y7" s="100" t="s">
        <v>23</v>
      </c>
      <c r="Z7" s="713"/>
      <c r="AA7" s="60"/>
      <c r="AB7" s="718"/>
      <c r="AC7" s="720"/>
    </row>
    <row r="8" spans="1:29" ht="11.25" customHeight="1">
      <c r="A8" s="723"/>
      <c r="B8" s="703"/>
      <c r="C8" s="703"/>
      <c r="D8" s="726"/>
      <c r="E8" s="37" t="s">
        <v>81</v>
      </c>
      <c r="F8" s="29" t="s">
        <v>26</v>
      </c>
      <c r="G8" s="37" t="s">
        <v>81</v>
      </c>
      <c r="H8" s="29" t="s">
        <v>26</v>
      </c>
      <c r="I8" s="37" t="s">
        <v>81</v>
      </c>
      <c r="J8" s="29" t="s">
        <v>26</v>
      </c>
      <c r="K8" s="37" t="s">
        <v>81</v>
      </c>
      <c r="L8" s="44" t="s">
        <v>26</v>
      </c>
      <c r="M8" s="48" t="s">
        <v>81</v>
      </c>
      <c r="N8" s="28" t="s">
        <v>26</v>
      </c>
      <c r="O8" s="37" t="s">
        <v>81</v>
      </c>
      <c r="P8" s="29" t="s">
        <v>26</v>
      </c>
      <c r="Q8" s="37" t="s">
        <v>81</v>
      </c>
      <c r="R8" s="44" t="s">
        <v>26</v>
      </c>
      <c r="S8" s="48" t="s">
        <v>81</v>
      </c>
      <c r="T8" s="28" t="s">
        <v>26</v>
      </c>
      <c r="U8" s="37" t="s">
        <v>81</v>
      </c>
      <c r="V8" s="44" t="s">
        <v>26</v>
      </c>
      <c r="W8" s="37" t="s">
        <v>81</v>
      </c>
      <c r="X8" s="29" t="s">
        <v>26</v>
      </c>
      <c r="Y8" s="37" t="s">
        <v>81</v>
      </c>
      <c r="Z8" s="44" t="s">
        <v>26</v>
      </c>
      <c r="AA8" s="37" t="s">
        <v>81</v>
      </c>
      <c r="AB8" s="44" t="s">
        <v>26</v>
      </c>
      <c r="AC8" s="720"/>
    </row>
    <row r="9" spans="1:29" ht="10.5" customHeight="1">
      <c r="A9" s="724"/>
      <c r="B9" s="704"/>
      <c r="C9" s="704"/>
      <c r="D9" s="727"/>
      <c r="E9" s="38">
        <v>3</v>
      </c>
      <c r="F9" s="38">
        <v>7</v>
      </c>
      <c r="G9" s="38">
        <v>2</v>
      </c>
      <c r="H9" s="38">
        <v>6</v>
      </c>
      <c r="I9" s="38">
        <v>2</v>
      </c>
      <c r="J9" s="38">
        <v>5</v>
      </c>
      <c r="K9" s="38">
        <v>7</v>
      </c>
      <c r="L9" s="666">
        <v>18</v>
      </c>
      <c r="M9" s="38">
        <v>2</v>
      </c>
      <c r="N9" s="38">
        <v>5</v>
      </c>
      <c r="O9" s="38">
        <v>2</v>
      </c>
      <c r="P9" s="38">
        <v>4</v>
      </c>
      <c r="Q9" s="38">
        <v>4</v>
      </c>
      <c r="R9" s="666">
        <v>9</v>
      </c>
      <c r="S9" s="38">
        <v>2</v>
      </c>
      <c r="T9" s="38">
        <v>2</v>
      </c>
      <c r="U9" s="38">
        <f>S9</f>
        <v>2</v>
      </c>
      <c r="V9" s="666">
        <f>T9</f>
        <v>2</v>
      </c>
      <c r="W9" s="38">
        <v>1</v>
      </c>
      <c r="X9" s="38">
        <v>1</v>
      </c>
      <c r="Y9" s="38">
        <f>W9</f>
        <v>1</v>
      </c>
      <c r="Z9" s="666">
        <f>X9</f>
        <v>1</v>
      </c>
      <c r="AA9" s="38">
        <f>Y9+U9+Q9+K9</f>
        <v>14</v>
      </c>
      <c r="AB9" s="85">
        <f>Z9+V9+R9+L9</f>
        <v>30</v>
      </c>
      <c r="AC9" s="721"/>
    </row>
    <row r="10" spans="1:29" ht="13.5" customHeight="1">
      <c r="A10" s="178">
        <v>1</v>
      </c>
      <c r="B10" s="143" t="str">
        <f>IF('كشف النقاط'!B8&gt;0,'كشف النقاط'!B8," ")</f>
        <v>الحاج </v>
      </c>
      <c r="C10" s="143" t="str">
        <f>IF('كشف النقاط'!C8&gt;0,'كشف النقاط'!C8," ")</f>
        <v>مروة</v>
      </c>
      <c r="D10" s="76" t="str">
        <f>IF('كشف النقاط'!D8&gt;0,'كشف النقاط'!D8," ")</f>
        <v> </v>
      </c>
      <c r="E10" s="39">
        <f>'كشف النقاط'!N8</f>
        <v>48.75</v>
      </c>
      <c r="F10" s="40">
        <f>IF(E10&lt;30,0,7)</f>
        <v>7</v>
      </c>
      <c r="G10" s="39">
        <f>'كشف النقاط'!N51</f>
        <v>37.5</v>
      </c>
      <c r="H10" s="40">
        <f>IF(G10&lt;20,0,6)</f>
        <v>6</v>
      </c>
      <c r="I10" s="39">
        <f>'كشف النقاط'!N94</f>
        <v>31</v>
      </c>
      <c r="J10" s="40">
        <f>IF(I10&lt;20,0,5)</f>
        <v>5</v>
      </c>
      <c r="K10" s="39">
        <f>(E10+G10+I10)/7</f>
        <v>16.75</v>
      </c>
      <c r="L10" s="41">
        <f>IF(K10&lt;10,J10+H10+F10,18)</f>
        <v>18</v>
      </c>
      <c r="M10" s="39">
        <f>'كشف النقاط'!N138</f>
        <v>35.4</v>
      </c>
      <c r="N10" s="40">
        <f>IF(M10&lt;20,0,5)</f>
        <v>5</v>
      </c>
      <c r="O10" s="39">
        <f>'كشف النقاط'!N182</f>
        <v>23.5</v>
      </c>
      <c r="P10" s="40">
        <f>IF(O10&lt;20,0,4)</f>
        <v>4</v>
      </c>
      <c r="Q10" s="39">
        <f>(M10+O10)/4</f>
        <v>14.725</v>
      </c>
      <c r="R10" s="45">
        <f>IF(Q10&lt;10,P10+N10,9)</f>
        <v>9</v>
      </c>
      <c r="S10" s="42">
        <f>'كشف النقاط'!N226</f>
        <v>29.5</v>
      </c>
      <c r="T10" s="40">
        <f>IF(S10&lt;20,0,2)</f>
        <v>2</v>
      </c>
      <c r="U10" s="39">
        <f>S10/2</f>
        <v>14.75</v>
      </c>
      <c r="V10" s="45">
        <f>IF(U10&lt;10,0,2)</f>
        <v>2</v>
      </c>
      <c r="W10" s="39">
        <f>'كشف النقاط'!N271</f>
        <v>12.75</v>
      </c>
      <c r="X10" s="40">
        <f>IF(W10&lt;10,0,1)</f>
        <v>1</v>
      </c>
      <c r="Y10" s="39">
        <f>W10</f>
        <v>12.75</v>
      </c>
      <c r="Z10" s="45">
        <f>X10</f>
        <v>1</v>
      </c>
      <c r="AA10" s="39">
        <f>(E10+G10+I10+M10+O10+S10+W10)/14</f>
        <v>15.6</v>
      </c>
      <c r="AB10" s="46">
        <f>IF(AA10&lt;10,Z10++V10+R10+L10,30)</f>
        <v>30</v>
      </c>
      <c r="AC10" s="179" t="str">
        <f>IF('كشف النقاط'!M8+'كشف النقاط'!M51+'كشف النقاط'!M94+'كشف النقاط'!M138+'كشف النقاط'!M182+'كشف النقاط'!M226+'كشف النقاط'!M271&gt;0,"إنقاد"," ")</f>
        <v> </v>
      </c>
    </row>
    <row r="11" spans="1:29" ht="13.5" customHeight="1">
      <c r="A11" s="178">
        <f>A10+1</f>
        <v>2</v>
      </c>
      <c r="B11" s="143" t="str">
        <f>IF('كشف النقاط'!B9&gt;0,'كشف النقاط'!B9," ")</f>
        <v>العياشي </v>
      </c>
      <c r="C11" s="143" t="str">
        <f>IF('كشف النقاط'!C9&gt;0,'كشف النقاط'!C9," ")</f>
        <v>نوار</v>
      </c>
      <c r="D11" s="76" t="str">
        <f>IF('كشف النقاط'!D9&gt;0,'كشف النقاط'!D9," ")</f>
        <v> </v>
      </c>
      <c r="E11" s="39">
        <f>'كشف النقاط'!N9</f>
        <v>17.25</v>
      </c>
      <c r="F11" s="40">
        <f aca="true" t="shared" si="0" ref="F11:F41">IF(E11&lt;30,0,7)</f>
        <v>0</v>
      </c>
      <c r="G11" s="39">
        <f>'كشف النقاط'!N52</f>
        <v>10.5</v>
      </c>
      <c r="H11" s="40">
        <f aca="true" t="shared" si="1" ref="H11:H41">IF(G11&lt;20,0,6)</f>
        <v>0</v>
      </c>
      <c r="I11" s="39">
        <f>'كشف النقاط'!N95</f>
        <v>12</v>
      </c>
      <c r="J11" s="40">
        <f aca="true" t="shared" si="2" ref="J11:J41">IF(I11&lt;20,0,5)</f>
        <v>0</v>
      </c>
      <c r="K11" s="39">
        <f aca="true" t="shared" si="3" ref="K11:K41">(E11+G11+I11)/7</f>
        <v>5.678571428571429</v>
      </c>
      <c r="L11" s="41">
        <f aca="true" t="shared" si="4" ref="L11:L41">IF(K11&lt;10,J11+H11+F11,18)</f>
        <v>0</v>
      </c>
      <c r="M11" s="39">
        <f>'كشف النقاط'!N139</f>
        <v>12.4</v>
      </c>
      <c r="N11" s="40">
        <f aca="true" t="shared" si="5" ref="N11:N41">IF(M11&lt;20,0,5)</f>
        <v>0</v>
      </c>
      <c r="O11" s="39">
        <f>'كشف النقاط'!N183</f>
        <v>15</v>
      </c>
      <c r="P11" s="40">
        <f aca="true" t="shared" si="6" ref="P11:P41">IF(O11&lt;20,0,4)</f>
        <v>0</v>
      </c>
      <c r="Q11" s="39">
        <f aca="true" t="shared" si="7" ref="Q11:Q41">(M11+O11)/4</f>
        <v>6.85</v>
      </c>
      <c r="R11" s="45">
        <f aca="true" t="shared" si="8" ref="R11:R41">IF(Q11&lt;10,P11+N11,9)</f>
        <v>0</v>
      </c>
      <c r="S11" s="42">
        <f>'كشف النقاط'!N227</f>
        <v>12</v>
      </c>
      <c r="T11" s="40">
        <f aca="true" t="shared" si="9" ref="T11:T41">IF(S11&lt;20,0,2)</f>
        <v>0</v>
      </c>
      <c r="U11" s="39">
        <f aca="true" t="shared" si="10" ref="U11:U41">S11/2</f>
        <v>6</v>
      </c>
      <c r="V11" s="45">
        <f aca="true" t="shared" si="11" ref="V11:V41">IF(U11&lt;10,0,2)</f>
        <v>0</v>
      </c>
      <c r="W11" s="39">
        <f>'كشف النقاط'!N272</f>
        <v>4.75</v>
      </c>
      <c r="X11" s="40">
        <f aca="true" t="shared" si="12" ref="X11:X41">IF(W11&lt;10,0,1)</f>
        <v>0</v>
      </c>
      <c r="Y11" s="39">
        <f aca="true" t="shared" si="13" ref="Y11:Y41">W11</f>
        <v>4.75</v>
      </c>
      <c r="Z11" s="45">
        <f aca="true" t="shared" si="14" ref="Z11:Z41">X11</f>
        <v>0</v>
      </c>
      <c r="AA11" s="39">
        <f aca="true" t="shared" si="15" ref="AA11:AA41">(E11+G11+I11+M11+O11+S11+W11)/14</f>
        <v>5.992857142857143</v>
      </c>
      <c r="AB11" s="46">
        <f aca="true" t="shared" si="16" ref="AB11:AB41">IF(AA11&lt;10,Z11++V11+R11+L11,30)</f>
        <v>0</v>
      </c>
      <c r="AC11" s="179" t="str">
        <f>IF('كشف النقاط'!M9+'كشف النقاط'!M52+'كشف النقاط'!M95+'كشف النقاط'!M139+'كشف النقاط'!M183+'كشف النقاط'!M227+'كشف النقاط'!M272&gt;0,"إنقاد"," ")</f>
        <v> </v>
      </c>
    </row>
    <row r="12" spans="1:29" ht="13.5" customHeight="1">
      <c r="A12" s="178">
        <f aca="true" t="shared" si="17" ref="A12:A20">A11+1</f>
        <v>3</v>
      </c>
      <c r="B12" s="143" t="str">
        <f>IF('كشف النقاط'!B10&gt;0,'كشف النقاط'!B10," ")</f>
        <v>باطح </v>
      </c>
      <c r="C12" s="143" t="str">
        <f>IF('كشف النقاط'!C10&gt;0,'كشف النقاط'!C10," ")</f>
        <v>محمد لمين</v>
      </c>
      <c r="D12" s="76" t="str">
        <f>IF('كشف النقاط'!D10&gt;0,'كشف النقاط'!D10," ")</f>
        <v> </v>
      </c>
      <c r="E12" s="39">
        <f>'كشف النقاط'!N10</f>
        <v>47.25</v>
      </c>
      <c r="F12" s="40">
        <f t="shared" si="0"/>
        <v>7</v>
      </c>
      <c r="G12" s="39">
        <f>'كشف النقاط'!N53</f>
        <v>23</v>
      </c>
      <c r="H12" s="40">
        <f t="shared" si="1"/>
        <v>6</v>
      </c>
      <c r="I12" s="39">
        <f>'كشف النقاط'!N96</f>
        <v>30</v>
      </c>
      <c r="J12" s="40">
        <f t="shared" si="2"/>
        <v>5</v>
      </c>
      <c r="K12" s="39">
        <f t="shared" si="3"/>
        <v>14.321428571428571</v>
      </c>
      <c r="L12" s="41">
        <f t="shared" si="4"/>
        <v>18</v>
      </c>
      <c r="M12" s="39">
        <f>'كشف النقاط'!N140</f>
        <v>21.4</v>
      </c>
      <c r="N12" s="40">
        <f t="shared" si="5"/>
        <v>5</v>
      </c>
      <c r="O12" s="39">
        <f>'كشف النقاط'!N184</f>
        <v>24.5</v>
      </c>
      <c r="P12" s="40">
        <f t="shared" si="6"/>
        <v>4</v>
      </c>
      <c r="Q12" s="39">
        <f t="shared" si="7"/>
        <v>11.475</v>
      </c>
      <c r="R12" s="45">
        <f t="shared" si="8"/>
        <v>9</v>
      </c>
      <c r="S12" s="42">
        <f>'كشف النقاط'!N228</f>
        <v>24</v>
      </c>
      <c r="T12" s="40">
        <f t="shared" si="9"/>
        <v>2</v>
      </c>
      <c r="U12" s="39">
        <f t="shared" si="10"/>
        <v>12</v>
      </c>
      <c r="V12" s="45">
        <f t="shared" si="11"/>
        <v>2</v>
      </c>
      <c r="W12" s="39">
        <f>'كشف النقاط'!N273</f>
        <v>10.75</v>
      </c>
      <c r="X12" s="40">
        <f t="shared" si="12"/>
        <v>1</v>
      </c>
      <c r="Y12" s="39">
        <f t="shared" si="13"/>
        <v>10.75</v>
      </c>
      <c r="Z12" s="45">
        <f t="shared" si="14"/>
        <v>1</v>
      </c>
      <c r="AA12" s="39">
        <f t="shared" si="15"/>
        <v>12.921428571428573</v>
      </c>
      <c r="AB12" s="46">
        <f t="shared" si="16"/>
        <v>30</v>
      </c>
      <c r="AC12" s="179" t="str">
        <f>IF('كشف النقاط'!M10+'كشف النقاط'!M53+'كشف النقاط'!M96+'كشف النقاط'!M140+'كشف النقاط'!M184+'كشف النقاط'!M228+'كشف النقاط'!M273&gt;0,"إنقاد"," ")</f>
        <v> </v>
      </c>
    </row>
    <row r="13" spans="1:29" s="52" customFormat="1" ht="15" customHeight="1">
      <c r="A13" s="178">
        <f t="shared" si="17"/>
        <v>4</v>
      </c>
      <c r="B13" s="143" t="str">
        <f>IF('كشف النقاط'!B11&gt;0,'كشف النقاط'!B11," ")</f>
        <v>بوساحة </v>
      </c>
      <c r="C13" s="143" t="str">
        <f>IF('كشف النقاط'!C11&gt;0,'كشف النقاط'!C11," ")</f>
        <v>حسام الدين</v>
      </c>
      <c r="D13" s="76" t="str">
        <f>IF('كشف النقاط'!D11&gt;0,'كشف النقاط'!D11," ")</f>
        <v> </v>
      </c>
      <c r="E13" s="39">
        <f>'كشف النقاط'!N11</f>
        <v>32.25</v>
      </c>
      <c r="F13" s="40">
        <f t="shared" si="0"/>
        <v>7</v>
      </c>
      <c r="G13" s="39">
        <f>'كشف النقاط'!N54</f>
        <v>11.5</v>
      </c>
      <c r="H13" s="40">
        <f t="shared" si="1"/>
        <v>0</v>
      </c>
      <c r="I13" s="39">
        <f>'كشف النقاط'!N97</f>
        <v>16</v>
      </c>
      <c r="J13" s="40">
        <f t="shared" si="2"/>
        <v>0</v>
      </c>
      <c r="K13" s="39">
        <f t="shared" si="3"/>
        <v>8.535714285714286</v>
      </c>
      <c r="L13" s="41">
        <f t="shared" si="4"/>
        <v>7</v>
      </c>
      <c r="M13" s="39">
        <f>'كشف النقاط'!N141</f>
        <v>24</v>
      </c>
      <c r="N13" s="40">
        <f t="shared" si="5"/>
        <v>5</v>
      </c>
      <c r="O13" s="39">
        <f>'كشف النقاط'!N185</f>
        <v>25.5</v>
      </c>
      <c r="P13" s="40">
        <f t="shared" si="6"/>
        <v>4</v>
      </c>
      <c r="Q13" s="39">
        <f t="shared" si="7"/>
        <v>12.375</v>
      </c>
      <c r="R13" s="45">
        <f t="shared" si="8"/>
        <v>9</v>
      </c>
      <c r="S13" s="42">
        <f>'كشف النقاط'!N229</f>
        <v>29</v>
      </c>
      <c r="T13" s="40">
        <f t="shared" si="9"/>
        <v>2</v>
      </c>
      <c r="U13" s="39">
        <f t="shared" si="10"/>
        <v>14.5</v>
      </c>
      <c r="V13" s="45">
        <f t="shared" si="11"/>
        <v>2</v>
      </c>
      <c r="W13" s="39">
        <f>'كشف النقاط'!N274</f>
        <v>7.75</v>
      </c>
      <c r="X13" s="40">
        <f t="shared" si="12"/>
        <v>0</v>
      </c>
      <c r="Y13" s="39">
        <f t="shared" si="13"/>
        <v>7.75</v>
      </c>
      <c r="Z13" s="45">
        <f t="shared" si="14"/>
        <v>0</v>
      </c>
      <c r="AA13" s="39">
        <f t="shared" si="15"/>
        <v>10.428571428571429</v>
      </c>
      <c r="AB13" s="46">
        <f t="shared" si="16"/>
        <v>30</v>
      </c>
      <c r="AC13" s="179" t="str">
        <f>IF('كشف النقاط'!M11+'كشف النقاط'!M54+'كشف النقاط'!M97+'كشف النقاط'!M141+'كشف النقاط'!M185+'كشف النقاط'!M229+'كشف النقاط'!M274&gt;0,"إنقاد"," ")</f>
        <v> </v>
      </c>
    </row>
    <row r="14" spans="1:29" s="52" customFormat="1" ht="15" customHeight="1">
      <c r="A14" s="178">
        <f t="shared" si="17"/>
        <v>5</v>
      </c>
      <c r="B14" s="143" t="str">
        <f>IF('كشف النقاط'!B12&gt;0,'كشف النقاط'!B12," ")</f>
        <v>بوسالم </v>
      </c>
      <c r="C14" s="143" t="str">
        <f>IF('كشف النقاط'!C12&gt;0,'كشف النقاط'!C12," ")</f>
        <v>محمد وليد</v>
      </c>
      <c r="D14" s="76" t="str">
        <f>IF('كشف النقاط'!D12&gt;0,'كشف النقاط'!D12," ")</f>
        <v> </v>
      </c>
      <c r="E14" s="39">
        <f>'كشف النقاط'!N12</f>
        <v>40.5</v>
      </c>
      <c r="F14" s="40">
        <f t="shared" si="0"/>
        <v>7</v>
      </c>
      <c r="G14" s="39">
        <f>'كشف النقاط'!N55</f>
        <v>14.5</v>
      </c>
      <c r="H14" s="40">
        <f t="shared" si="1"/>
        <v>0</v>
      </c>
      <c r="I14" s="39">
        <f>'كشف النقاط'!N98</f>
        <v>23.5</v>
      </c>
      <c r="J14" s="40">
        <f t="shared" si="2"/>
        <v>5</v>
      </c>
      <c r="K14" s="39">
        <f t="shared" si="3"/>
        <v>11.214285714285714</v>
      </c>
      <c r="L14" s="41">
        <f t="shared" si="4"/>
        <v>18</v>
      </c>
      <c r="M14" s="39">
        <f>'كشف النقاط'!N142</f>
        <v>22.6</v>
      </c>
      <c r="N14" s="40">
        <f t="shared" si="5"/>
        <v>5</v>
      </c>
      <c r="O14" s="39">
        <f>'كشف النقاط'!N186</f>
        <v>25</v>
      </c>
      <c r="P14" s="40">
        <f t="shared" si="6"/>
        <v>4</v>
      </c>
      <c r="Q14" s="39">
        <f t="shared" si="7"/>
        <v>11.9</v>
      </c>
      <c r="R14" s="45">
        <f t="shared" si="8"/>
        <v>9</v>
      </c>
      <c r="S14" s="42">
        <f>'كشف النقاط'!N230</f>
        <v>21.5</v>
      </c>
      <c r="T14" s="40">
        <f t="shared" si="9"/>
        <v>2</v>
      </c>
      <c r="U14" s="39">
        <f t="shared" si="10"/>
        <v>10.75</v>
      </c>
      <c r="V14" s="45">
        <f t="shared" si="11"/>
        <v>2</v>
      </c>
      <c r="W14" s="39">
        <f>'كشف النقاط'!N275</f>
        <v>5.75</v>
      </c>
      <c r="X14" s="40">
        <f t="shared" si="12"/>
        <v>0</v>
      </c>
      <c r="Y14" s="39">
        <f t="shared" si="13"/>
        <v>5.75</v>
      </c>
      <c r="Z14" s="45">
        <f t="shared" si="14"/>
        <v>0</v>
      </c>
      <c r="AA14" s="39">
        <f t="shared" si="15"/>
        <v>10.953571428571427</v>
      </c>
      <c r="AB14" s="46">
        <f t="shared" si="16"/>
        <v>30</v>
      </c>
      <c r="AC14" s="179" t="str">
        <f>IF('كشف النقاط'!M12+'كشف النقاط'!M55+'كشف النقاط'!M98+'كشف النقاط'!M142+'كشف النقاط'!M186+'كشف النقاط'!M230+'كشف النقاط'!M275&gt;0,"إنقاد"," ")</f>
        <v> </v>
      </c>
    </row>
    <row r="15" spans="1:29" s="52" customFormat="1" ht="13.5" customHeight="1">
      <c r="A15" s="178">
        <f t="shared" si="17"/>
        <v>6</v>
      </c>
      <c r="B15" s="143" t="str">
        <f>IF('كشف النقاط'!B13&gt;0,'كشف النقاط'!B13," ")</f>
        <v>بوعروج </v>
      </c>
      <c r="C15" s="143" t="str">
        <f>IF('كشف النقاط'!C13&gt;0,'كشف النقاط'!C13," ")</f>
        <v>نسيمة</v>
      </c>
      <c r="D15" s="76" t="str">
        <f>IF('كشف النقاط'!D13&gt;0,'كشف النقاط'!D13," ")</f>
        <v> </v>
      </c>
      <c r="E15" s="39">
        <f>'كشف النقاط'!N13</f>
        <v>40.5</v>
      </c>
      <c r="F15" s="40">
        <f t="shared" si="0"/>
        <v>7</v>
      </c>
      <c r="G15" s="39">
        <f>'كشف النقاط'!N56</f>
        <v>19</v>
      </c>
      <c r="H15" s="40">
        <f t="shared" si="1"/>
        <v>0</v>
      </c>
      <c r="I15" s="39">
        <f>'كشف النقاط'!N99</f>
        <v>17</v>
      </c>
      <c r="J15" s="40">
        <f t="shared" si="2"/>
        <v>0</v>
      </c>
      <c r="K15" s="39">
        <f t="shared" si="3"/>
        <v>10.928571428571429</v>
      </c>
      <c r="L15" s="41">
        <f t="shared" si="4"/>
        <v>18</v>
      </c>
      <c r="M15" s="39">
        <f>'كشف النقاط'!N143</f>
        <v>20.4</v>
      </c>
      <c r="N15" s="40">
        <f t="shared" si="5"/>
        <v>5</v>
      </c>
      <c r="O15" s="39">
        <f>'كشف النقاط'!N187</f>
        <v>21</v>
      </c>
      <c r="P15" s="40">
        <f t="shared" si="6"/>
        <v>4</v>
      </c>
      <c r="Q15" s="39">
        <f t="shared" si="7"/>
        <v>10.35</v>
      </c>
      <c r="R15" s="45">
        <f t="shared" si="8"/>
        <v>9</v>
      </c>
      <c r="S15" s="42">
        <f>'كشف النقاط'!N231</f>
        <v>28</v>
      </c>
      <c r="T15" s="40">
        <f t="shared" si="9"/>
        <v>2</v>
      </c>
      <c r="U15" s="39">
        <f t="shared" si="10"/>
        <v>14</v>
      </c>
      <c r="V15" s="45">
        <f t="shared" si="11"/>
        <v>2</v>
      </c>
      <c r="W15" s="39">
        <f>'كشف النقاط'!N276</f>
        <v>6.5</v>
      </c>
      <c r="X15" s="40">
        <f t="shared" si="12"/>
        <v>0</v>
      </c>
      <c r="Y15" s="39">
        <f t="shared" si="13"/>
        <v>6.5</v>
      </c>
      <c r="Z15" s="45">
        <f t="shared" si="14"/>
        <v>0</v>
      </c>
      <c r="AA15" s="39">
        <f t="shared" si="15"/>
        <v>10.885714285714286</v>
      </c>
      <c r="AB15" s="46">
        <f t="shared" si="16"/>
        <v>30</v>
      </c>
      <c r="AC15" s="179" t="str">
        <f>IF('كشف النقاط'!M13+'كشف النقاط'!M56+'كشف النقاط'!M99+'كشف النقاط'!M143+'كشف النقاط'!M187+'كشف النقاط'!M231+'كشف النقاط'!M276&gt;0,"إنقاد"," ")</f>
        <v> </v>
      </c>
    </row>
    <row r="16" spans="1:29" s="52" customFormat="1" ht="13.5" customHeight="1">
      <c r="A16" s="178">
        <f t="shared" si="17"/>
        <v>7</v>
      </c>
      <c r="B16" s="143" t="str">
        <f>IF('كشف النقاط'!B14&gt;0,'كشف النقاط'!B14," ")</f>
        <v>بولعيد </v>
      </c>
      <c r="C16" s="143" t="str">
        <f>IF('كشف النقاط'!C14&gt;0,'كشف النقاط'!C14," ")</f>
        <v>مريم</v>
      </c>
      <c r="D16" s="76" t="str">
        <f>IF('كشف النقاط'!D14&gt;0,'كشف النقاط'!D14," ")</f>
        <v> </v>
      </c>
      <c r="E16" s="39">
        <f>'كشف النقاط'!N14</f>
        <v>35.25</v>
      </c>
      <c r="F16" s="40">
        <f t="shared" si="0"/>
        <v>7</v>
      </c>
      <c r="G16" s="39">
        <f>'كشف النقاط'!N57</f>
        <v>12.5</v>
      </c>
      <c r="H16" s="40">
        <f t="shared" si="1"/>
        <v>0</v>
      </c>
      <c r="I16" s="39">
        <f>'كشف النقاط'!N100</f>
        <v>18.5</v>
      </c>
      <c r="J16" s="40">
        <f t="shared" si="2"/>
        <v>0</v>
      </c>
      <c r="K16" s="39">
        <f t="shared" si="3"/>
        <v>9.464285714285714</v>
      </c>
      <c r="L16" s="41">
        <f t="shared" si="4"/>
        <v>7</v>
      </c>
      <c r="M16" s="39">
        <f>'كشف النقاط'!N144</f>
        <v>12</v>
      </c>
      <c r="N16" s="40">
        <f t="shared" si="5"/>
        <v>0</v>
      </c>
      <c r="O16" s="39">
        <f>'كشف النقاط'!N188</f>
        <v>16.5</v>
      </c>
      <c r="P16" s="40">
        <f t="shared" si="6"/>
        <v>0</v>
      </c>
      <c r="Q16" s="39">
        <f t="shared" si="7"/>
        <v>7.125</v>
      </c>
      <c r="R16" s="45">
        <f t="shared" si="8"/>
        <v>0</v>
      </c>
      <c r="S16" s="42">
        <f>'كشف النقاط'!N232</f>
        <v>25.5</v>
      </c>
      <c r="T16" s="40">
        <f t="shared" si="9"/>
        <v>2</v>
      </c>
      <c r="U16" s="39">
        <f t="shared" si="10"/>
        <v>12.75</v>
      </c>
      <c r="V16" s="45">
        <f t="shared" si="11"/>
        <v>2</v>
      </c>
      <c r="W16" s="39">
        <f>'كشف النقاط'!N277</f>
        <v>8</v>
      </c>
      <c r="X16" s="40">
        <f t="shared" si="12"/>
        <v>0</v>
      </c>
      <c r="Y16" s="39">
        <f t="shared" si="13"/>
        <v>8</v>
      </c>
      <c r="Z16" s="45">
        <f t="shared" si="14"/>
        <v>0</v>
      </c>
      <c r="AA16" s="39">
        <f t="shared" si="15"/>
        <v>9.160714285714286</v>
      </c>
      <c r="AB16" s="46">
        <f t="shared" si="16"/>
        <v>9</v>
      </c>
      <c r="AC16" s="179" t="str">
        <f>IF('كشف النقاط'!M14+'كشف النقاط'!M57+'كشف النقاط'!M100+'كشف النقاط'!M144+'كشف النقاط'!M188+'كشف النقاط'!M232+'كشف النقاط'!M277&gt;0,"إنقاد"," ")</f>
        <v> </v>
      </c>
    </row>
    <row r="17" spans="1:29" s="52" customFormat="1" ht="15" customHeight="1">
      <c r="A17" s="178">
        <f t="shared" si="17"/>
        <v>8</v>
      </c>
      <c r="B17" s="143" t="str">
        <f>IF('كشف النقاط'!B15&gt;0,'كشف النقاط'!B15," ")</f>
        <v>خاوة </v>
      </c>
      <c r="C17" s="143" t="str">
        <f>IF('كشف النقاط'!C15&gt;0,'كشف النقاط'!C15," ")</f>
        <v>أسماء</v>
      </c>
      <c r="D17" s="76" t="str">
        <f>IF('كشف النقاط'!D15&gt;0,'كشف النقاط'!D15," ")</f>
        <v> </v>
      </c>
      <c r="E17" s="39">
        <f>'كشف النقاط'!N15</f>
        <v>38.25</v>
      </c>
      <c r="F17" s="40">
        <f t="shared" si="0"/>
        <v>7</v>
      </c>
      <c r="G17" s="39">
        <f>'كشف النقاط'!N58</f>
        <v>16.5</v>
      </c>
      <c r="H17" s="40">
        <f t="shared" si="1"/>
        <v>0</v>
      </c>
      <c r="I17" s="39">
        <f>'كشف النقاط'!N101</f>
        <v>21.5</v>
      </c>
      <c r="J17" s="40">
        <f t="shared" si="2"/>
        <v>5</v>
      </c>
      <c r="K17" s="39">
        <f t="shared" si="3"/>
        <v>10.892857142857142</v>
      </c>
      <c r="L17" s="41">
        <f t="shared" si="4"/>
        <v>18</v>
      </c>
      <c r="M17" s="39">
        <f>'كشف النقاط'!N145</f>
        <v>17</v>
      </c>
      <c r="N17" s="40">
        <f t="shared" si="5"/>
        <v>0</v>
      </c>
      <c r="O17" s="39">
        <f>'كشف النقاط'!N189</f>
        <v>24</v>
      </c>
      <c r="P17" s="40">
        <f t="shared" si="6"/>
        <v>4</v>
      </c>
      <c r="Q17" s="39">
        <f t="shared" si="7"/>
        <v>10.25</v>
      </c>
      <c r="R17" s="45">
        <f t="shared" si="8"/>
        <v>9</v>
      </c>
      <c r="S17" s="42">
        <f>'كشف النقاط'!N233</f>
        <v>28</v>
      </c>
      <c r="T17" s="40">
        <f t="shared" si="9"/>
        <v>2</v>
      </c>
      <c r="U17" s="39">
        <f t="shared" si="10"/>
        <v>14</v>
      </c>
      <c r="V17" s="45">
        <f t="shared" si="11"/>
        <v>2</v>
      </c>
      <c r="W17" s="39">
        <f>'كشف النقاط'!N278</f>
        <v>6</v>
      </c>
      <c r="X17" s="40">
        <f t="shared" si="12"/>
        <v>0</v>
      </c>
      <c r="Y17" s="39">
        <f t="shared" si="13"/>
        <v>6</v>
      </c>
      <c r="Z17" s="45">
        <f t="shared" si="14"/>
        <v>0</v>
      </c>
      <c r="AA17" s="39">
        <f t="shared" si="15"/>
        <v>10.803571428571429</v>
      </c>
      <c r="AB17" s="46">
        <f t="shared" si="16"/>
        <v>30</v>
      </c>
      <c r="AC17" s="179" t="str">
        <f>IF('كشف النقاط'!M15+'كشف النقاط'!M58+'كشف النقاط'!M101+'كشف النقاط'!M145+'كشف النقاط'!M189+'كشف النقاط'!M233+'كشف النقاط'!M278&gt;0,"إنقاد"," ")</f>
        <v> </v>
      </c>
    </row>
    <row r="18" spans="1:29" s="52" customFormat="1" ht="13.5" customHeight="1">
      <c r="A18" s="178">
        <f t="shared" si="17"/>
        <v>9</v>
      </c>
      <c r="B18" s="143" t="str">
        <f>IF('كشف النقاط'!B16&gt;0,'كشف النقاط'!B16," ")</f>
        <v>زغلاني </v>
      </c>
      <c r="C18" s="143" t="str">
        <f>IF('كشف النقاط'!C16&gt;0,'كشف النقاط'!C16," ")</f>
        <v>ساعد</v>
      </c>
      <c r="D18" s="76" t="str">
        <f>IF('كشف النقاط'!D16&gt;0,'كشف النقاط'!D16," ")</f>
        <v> </v>
      </c>
      <c r="E18" s="39">
        <f>'كشف النقاط'!N16</f>
        <v>34.5</v>
      </c>
      <c r="F18" s="40">
        <f t="shared" si="0"/>
        <v>7</v>
      </c>
      <c r="G18" s="39">
        <f>'كشف النقاط'!N59</f>
        <v>12</v>
      </c>
      <c r="H18" s="40">
        <f t="shared" si="1"/>
        <v>0</v>
      </c>
      <c r="I18" s="39">
        <f>'كشف النقاط'!N102</f>
        <v>20</v>
      </c>
      <c r="J18" s="40">
        <f t="shared" si="2"/>
        <v>5</v>
      </c>
      <c r="K18" s="39">
        <f t="shared" si="3"/>
        <v>9.5</v>
      </c>
      <c r="L18" s="41">
        <f t="shared" si="4"/>
        <v>12</v>
      </c>
      <c r="M18" s="39">
        <f>'كشف النقاط'!N146</f>
        <v>14</v>
      </c>
      <c r="N18" s="40">
        <f t="shared" si="5"/>
        <v>0</v>
      </c>
      <c r="O18" s="39">
        <f>'كشف النقاط'!N190</f>
        <v>24</v>
      </c>
      <c r="P18" s="40">
        <f t="shared" si="6"/>
        <v>4</v>
      </c>
      <c r="Q18" s="39">
        <f t="shared" si="7"/>
        <v>9.5</v>
      </c>
      <c r="R18" s="45">
        <f t="shared" si="8"/>
        <v>4</v>
      </c>
      <c r="S18" s="42">
        <f>'كشف النقاط'!N234</f>
        <v>28.5</v>
      </c>
      <c r="T18" s="40">
        <f t="shared" si="9"/>
        <v>2</v>
      </c>
      <c r="U18" s="39">
        <f t="shared" si="10"/>
        <v>14.25</v>
      </c>
      <c r="V18" s="45">
        <f t="shared" si="11"/>
        <v>2</v>
      </c>
      <c r="W18" s="39">
        <f>'كشف النقاط'!N279</f>
        <v>5</v>
      </c>
      <c r="X18" s="40">
        <f t="shared" si="12"/>
        <v>0</v>
      </c>
      <c r="Y18" s="39">
        <f t="shared" si="13"/>
        <v>5</v>
      </c>
      <c r="Z18" s="45">
        <f t="shared" si="14"/>
        <v>0</v>
      </c>
      <c r="AA18" s="39">
        <f t="shared" si="15"/>
        <v>9.857142857142858</v>
      </c>
      <c r="AB18" s="46">
        <f t="shared" si="16"/>
        <v>18</v>
      </c>
      <c r="AC18" s="179" t="str">
        <f>IF('كشف النقاط'!M16+'كشف النقاط'!M59+'كشف النقاط'!M102+'كشف النقاط'!M146+'كشف النقاط'!M190+'كشف النقاط'!M234+'كشف النقاط'!M279&gt;0,"إنقاد"," ")</f>
        <v> </v>
      </c>
    </row>
    <row r="19" spans="1:29" s="52" customFormat="1" ht="15" customHeight="1">
      <c r="A19" s="178">
        <f t="shared" si="17"/>
        <v>10</v>
      </c>
      <c r="B19" s="143" t="str">
        <f>IF('كشف النقاط'!B17&gt;0,'كشف النقاط'!B17," ")</f>
        <v>زياني </v>
      </c>
      <c r="C19" s="143" t="str">
        <f>IF('كشف النقاط'!C17&gt;0,'كشف النقاط'!C17," ")</f>
        <v>أميرة</v>
      </c>
      <c r="D19" s="76" t="str">
        <f>IF('كشف النقاط'!D17&gt;0,'كشف النقاط'!D17," ")</f>
        <v> </v>
      </c>
      <c r="E19" s="39">
        <f>'كشف النقاط'!N17</f>
        <v>43.5</v>
      </c>
      <c r="F19" s="40">
        <f t="shared" si="0"/>
        <v>7</v>
      </c>
      <c r="G19" s="39">
        <f>'كشف النقاط'!N60</f>
        <v>17</v>
      </c>
      <c r="H19" s="40">
        <f t="shared" si="1"/>
        <v>0</v>
      </c>
      <c r="I19" s="39">
        <f>'كشف النقاط'!N103</f>
        <v>19</v>
      </c>
      <c r="J19" s="40">
        <f t="shared" si="2"/>
        <v>0</v>
      </c>
      <c r="K19" s="39">
        <f t="shared" si="3"/>
        <v>11.357142857142858</v>
      </c>
      <c r="L19" s="41">
        <f t="shared" si="4"/>
        <v>18</v>
      </c>
      <c r="M19" s="39">
        <f>'كشف النقاط'!N147</f>
        <v>16</v>
      </c>
      <c r="N19" s="40">
        <f t="shared" si="5"/>
        <v>0</v>
      </c>
      <c r="O19" s="39">
        <f>'كشف النقاط'!N191</f>
        <v>25</v>
      </c>
      <c r="P19" s="40">
        <f t="shared" si="6"/>
        <v>4</v>
      </c>
      <c r="Q19" s="39">
        <f t="shared" si="7"/>
        <v>10.25</v>
      </c>
      <c r="R19" s="45">
        <f t="shared" si="8"/>
        <v>9</v>
      </c>
      <c r="S19" s="42">
        <f>'كشف النقاط'!N235</f>
        <v>27.5</v>
      </c>
      <c r="T19" s="40">
        <f t="shared" si="9"/>
        <v>2</v>
      </c>
      <c r="U19" s="39">
        <f t="shared" si="10"/>
        <v>13.75</v>
      </c>
      <c r="V19" s="45">
        <f t="shared" si="11"/>
        <v>2</v>
      </c>
      <c r="W19" s="39">
        <f>'كشف النقاط'!N280</f>
        <v>9.25</v>
      </c>
      <c r="X19" s="40">
        <f t="shared" si="12"/>
        <v>0</v>
      </c>
      <c r="Y19" s="39">
        <f t="shared" si="13"/>
        <v>9.25</v>
      </c>
      <c r="Z19" s="45">
        <f t="shared" si="14"/>
        <v>0</v>
      </c>
      <c r="AA19" s="39">
        <f t="shared" si="15"/>
        <v>11.232142857142858</v>
      </c>
      <c r="AB19" s="46">
        <f t="shared" si="16"/>
        <v>30</v>
      </c>
      <c r="AC19" s="179" t="str">
        <f>IF('كشف النقاط'!M17+'كشف النقاط'!M60+'كشف النقاط'!M103+'كشف النقاط'!M147+'كشف النقاط'!M191+'كشف النقاط'!M235+'كشف النقاط'!M280&gt;0,"إنقاد"," ")</f>
        <v> </v>
      </c>
    </row>
    <row r="20" spans="1:29" s="52" customFormat="1" ht="15" customHeight="1">
      <c r="A20" s="178">
        <f t="shared" si="17"/>
        <v>11</v>
      </c>
      <c r="B20" s="143" t="str">
        <f>IF('كشف النقاط'!B18&gt;0,'كشف النقاط'!B18," ")</f>
        <v>شلابي </v>
      </c>
      <c r="C20" s="143" t="str">
        <f>IF('كشف النقاط'!C18&gt;0,'كشف النقاط'!C18," ")</f>
        <v>هاجر</v>
      </c>
      <c r="D20" s="76" t="str">
        <f>IF('كشف النقاط'!D18&gt;0,'كشف النقاط'!D18," ")</f>
        <v> </v>
      </c>
      <c r="E20" s="39">
        <f>'كشف النقاط'!N18</f>
        <v>45</v>
      </c>
      <c r="F20" s="40">
        <f t="shared" si="0"/>
        <v>7</v>
      </c>
      <c r="G20" s="39">
        <f>'كشف النقاط'!N61</f>
        <v>20</v>
      </c>
      <c r="H20" s="40">
        <f t="shared" si="1"/>
        <v>6</v>
      </c>
      <c r="I20" s="39">
        <f>'كشف النقاط'!N104</f>
        <v>21</v>
      </c>
      <c r="J20" s="40">
        <f t="shared" si="2"/>
        <v>5</v>
      </c>
      <c r="K20" s="39">
        <f t="shared" si="3"/>
        <v>12.285714285714286</v>
      </c>
      <c r="L20" s="41">
        <f t="shared" si="4"/>
        <v>18</v>
      </c>
      <c r="M20" s="39">
        <f>'كشف النقاط'!N148</f>
        <v>21.7</v>
      </c>
      <c r="N20" s="40">
        <f t="shared" si="5"/>
        <v>5</v>
      </c>
      <c r="O20" s="39">
        <f>'كشف النقاط'!N192</f>
        <v>19.5</v>
      </c>
      <c r="P20" s="40">
        <f t="shared" si="6"/>
        <v>0</v>
      </c>
      <c r="Q20" s="39">
        <f t="shared" si="7"/>
        <v>10.3</v>
      </c>
      <c r="R20" s="45">
        <f t="shared" si="8"/>
        <v>9</v>
      </c>
      <c r="S20" s="42">
        <f>'كشف النقاط'!N236</f>
        <v>25</v>
      </c>
      <c r="T20" s="40">
        <f t="shared" si="9"/>
        <v>2</v>
      </c>
      <c r="U20" s="39">
        <f t="shared" si="10"/>
        <v>12.5</v>
      </c>
      <c r="V20" s="45">
        <f t="shared" si="11"/>
        <v>2</v>
      </c>
      <c r="W20" s="39">
        <f>'كشف النقاط'!N281</f>
        <v>5</v>
      </c>
      <c r="X20" s="40">
        <f t="shared" si="12"/>
        <v>0</v>
      </c>
      <c r="Y20" s="39">
        <f t="shared" si="13"/>
        <v>5</v>
      </c>
      <c r="Z20" s="45">
        <f t="shared" si="14"/>
        <v>0</v>
      </c>
      <c r="AA20" s="39">
        <f t="shared" si="15"/>
        <v>11.228571428571428</v>
      </c>
      <c r="AB20" s="46">
        <f t="shared" si="16"/>
        <v>30</v>
      </c>
      <c r="AC20" s="179" t="str">
        <f>IF('كشف النقاط'!M18+'كشف النقاط'!M61+'كشف النقاط'!M104+'كشف النقاط'!M148+'كشف النقاط'!M192+'كشف النقاط'!M236+'كشف النقاط'!M281&gt;0,"إنقاد"," ")</f>
        <v> </v>
      </c>
    </row>
    <row r="21" spans="1:29" s="52" customFormat="1" ht="13.5" customHeight="1">
      <c r="A21" s="178">
        <f aca="true" t="shared" si="18" ref="A21:A41">A20+1</f>
        <v>12</v>
      </c>
      <c r="B21" s="143" t="str">
        <f>IF('كشف النقاط'!B19&gt;0,'كشف النقاط'!B19," ")</f>
        <v>صولي </v>
      </c>
      <c r="C21" s="143" t="str">
        <f>IF('كشف النقاط'!C19&gt;0,'كشف النقاط'!C19," ")</f>
        <v>هشام</v>
      </c>
      <c r="D21" s="76" t="str">
        <f>IF('كشف النقاط'!D19&gt;0,'كشف النقاط'!D19," ")</f>
        <v> </v>
      </c>
      <c r="E21" s="39">
        <f>'كشف النقاط'!N19</f>
        <v>42</v>
      </c>
      <c r="F21" s="40">
        <f t="shared" si="0"/>
        <v>7</v>
      </c>
      <c r="G21" s="39">
        <f>'كشف النقاط'!N62</f>
        <v>16</v>
      </c>
      <c r="H21" s="40">
        <f t="shared" si="1"/>
        <v>0</v>
      </c>
      <c r="I21" s="39">
        <f>'كشف النقاط'!N105</f>
        <v>22.5</v>
      </c>
      <c r="J21" s="40">
        <f t="shared" si="2"/>
        <v>5</v>
      </c>
      <c r="K21" s="39">
        <f t="shared" si="3"/>
        <v>11.5</v>
      </c>
      <c r="L21" s="41">
        <f t="shared" si="4"/>
        <v>18</v>
      </c>
      <c r="M21" s="39">
        <f>'كشف النقاط'!N149</f>
        <v>16</v>
      </c>
      <c r="N21" s="40">
        <f t="shared" si="5"/>
        <v>0</v>
      </c>
      <c r="O21" s="39">
        <f>'كشف النقاط'!N193</f>
        <v>21</v>
      </c>
      <c r="P21" s="40">
        <f t="shared" si="6"/>
        <v>4</v>
      </c>
      <c r="Q21" s="39">
        <f t="shared" si="7"/>
        <v>9.25</v>
      </c>
      <c r="R21" s="45">
        <f t="shared" si="8"/>
        <v>4</v>
      </c>
      <c r="S21" s="42">
        <f>'كشف النقاط'!N237</f>
        <v>24.5</v>
      </c>
      <c r="T21" s="40">
        <f t="shared" si="9"/>
        <v>2</v>
      </c>
      <c r="U21" s="39">
        <f t="shared" si="10"/>
        <v>12.25</v>
      </c>
      <c r="V21" s="45">
        <f t="shared" si="11"/>
        <v>2</v>
      </c>
      <c r="W21" s="39">
        <f>'كشف النقاط'!N282</f>
        <v>8</v>
      </c>
      <c r="X21" s="40">
        <f t="shared" si="12"/>
        <v>0</v>
      </c>
      <c r="Y21" s="39">
        <f t="shared" si="13"/>
        <v>8</v>
      </c>
      <c r="Z21" s="45">
        <f t="shared" si="14"/>
        <v>0</v>
      </c>
      <c r="AA21" s="39">
        <f t="shared" si="15"/>
        <v>10.714285714285714</v>
      </c>
      <c r="AB21" s="46">
        <f t="shared" si="16"/>
        <v>30</v>
      </c>
      <c r="AC21" s="179" t="str">
        <f>IF('كشف النقاط'!M19+'كشف النقاط'!M62+'كشف النقاط'!M105+'كشف النقاط'!M149+'كشف النقاط'!M193+'كشف النقاط'!M237+'كشف النقاط'!M282&gt;0,"إنقاد"," ")</f>
        <v> </v>
      </c>
    </row>
    <row r="22" spans="1:29" s="52" customFormat="1" ht="13.5" customHeight="1">
      <c r="A22" s="178">
        <f t="shared" si="18"/>
        <v>13</v>
      </c>
      <c r="B22" s="143" t="str">
        <f>IF('كشف النقاط'!B20&gt;0,'كشف النقاط'!B20," ")</f>
        <v>عطيل</v>
      </c>
      <c r="C22" s="143" t="str">
        <f>IF('كشف النقاط'!C20&gt;0,'كشف النقاط'!C20," ")</f>
        <v>آسيا</v>
      </c>
      <c r="D22" s="76" t="str">
        <f>IF('كشف النقاط'!D20&gt;0,'كشف النقاط'!D20," ")</f>
        <v> </v>
      </c>
      <c r="E22" s="39">
        <f>'كشف النقاط'!N20</f>
        <v>49.5</v>
      </c>
      <c r="F22" s="40">
        <f t="shared" si="0"/>
        <v>7</v>
      </c>
      <c r="G22" s="39">
        <f>'كشف النقاط'!N63</f>
        <v>31</v>
      </c>
      <c r="H22" s="40">
        <f t="shared" si="1"/>
        <v>6</v>
      </c>
      <c r="I22" s="39">
        <f>'كشف النقاط'!N106</f>
        <v>32</v>
      </c>
      <c r="J22" s="40">
        <f t="shared" si="2"/>
        <v>5</v>
      </c>
      <c r="K22" s="39">
        <f t="shared" si="3"/>
        <v>16.071428571428573</v>
      </c>
      <c r="L22" s="41">
        <f t="shared" si="4"/>
        <v>18</v>
      </c>
      <c r="M22" s="39">
        <f>'كشف النقاط'!N150</f>
        <v>35.4</v>
      </c>
      <c r="N22" s="40">
        <f t="shared" si="5"/>
        <v>5</v>
      </c>
      <c r="O22" s="39">
        <f>'كشف النقاط'!N194</f>
        <v>27.5</v>
      </c>
      <c r="P22" s="40">
        <f t="shared" si="6"/>
        <v>4</v>
      </c>
      <c r="Q22" s="39">
        <f t="shared" si="7"/>
        <v>15.725</v>
      </c>
      <c r="R22" s="45">
        <f t="shared" si="8"/>
        <v>9</v>
      </c>
      <c r="S22" s="42">
        <f>'كشف النقاط'!N238</f>
        <v>28.5</v>
      </c>
      <c r="T22" s="40">
        <f t="shared" si="9"/>
        <v>2</v>
      </c>
      <c r="U22" s="39">
        <f t="shared" si="10"/>
        <v>14.25</v>
      </c>
      <c r="V22" s="45">
        <f t="shared" si="11"/>
        <v>2</v>
      </c>
      <c r="W22" s="39">
        <f>'كشف النقاط'!N283</f>
        <v>13.25</v>
      </c>
      <c r="X22" s="40">
        <f t="shared" si="12"/>
        <v>1</v>
      </c>
      <c r="Y22" s="39">
        <f t="shared" si="13"/>
        <v>13.25</v>
      </c>
      <c r="Z22" s="45">
        <f t="shared" si="14"/>
        <v>1</v>
      </c>
      <c r="AA22" s="39">
        <f t="shared" si="15"/>
        <v>15.510714285714286</v>
      </c>
      <c r="AB22" s="46">
        <f t="shared" si="16"/>
        <v>30</v>
      </c>
      <c r="AC22" s="179" t="str">
        <f>IF('كشف النقاط'!M20+'كشف النقاط'!M63+'كشف النقاط'!M106+'كشف النقاط'!M150+'كشف النقاط'!M194+'كشف النقاط'!M238+'كشف النقاط'!M283&gt;0,"إنقاد"," ")</f>
        <v> </v>
      </c>
    </row>
    <row r="23" spans="1:29" s="52" customFormat="1" ht="15" customHeight="1">
      <c r="A23" s="178">
        <f t="shared" si="18"/>
        <v>14</v>
      </c>
      <c r="B23" s="143" t="str">
        <f>IF('كشف النقاط'!B21&gt;0,'كشف النقاط'!B21," ")</f>
        <v>عيدود </v>
      </c>
      <c r="C23" s="143" t="str">
        <f>IF('كشف النقاط'!C21&gt;0,'كشف النقاط'!C21," ")</f>
        <v>صبرينة</v>
      </c>
      <c r="D23" s="76" t="str">
        <f>IF('كشف النقاط'!D21&gt;0,'كشف النقاط'!D21," ")</f>
        <v> </v>
      </c>
      <c r="E23" s="39">
        <f>'كشف النقاط'!N21</f>
        <v>38.25</v>
      </c>
      <c r="F23" s="40">
        <f t="shared" si="0"/>
        <v>7</v>
      </c>
      <c r="G23" s="39">
        <f>'كشف النقاط'!N64</f>
        <v>12</v>
      </c>
      <c r="H23" s="40">
        <f t="shared" si="1"/>
        <v>0</v>
      </c>
      <c r="I23" s="39">
        <f>'كشف النقاط'!N107</f>
        <v>15</v>
      </c>
      <c r="J23" s="40">
        <f t="shared" si="2"/>
        <v>0</v>
      </c>
      <c r="K23" s="39">
        <f t="shared" si="3"/>
        <v>9.321428571428571</v>
      </c>
      <c r="L23" s="41">
        <f t="shared" si="4"/>
        <v>7</v>
      </c>
      <c r="M23" s="39">
        <f>'كشف النقاط'!N151</f>
        <v>16.4</v>
      </c>
      <c r="N23" s="40">
        <f t="shared" si="5"/>
        <v>0</v>
      </c>
      <c r="O23" s="39">
        <f>'كشف النقاط'!N195</f>
        <v>22</v>
      </c>
      <c r="P23" s="40">
        <f t="shared" si="6"/>
        <v>4</v>
      </c>
      <c r="Q23" s="39">
        <f t="shared" si="7"/>
        <v>9.6</v>
      </c>
      <c r="R23" s="45">
        <f t="shared" si="8"/>
        <v>4</v>
      </c>
      <c r="S23" s="42">
        <f>'كشف النقاط'!N239</f>
        <v>21</v>
      </c>
      <c r="T23" s="40">
        <f t="shared" si="9"/>
        <v>2</v>
      </c>
      <c r="U23" s="39">
        <f t="shared" si="10"/>
        <v>10.5</v>
      </c>
      <c r="V23" s="45">
        <f t="shared" si="11"/>
        <v>2</v>
      </c>
      <c r="W23" s="39">
        <f>'كشف النقاط'!N284</f>
        <v>8.25</v>
      </c>
      <c r="X23" s="40">
        <f t="shared" si="12"/>
        <v>0</v>
      </c>
      <c r="Y23" s="39">
        <f t="shared" si="13"/>
        <v>8.25</v>
      </c>
      <c r="Z23" s="45">
        <f t="shared" si="14"/>
        <v>0</v>
      </c>
      <c r="AA23" s="39">
        <f t="shared" si="15"/>
        <v>9.492857142857144</v>
      </c>
      <c r="AB23" s="46">
        <f t="shared" si="16"/>
        <v>13</v>
      </c>
      <c r="AC23" s="179" t="str">
        <f>IF('كشف النقاط'!M21+'كشف النقاط'!M64+'كشف النقاط'!M107+'كشف النقاط'!M151+'كشف النقاط'!M195+'كشف النقاط'!M239+'كشف النقاط'!M284&gt;0,"إنقاد"," ")</f>
        <v> </v>
      </c>
    </row>
    <row r="24" spans="1:29" s="52" customFormat="1" ht="15" customHeight="1">
      <c r="A24" s="178">
        <f t="shared" si="18"/>
        <v>15</v>
      </c>
      <c r="B24" s="143" t="str">
        <f>IF('كشف النقاط'!B22&gt;0,'كشف النقاط'!B22," ")</f>
        <v>قايدي </v>
      </c>
      <c r="C24" s="143" t="str">
        <f>IF('كشف النقاط'!C22&gt;0,'كشف النقاط'!C22," ")</f>
        <v>مريم</v>
      </c>
      <c r="D24" s="76" t="str">
        <f>IF('كشف النقاط'!D22&gt;0,'كشف النقاط'!D22," ")</f>
        <v> </v>
      </c>
      <c r="E24" s="39">
        <f>'كشف النقاط'!N22</f>
        <v>39.75</v>
      </c>
      <c r="F24" s="40">
        <f t="shared" si="0"/>
        <v>7</v>
      </c>
      <c r="G24" s="39">
        <f>'كشف النقاط'!N65</f>
        <v>25.5</v>
      </c>
      <c r="H24" s="40">
        <f t="shared" si="1"/>
        <v>6</v>
      </c>
      <c r="I24" s="39">
        <f>'كشف النقاط'!N108</f>
        <v>22</v>
      </c>
      <c r="J24" s="40">
        <f t="shared" si="2"/>
        <v>5</v>
      </c>
      <c r="K24" s="39">
        <f t="shared" si="3"/>
        <v>12.464285714285714</v>
      </c>
      <c r="L24" s="41">
        <f t="shared" si="4"/>
        <v>18</v>
      </c>
      <c r="M24" s="39">
        <f>'كشف النقاط'!N152</f>
        <v>20</v>
      </c>
      <c r="N24" s="40">
        <f t="shared" si="5"/>
        <v>5</v>
      </c>
      <c r="O24" s="39">
        <f>'كشف النقاط'!N196</f>
        <v>26.5</v>
      </c>
      <c r="P24" s="40">
        <f t="shared" si="6"/>
        <v>4</v>
      </c>
      <c r="Q24" s="39">
        <f t="shared" si="7"/>
        <v>11.625</v>
      </c>
      <c r="R24" s="45">
        <f t="shared" si="8"/>
        <v>9</v>
      </c>
      <c r="S24" s="42">
        <f>'كشف النقاط'!N240</f>
        <v>20</v>
      </c>
      <c r="T24" s="40">
        <f t="shared" si="9"/>
        <v>2</v>
      </c>
      <c r="U24" s="39">
        <f t="shared" si="10"/>
        <v>10</v>
      </c>
      <c r="V24" s="45">
        <f t="shared" si="11"/>
        <v>2</v>
      </c>
      <c r="W24" s="39">
        <f>'كشف النقاط'!N285</f>
        <v>7.25</v>
      </c>
      <c r="X24" s="40">
        <f t="shared" si="12"/>
        <v>0</v>
      </c>
      <c r="Y24" s="39">
        <f t="shared" si="13"/>
        <v>7.25</v>
      </c>
      <c r="Z24" s="45">
        <f t="shared" si="14"/>
        <v>0</v>
      </c>
      <c r="AA24" s="39">
        <f t="shared" si="15"/>
        <v>11.5</v>
      </c>
      <c r="AB24" s="46">
        <f t="shared" si="16"/>
        <v>30</v>
      </c>
      <c r="AC24" s="179" t="str">
        <f>IF('كشف النقاط'!M22+'كشف النقاط'!M65+'كشف النقاط'!M108+'كشف النقاط'!M152+'كشف النقاط'!M196+'كشف النقاط'!M240+'كشف النقاط'!M285&gt;0,"إنقاد"," ")</f>
        <v> </v>
      </c>
    </row>
    <row r="25" spans="1:29" s="52" customFormat="1" ht="15" customHeight="1">
      <c r="A25" s="178">
        <f t="shared" si="18"/>
        <v>16</v>
      </c>
      <c r="B25" s="143" t="str">
        <f>IF('كشف النقاط'!B23&gt;0,'كشف النقاط'!B23," ")</f>
        <v>قرايفية </v>
      </c>
      <c r="C25" s="143" t="str">
        <f>IF('كشف النقاط'!C23&gt;0,'كشف النقاط'!C23," ")</f>
        <v>فؤاد</v>
      </c>
      <c r="D25" s="76" t="str">
        <f>IF('كشف النقاط'!D23&gt;0,'كشف النقاط'!D23," ")</f>
        <v> </v>
      </c>
      <c r="E25" s="39">
        <f>'كشف النقاط'!N23</f>
        <v>42.75</v>
      </c>
      <c r="F25" s="40">
        <f t="shared" si="0"/>
        <v>7</v>
      </c>
      <c r="G25" s="39">
        <f>'كشف النقاط'!N66</f>
        <v>14</v>
      </c>
      <c r="H25" s="40">
        <f t="shared" si="1"/>
        <v>0</v>
      </c>
      <c r="I25" s="39">
        <f>'كشف النقاط'!N109</f>
        <v>23</v>
      </c>
      <c r="J25" s="40">
        <f t="shared" si="2"/>
        <v>5</v>
      </c>
      <c r="K25" s="39">
        <f t="shared" si="3"/>
        <v>11.392857142857142</v>
      </c>
      <c r="L25" s="41">
        <f t="shared" si="4"/>
        <v>18</v>
      </c>
      <c r="M25" s="39">
        <f>'كشف النقاط'!N153</f>
        <v>24.2</v>
      </c>
      <c r="N25" s="40">
        <f t="shared" si="5"/>
        <v>5</v>
      </c>
      <c r="O25" s="39">
        <f>'كشف النقاط'!N197</f>
        <v>25.5</v>
      </c>
      <c r="P25" s="40">
        <f t="shared" si="6"/>
        <v>4</v>
      </c>
      <c r="Q25" s="39">
        <f t="shared" si="7"/>
        <v>12.425</v>
      </c>
      <c r="R25" s="45">
        <f t="shared" si="8"/>
        <v>9</v>
      </c>
      <c r="S25" s="42">
        <f>'كشف النقاط'!N241</f>
        <v>27</v>
      </c>
      <c r="T25" s="40">
        <f t="shared" si="9"/>
        <v>2</v>
      </c>
      <c r="U25" s="39">
        <f t="shared" si="10"/>
        <v>13.5</v>
      </c>
      <c r="V25" s="45">
        <f t="shared" si="11"/>
        <v>2</v>
      </c>
      <c r="W25" s="39">
        <f>'كشف النقاط'!N286</f>
        <v>5</v>
      </c>
      <c r="X25" s="40">
        <f t="shared" si="12"/>
        <v>0</v>
      </c>
      <c r="Y25" s="39">
        <f t="shared" si="13"/>
        <v>5</v>
      </c>
      <c r="Z25" s="45">
        <f t="shared" si="14"/>
        <v>0</v>
      </c>
      <c r="AA25" s="39">
        <f t="shared" si="15"/>
        <v>11.532142857142857</v>
      </c>
      <c r="AB25" s="46">
        <f t="shared" si="16"/>
        <v>30</v>
      </c>
      <c r="AC25" s="179" t="str">
        <f>IF('كشف النقاط'!M23+'كشف النقاط'!M66+'كشف النقاط'!M109+'كشف النقاط'!M153+'كشف النقاط'!M197+'كشف النقاط'!M241+'كشف النقاط'!M286&gt;0,"إنقاد"," ")</f>
        <v> </v>
      </c>
    </row>
    <row r="26" spans="1:29" s="52" customFormat="1" ht="15" customHeight="1">
      <c r="A26" s="178">
        <f t="shared" si="18"/>
        <v>17</v>
      </c>
      <c r="B26" s="143" t="str">
        <f>IF('كشف النقاط'!B24&gt;0,'كشف النقاط'!B24," ")</f>
        <v>قوادرية</v>
      </c>
      <c r="C26" s="143" t="str">
        <f>IF('كشف النقاط'!C24&gt;0,'كشف النقاط'!C24," ")</f>
        <v>مريم</v>
      </c>
      <c r="D26" s="76" t="str">
        <f>IF('كشف النقاط'!D24&gt;0,'كشف النقاط'!D24," ")</f>
        <v> </v>
      </c>
      <c r="E26" s="39">
        <f>'كشف النقاط'!N24</f>
        <v>50.25</v>
      </c>
      <c r="F26" s="40">
        <f t="shared" si="0"/>
        <v>7</v>
      </c>
      <c r="G26" s="39">
        <f>'كشف النقاط'!N67</f>
        <v>35</v>
      </c>
      <c r="H26" s="40">
        <f t="shared" si="1"/>
        <v>6</v>
      </c>
      <c r="I26" s="39">
        <f>'كشف النقاط'!N110</f>
        <v>33</v>
      </c>
      <c r="J26" s="40">
        <f t="shared" si="2"/>
        <v>5</v>
      </c>
      <c r="K26" s="39">
        <f t="shared" si="3"/>
        <v>16.892857142857142</v>
      </c>
      <c r="L26" s="41">
        <f t="shared" si="4"/>
        <v>18</v>
      </c>
      <c r="M26" s="39">
        <f>'كشف النقاط'!N154</f>
        <v>37.3</v>
      </c>
      <c r="N26" s="40">
        <f t="shared" si="5"/>
        <v>5</v>
      </c>
      <c r="O26" s="39">
        <f>'كشف النقاط'!N198</f>
        <v>28.5</v>
      </c>
      <c r="P26" s="40">
        <f t="shared" si="6"/>
        <v>4</v>
      </c>
      <c r="Q26" s="39">
        <f t="shared" si="7"/>
        <v>16.45</v>
      </c>
      <c r="R26" s="45">
        <f t="shared" si="8"/>
        <v>9</v>
      </c>
      <c r="S26" s="42">
        <f>'كشف النقاط'!N242</f>
        <v>31</v>
      </c>
      <c r="T26" s="40">
        <f t="shared" si="9"/>
        <v>2</v>
      </c>
      <c r="U26" s="39">
        <f t="shared" si="10"/>
        <v>15.5</v>
      </c>
      <c r="V26" s="45">
        <f t="shared" si="11"/>
        <v>2</v>
      </c>
      <c r="W26" s="39">
        <f>'كشف النقاط'!N287</f>
        <v>12</v>
      </c>
      <c r="X26" s="40">
        <f t="shared" si="12"/>
        <v>1</v>
      </c>
      <c r="Y26" s="39">
        <f t="shared" si="13"/>
        <v>12</v>
      </c>
      <c r="Z26" s="45">
        <f t="shared" si="14"/>
        <v>1</v>
      </c>
      <c r="AA26" s="39">
        <f t="shared" si="15"/>
        <v>16.217857142857145</v>
      </c>
      <c r="AB26" s="46">
        <f t="shared" si="16"/>
        <v>30</v>
      </c>
      <c r="AC26" s="179" t="str">
        <f>IF('كشف النقاط'!M24+'كشف النقاط'!M67+'كشف النقاط'!M110+'كشف النقاط'!M154+'كشف النقاط'!M198+'كشف النقاط'!M242+'كشف النقاط'!M287&gt;0,"إنقاد"," ")</f>
        <v> </v>
      </c>
    </row>
    <row r="27" spans="1:29" s="52" customFormat="1" ht="15" customHeight="1">
      <c r="A27" s="178">
        <f t="shared" si="18"/>
        <v>18</v>
      </c>
      <c r="B27" s="143" t="str">
        <f>IF('كشف النقاط'!B25&gt;0,'كشف النقاط'!B25," ")</f>
        <v>محفوظ </v>
      </c>
      <c r="C27" s="143" t="str">
        <f>IF('كشف النقاط'!C25&gt;0,'كشف النقاط'!C25," ")</f>
        <v>بشرى</v>
      </c>
      <c r="D27" s="76" t="str">
        <f>IF('كشف النقاط'!D25&gt;0,'كشف النقاط'!D25," ")</f>
        <v> </v>
      </c>
      <c r="E27" s="39">
        <f>'كشف النقاط'!N25</f>
        <v>49.5</v>
      </c>
      <c r="F27" s="40">
        <f t="shared" si="0"/>
        <v>7</v>
      </c>
      <c r="G27" s="39">
        <f>'كشف النقاط'!N68</f>
        <v>36.75</v>
      </c>
      <c r="H27" s="40">
        <f t="shared" si="1"/>
        <v>6</v>
      </c>
      <c r="I27" s="39">
        <f>'كشف النقاط'!N111</f>
        <v>32</v>
      </c>
      <c r="J27" s="40">
        <f t="shared" si="2"/>
        <v>5</v>
      </c>
      <c r="K27" s="39">
        <f t="shared" si="3"/>
        <v>16.892857142857142</v>
      </c>
      <c r="L27" s="41">
        <f t="shared" si="4"/>
        <v>18</v>
      </c>
      <c r="M27" s="39">
        <f>'كشف النقاط'!N155</f>
        <v>36.8</v>
      </c>
      <c r="N27" s="40">
        <f t="shared" si="5"/>
        <v>5</v>
      </c>
      <c r="O27" s="39">
        <f>'كشف النقاط'!N199</f>
        <v>26.5</v>
      </c>
      <c r="P27" s="40">
        <f t="shared" si="6"/>
        <v>4</v>
      </c>
      <c r="Q27" s="39">
        <f t="shared" si="7"/>
        <v>15.825</v>
      </c>
      <c r="R27" s="45">
        <f t="shared" si="8"/>
        <v>9</v>
      </c>
      <c r="S27" s="42">
        <f>'كشف النقاط'!N243</f>
        <v>31</v>
      </c>
      <c r="T27" s="40">
        <f t="shared" si="9"/>
        <v>2</v>
      </c>
      <c r="U27" s="39">
        <f t="shared" si="10"/>
        <v>15.5</v>
      </c>
      <c r="V27" s="45">
        <f t="shared" si="11"/>
        <v>2</v>
      </c>
      <c r="W27" s="39">
        <f>'كشف النقاط'!N288</f>
        <v>11.75</v>
      </c>
      <c r="X27" s="40">
        <f t="shared" si="12"/>
        <v>1</v>
      </c>
      <c r="Y27" s="39">
        <f t="shared" si="13"/>
        <v>11.75</v>
      </c>
      <c r="Z27" s="45">
        <f t="shared" si="14"/>
        <v>1</v>
      </c>
      <c r="AA27" s="39">
        <f t="shared" si="15"/>
        <v>16.021428571428572</v>
      </c>
      <c r="AB27" s="46">
        <f t="shared" si="16"/>
        <v>30</v>
      </c>
      <c r="AC27" s="179" t="str">
        <f>IF('كشف النقاط'!M25+'كشف النقاط'!M68+'كشف النقاط'!M111+'كشف النقاط'!M155+'كشف النقاط'!M199+'كشف النقاط'!M243+'كشف النقاط'!M288&gt;0,"إنقاد"," ")</f>
        <v> </v>
      </c>
    </row>
    <row r="28" spans="1:29" s="52" customFormat="1" ht="13.5" customHeight="1">
      <c r="A28" s="178">
        <f t="shared" si="18"/>
        <v>19</v>
      </c>
      <c r="B28" s="143" t="str">
        <f>IF('كشف النقاط'!B26&gt;0,'كشف النقاط'!B26," ")</f>
        <v>مسطوري </v>
      </c>
      <c r="C28" s="143" t="str">
        <f>IF('كشف النقاط'!C26&gt;0,'كشف النقاط'!C26," ")</f>
        <v>سارة</v>
      </c>
      <c r="D28" s="76" t="str">
        <f>IF('كشف النقاط'!D26&gt;0,'كشف النقاط'!D26," ")</f>
        <v> </v>
      </c>
      <c r="E28" s="39">
        <f>'كشف النقاط'!N26</f>
        <v>36</v>
      </c>
      <c r="F28" s="40">
        <f t="shared" si="0"/>
        <v>7</v>
      </c>
      <c r="G28" s="39">
        <f>'كشف النقاط'!N69</f>
        <v>12.5</v>
      </c>
      <c r="H28" s="40">
        <f t="shared" si="1"/>
        <v>0</v>
      </c>
      <c r="I28" s="39">
        <f>'كشف النقاط'!N112</f>
        <v>15</v>
      </c>
      <c r="J28" s="40">
        <f t="shared" si="2"/>
        <v>0</v>
      </c>
      <c r="K28" s="39">
        <f t="shared" si="3"/>
        <v>9.071428571428571</v>
      </c>
      <c r="L28" s="41">
        <f t="shared" si="4"/>
        <v>7</v>
      </c>
      <c r="M28" s="39">
        <f>'كشف النقاط'!N156</f>
        <v>21</v>
      </c>
      <c r="N28" s="40">
        <f t="shared" si="5"/>
        <v>5</v>
      </c>
      <c r="O28" s="39">
        <f>'كشف النقاط'!N200</f>
        <v>24</v>
      </c>
      <c r="P28" s="40">
        <f t="shared" si="6"/>
        <v>4</v>
      </c>
      <c r="Q28" s="39">
        <f t="shared" si="7"/>
        <v>11.25</v>
      </c>
      <c r="R28" s="45">
        <f t="shared" si="8"/>
        <v>9</v>
      </c>
      <c r="S28" s="42">
        <f>'كشف النقاط'!N244</f>
        <v>29</v>
      </c>
      <c r="T28" s="40">
        <f t="shared" si="9"/>
        <v>2</v>
      </c>
      <c r="U28" s="39">
        <f t="shared" si="10"/>
        <v>14.5</v>
      </c>
      <c r="V28" s="45">
        <f t="shared" si="11"/>
        <v>2</v>
      </c>
      <c r="W28" s="39">
        <f>'كشف النقاط'!N289</f>
        <v>5.5</v>
      </c>
      <c r="X28" s="40">
        <f t="shared" si="12"/>
        <v>0</v>
      </c>
      <c r="Y28" s="39">
        <f t="shared" si="13"/>
        <v>5.5</v>
      </c>
      <c r="Z28" s="45">
        <f t="shared" si="14"/>
        <v>0</v>
      </c>
      <c r="AA28" s="39">
        <f t="shared" si="15"/>
        <v>10.214285714285714</v>
      </c>
      <c r="AB28" s="46">
        <f t="shared" si="16"/>
        <v>30</v>
      </c>
      <c r="AC28" s="179" t="str">
        <f>IF('كشف النقاط'!M26+'كشف النقاط'!M69+'كشف النقاط'!M112+'كشف النقاط'!M156+'كشف النقاط'!M200+'كشف النقاط'!M244+'كشف النقاط'!M289&gt;0,"إنقاد"," ")</f>
        <v> </v>
      </c>
    </row>
    <row r="29" spans="1:29" s="52" customFormat="1" ht="15" customHeight="1">
      <c r="A29" s="178">
        <f t="shared" si="18"/>
        <v>20</v>
      </c>
      <c r="B29" s="143" t="str">
        <f>IF('كشف النقاط'!B27&gt;0,'كشف النقاط'!B27," ")</f>
        <v>هداف </v>
      </c>
      <c r="C29" s="143" t="str">
        <f>IF('كشف النقاط'!C27&gt;0,'كشف النقاط'!C27," ")</f>
        <v>حياة</v>
      </c>
      <c r="D29" s="76" t="str">
        <f>IF('كشف النقاط'!D27&gt;0,'كشف النقاط'!D27," ")</f>
        <v> </v>
      </c>
      <c r="E29" s="39">
        <f>'كشف النقاط'!N27</f>
        <v>39</v>
      </c>
      <c r="F29" s="40">
        <f t="shared" si="0"/>
        <v>7</v>
      </c>
      <c r="G29" s="39">
        <f>'كشف النقاط'!N70</f>
        <v>25.75</v>
      </c>
      <c r="H29" s="40">
        <f t="shared" si="1"/>
        <v>6</v>
      </c>
      <c r="I29" s="39">
        <f>'كشف النقاط'!N113</f>
        <v>21.5</v>
      </c>
      <c r="J29" s="40">
        <f t="shared" si="2"/>
        <v>5</v>
      </c>
      <c r="K29" s="39">
        <f t="shared" si="3"/>
        <v>12.321428571428571</v>
      </c>
      <c r="L29" s="41">
        <f t="shared" si="4"/>
        <v>18</v>
      </c>
      <c r="M29" s="39">
        <f>'كشف النقاط'!N157</f>
        <v>18.2</v>
      </c>
      <c r="N29" s="40">
        <f t="shared" si="5"/>
        <v>0</v>
      </c>
      <c r="O29" s="39">
        <f>'كشف النقاط'!N201</f>
        <v>27.5</v>
      </c>
      <c r="P29" s="40">
        <f t="shared" si="6"/>
        <v>4</v>
      </c>
      <c r="Q29" s="39">
        <f t="shared" si="7"/>
        <v>11.425</v>
      </c>
      <c r="R29" s="45">
        <f t="shared" si="8"/>
        <v>9</v>
      </c>
      <c r="S29" s="42">
        <f>'كشف النقاط'!N245</f>
        <v>25</v>
      </c>
      <c r="T29" s="40">
        <f t="shared" si="9"/>
        <v>2</v>
      </c>
      <c r="U29" s="39">
        <f t="shared" si="10"/>
        <v>12.5</v>
      </c>
      <c r="V29" s="45">
        <f t="shared" si="11"/>
        <v>2</v>
      </c>
      <c r="W29" s="39">
        <f>'كشف النقاط'!N290</f>
        <v>8.75</v>
      </c>
      <c r="X29" s="40">
        <f t="shared" si="12"/>
        <v>0</v>
      </c>
      <c r="Y29" s="39">
        <f t="shared" si="13"/>
        <v>8.75</v>
      </c>
      <c r="Z29" s="45">
        <f t="shared" si="14"/>
        <v>0</v>
      </c>
      <c r="AA29" s="39">
        <f t="shared" si="15"/>
        <v>11.835714285714285</v>
      </c>
      <c r="AB29" s="46">
        <f t="shared" si="16"/>
        <v>30</v>
      </c>
      <c r="AC29" s="179" t="str">
        <f>IF('كشف النقاط'!M27+'كشف النقاط'!M70+'كشف النقاط'!M113+'كشف النقاط'!M157+'كشف النقاط'!M201+'كشف النقاط'!M245+'كشف النقاط'!M290&gt;0,"إنقاد"," ")</f>
        <v> </v>
      </c>
    </row>
    <row r="30" spans="1:29" s="52" customFormat="1" ht="13.5" customHeight="1">
      <c r="A30" s="178">
        <f t="shared" si="18"/>
        <v>21</v>
      </c>
      <c r="B30" s="143" t="str">
        <f>IF('كشف النقاط'!B28&gt;0,'كشف النقاط'!B28," ")</f>
        <v> </v>
      </c>
      <c r="C30" s="143" t="str">
        <f>IF('كشف النقاط'!C28&gt;0,'كشف النقاط'!C28," ")</f>
        <v> </v>
      </c>
      <c r="D30" s="76" t="str">
        <f>IF('كشف النقاط'!D28&gt;0,'كشف النقاط'!D28," ")</f>
        <v> </v>
      </c>
      <c r="E30" s="39">
        <f>'كشف النقاط'!N28</f>
        <v>0</v>
      </c>
      <c r="F30" s="40">
        <f t="shared" si="0"/>
        <v>0</v>
      </c>
      <c r="G30" s="39">
        <f>'كشف النقاط'!N71</f>
        <v>0</v>
      </c>
      <c r="H30" s="40">
        <f t="shared" si="1"/>
        <v>0</v>
      </c>
      <c r="I30" s="39">
        <f>'كشف النقاط'!N114</f>
        <v>0</v>
      </c>
      <c r="J30" s="40">
        <f t="shared" si="2"/>
        <v>0</v>
      </c>
      <c r="K30" s="39">
        <f t="shared" si="3"/>
        <v>0</v>
      </c>
      <c r="L30" s="41">
        <f t="shared" si="4"/>
        <v>0</v>
      </c>
      <c r="M30" s="39">
        <f>'كشف النقاط'!N158</f>
        <v>0</v>
      </c>
      <c r="N30" s="40">
        <f t="shared" si="5"/>
        <v>0</v>
      </c>
      <c r="O30" s="39">
        <f>'كشف النقاط'!N202</f>
        <v>0</v>
      </c>
      <c r="P30" s="40">
        <f t="shared" si="6"/>
        <v>0</v>
      </c>
      <c r="Q30" s="39">
        <f t="shared" si="7"/>
        <v>0</v>
      </c>
      <c r="R30" s="45">
        <f t="shared" si="8"/>
        <v>0</v>
      </c>
      <c r="S30" s="42">
        <f>'كشف النقاط'!N246</f>
        <v>0</v>
      </c>
      <c r="T30" s="40">
        <f t="shared" si="9"/>
        <v>0</v>
      </c>
      <c r="U30" s="39">
        <f t="shared" si="10"/>
        <v>0</v>
      </c>
      <c r="V30" s="45">
        <f t="shared" si="11"/>
        <v>0</v>
      </c>
      <c r="W30" s="39">
        <f>'كشف النقاط'!N291</f>
        <v>0</v>
      </c>
      <c r="X30" s="40">
        <f t="shared" si="12"/>
        <v>0</v>
      </c>
      <c r="Y30" s="39">
        <f t="shared" si="13"/>
        <v>0</v>
      </c>
      <c r="Z30" s="45">
        <f t="shared" si="14"/>
        <v>0</v>
      </c>
      <c r="AA30" s="39">
        <f t="shared" si="15"/>
        <v>0</v>
      </c>
      <c r="AB30" s="46">
        <f t="shared" si="16"/>
        <v>0</v>
      </c>
      <c r="AC30" s="179" t="str">
        <f>IF('كشف النقاط'!M28+'كشف النقاط'!M71+'كشف النقاط'!M114+'كشف النقاط'!M158+'كشف النقاط'!M202+'كشف النقاط'!M246+'كشف النقاط'!M291&gt;0,"إنقاد"," ")</f>
        <v> </v>
      </c>
    </row>
    <row r="31" spans="1:29" s="52" customFormat="1" ht="13.5" customHeight="1">
      <c r="A31" s="178">
        <f t="shared" si="18"/>
        <v>22</v>
      </c>
      <c r="B31" s="143" t="str">
        <f>IF('كشف النقاط'!B29&gt;0,'كشف النقاط'!B29," ")</f>
        <v> </v>
      </c>
      <c r="C31" s="143" t="str">
        <f>IF('كشف النقاط'!C29&gt;0,'كشف النقاط'!C29," ")</f>
        <v> </v>
      </c>
      <c r="D31" s="76" t="str">
        <f>IF('كشف النقاط'!D29&gt;0,'كشف النقاط'!D29," ")</f>
        <v> </v>
      </c>
      <c r="E31" s="39">
        <f>'كشف النقاط'!N29</f>
        <v>0</v>
      </c>
      <c r="F31" s="40">
        <f t="shared" si="0"/>
        <v>0</v>
      </c>
      <c r="G31" s="39">
        <f>'كشف النقاط'!N72</f>
        <v>0</v>
      </c>
      <c r="H31" s="40">
        <f t="shared" si="1"/>
        <v>0</v>
      </c>
      <c r="I31" s="39">
        <f>'كشف النقاط'!N115</f>
        <v>0</v>
      </c>
      <c r="J31" s="40">
        <f t="shared" si="2"/>
        <v>0</v>
      </c>
      <c r="K31" s="39">
        <f t="shared" si="3"/>
        <v>0</v>
      </c>
      <c r="L31" s="41">
        <f t="shared" si="4"/>
        <v>0</v>
      </c>
      <c r="M31" s="39">
        <f>'كشف النقاط'!N159</f>
        <v>0</v>
      </c>
      <c r="N31" s="40">
        <f t="shared" si="5"/>
        <v>0</v>
      </c>
      <c r="O31" s="39">
        <f>'كشف النقاط'!N203</f>
        <v>0</v>
      </c>
      <c r="P31" s="40">
        <f t="shared" si="6"/>
        <v>0</v>
      </c>
      <c r="Q31" s="39">
        <f t="shared" si="7"/>
        <v>0</v>
      </c>
      <c r="R31" s="45">
        <f t="shared" si="8"/>
        <v>0</v>
      </c>
      <c r="S31" s="42">
        <f>'كشف النقاط'!N247</f>
        <v>0</v>
      </c>
      <c r="T31" s="40">
        <f t="shared" si="9"/>
        <v>0</v>
      </c>
      <c r="U31" s="39">
        <f t="shared" si="10"/>
        <v>0</v>
      </c>
      <c r="V31" s="45">
        <f t="shared" si="11"/>
        <v>0</v>
      </c>
      <c r="W31" s="39">
        <f>'كشف النقاط'!N292</f>
        <v>0</v>
      </c>
      <c r="X31" s="40">
        <f t="shared" si="12"/>
        <v>0</v>
      </c>
      <c r="Y31" s="39">
        <f t="shared" si="13"/>
        <v>0</v>
      </c>
      <c r="Z31" s="45">
        <f t="shared" si="14"/>
        <v>0</v>
      </c>
      <c r="AA31" s="39">
        <f t="shared" si="15"/>
        <v>0</v>
      </c>
      <c r="AB31" s="46">
        <f t="shared" si="16"/>
        <v>0</v>
      </c>
      <c r="AC31" s="179" t="str">
        <f>IF('كشف النقاط'!M29+'كشف النقاط'!M72+'كشف النقاط'!M115+'كشف النقاط'!M159+'كشف النقاط'!M203+'كشف النقاط'!M247+'كشف النقاط'!M292&gt;0,"إنقاد"," ")</f>
        <v> </v>
      </c>
    </row>
    <row r="32" spans="1:29" s="52" customFormat="1" ht="13.5" customHeight="1">
      <c r="A32" s="178">
        <f t="shared" si="18"/>
        <v>23</v>
      </c>
      <c r="B32" s="143" t="str">
        <f>IF('كشف النقاط'!B30&gt;0,'كشف النقاط'!B30," ")</f>
        <v> </v>
      </c>
      <c r="C32" s="143" t="str">
        <f>IF('كشف النقاط'!C30&gt;0,'كشف النقاط'!C30," ")</f>
        <v> </v>
      </c>
      <c r="D32" s="76" t="str">
        <f>IF('كشف النقاط'!D30&gt;0,'كشف النقاط'!D30," ")</f>
        <v> </v>
      </c>
      <c r="E32" s="39">
        <f>'كشف النقاط'!N30</f>
        <v>0</v>
      </c>
      <c r="F32" s="40">
        <f t="shared" si="0"/>
        <v>0</v>
      </c>
      <c r="G32" s="39">
        <f>'كشف النقاط'!N73</f>
        <v>0</v>
      </c>
      <c r="H32" s="40">
        <f t="shared" si="1"/>
        <v>0</v>
      </c>
      <c r="I32" s="39">
        <f>'كشف النقاط'!N116</f>
        <v>0</v>
      </c>
      <c r="J32" s="40">
        <f t="shared" si="2"/>
        <v>0</v>
      </c>
      <c r="K32" s="39">
        <f t="shared" si="3"/>
        <v>0</v>
      </c>
      <c r="L32" s="41">
        <f t="shared" si="4"/>
        <v>0</v>
      </c>
      <c r="M32" s="39">
        <f>'كشف النقاط'!N160</f>
        <v>0</v>
      </c>
      <c r="N32" s="40">
        <f t="shared" si="5"/>
        <v>0</v>
      </c>
      <c r="O32" s="39">
        <f>'كشف النقاط'!N204</f>
        <v>0</v>
      </c>
      <c r="P32" s="40">
        <f t="shared" si="6"/>
        <v>0</v>
      </c>
      <c r="Q32" s="39">
        <f t="shared" si="7"/>
        <v>0</v>
      </c>
      <c r="R32" s="45">
        <f t="shared" si="8"/>
        <v>0</v>
      </c>
      <c r="S32" s="42">
        <f>'كشف النقاط'!N248</f>
        <v>0</v>
      </c>
      <c r="T32" s="40">
        <f t="shared" si="9"/>
        <v>0</v>
      </c>
      <c r="U32" s="39">
        <f t="shared" si="10"/>
        <v>0</v>
      </c>
      <c r="V32" s="45">
        <f t="shared" si="11"/>
        <v>0</v>
      </c>
      <c r="W32" s="39">
        <f>'كشف النقاط'!N293</f>
        <v>0</v>
      </c>
      <c r="X32" s="40">
        <f t="shared" si="12"/>
        <v>0</v>
      </c>
      <c r="Y32" s="39">
        <f t="shared" si="13"/>
        <v>0</v>
      </c>
      <c r="Z32" s="45">
        <f t="shared" si="14"/>
        <v>0</v>
      </c>
      <c r="AA32" s="39">
        <f t="shared" si="15"/>
        <v>0</v>
      </c>
      <c r="AB32" s="46">
        <f t="shared" si="16"/>
        <v>0</v>
      </c>
      <c r="AC32" s="179" t="str">
        <f>IF('كشف النقاط'!M30+'كشف النقاط'!M73+'كشف النقاط'!M116+'كشف النقاط'!M160+'كشف النقاط'!M204+'كشف النقاط'!M248+'كشف النقاط'!M293&gt;0,"إنقاد"," ")</f>
        <v> </v>
      </c>
    </row>
    <row r="33" spans="1:29" s="52" customFormat="1" ht="13.5" customHeight="1">
      <c r="A33" s="178">
        <f t="shared" si="18"/>
        <v>24</v>
      </c>
      <c r="B33" s="143" t="str">
        <f>IF('كشف النقاط'!B31&gt;0,'كشف النقاط'!B31," ")</f>
        <v> </v>
      </c>
      <c r="C33" s="143" t="str">
        <f>IF('كشف النقاط'!C31&gt;0,'كشف النقاط'!C31," ")</f>
        <v> </v>
      </c>
      <c r="D33" s="76" t="str">
        <f>IF('كشف النقاط'!D31&gt;0,'كشف النقاط'!D31," ")</f>
        <v> </v>
      </c>
      <c r="E33" s="39">
        <f>'كشف النقاط'!N31</f>
        <v>0</v>
      </c>
      <c r="F33" s="40">
        <f t="shared" si="0"/>
        <v>0</v>
      </c>
      <c r="G33" s="39">
        <f>'كشف النقاط'!N74</f>
        <v>0</v>
      </c>
      <c r="H33" s="40">
        <f t="shared" si="1"/>
        <v>0</v>
      </c>
      <c r="I33" s="39">
        <f>'كشف النقاط'!N117</f>
        <v>0</v>
      </c>
      <c r="J33" s="40">
        <f t="shared" si="2"/>
        <v>0</v>
      </c>
      <c r="K33" s="39">
        <f t="shared" si="3"/>
        <v>0</v>
      </c>
      <c r="L33" s="41">
        <f t="shared" si="4"/>
        <v>0</v>
      </c>
      <c r="M33" s="39">
        <f>'كشف النقاط'!N161</f>
        <v>0</v>
      </c>
      <c r="N33" s="40">
        <f t="shared" si="5"/>
        <v>0</v>
      </c>
      <c r="O33" s="39">
        <f>'كشف النقاط'!N205</f>
        <v>0</v>
      </c>
      <c r="P33" s="40">
        <f t="shared" si="6"/>
        <v>0</v>
      </c>
      <c r="Q33" s="39">
        <f t="shared" si="7"/>
        <v>0</v>
      </c>
      <c r="R33" s="45">
        <f t="shared" si="8"/>
        <v>0</v>
      </c>
      <c r="S33" s="42">
        <f>'كشف النقاط'!N249</f>
        <v>0</v>
      </c>
      <c r="T33" s="40">
        <f t="shared" si="9"/>
        <v>0</v>
      </c>
      <c r="U33" s="39">
        <f t="shared" si="10"/>
        <v>0</v>
      </c>
      <c r="V33" s="45">
        <f t="shared" si="11"/>
        <v>0</v>
      </c>
      <c r="W33" s="39">
        <f>'كشف النقاط'!N294</f>
        <v>0</v>
      </c>
      <c r="X33" s="40">
        <f t="shared" si="12"/>
        <v>0</v>
      </c>
      <c r="Y33" s="39">
        <f t="shared" si="13"/>
        <v>0</v>
      </c>
      <c r="Z33" s="45">
        <f t="shared" si="14"/>
        <v>0</v>
      </c>
      <c r="AA33" s="39">
        <f t="shared" si="15"/>
        <v>0</v>
      </c>
      <c r="AB33" s="46">
        <f t="shared" si="16"/>
        <v>0</v>
      </c>
      <c r="AC33" s="179" t="str">
        <f>IF('كشف النقاط'!M31+'كشف النقاط'!M74+'كشف النقاط'!M117+'كشف النقاط'!M161+'كشف النقاط'!M205+'كشف النقاط'!M249+'كشف النقاط'!M294&gt;0,"إنقاد"," ")</f>
        <v> </v>
      </c>
    </row>
    <row r="34" spans="1:29" s="52" customFormat="1" ht="13.5" customHeight="1">
      <c r="A34" s="178">
        <f t="shared" si="18"/>
        <v>25</v>
      </c>
      <c r="B34" s="143" t="str">
        <f>IF('كشف النقاط'!B32&gt;0,'كشف النقاط'!B32," ")</f>
        <v> </v>
      </c>
      <c r="C34" s="143" t="str">
        <f>IF('كشف النقاط'!C32&gt;0,'كشف النقاط'!C32," ")</f>
        <v> </v>
      </c>
      <c r="D34" s="76" t="str">
        <f>IF('كشف النقاط'!D32&gt;0,'كشف النقاط'!D32," ")</f>
        <v> </v>
      </c>
      <c r="E34" s="39">
        <f>'كشف النقاط'!N32</f>
        <v>0</v>
      </c>
      <c r="F34" s="40">
        <f t="shared" si="0"/>
        <v>0</v>
      </c>
      <c r="G34" s="39">
        <f>'كشف النقاط'!N75</f>
        <v>0</v>
      </c>
      <c r="H34" s="40">
        <f t="shared" si="1"/>
        <v>0</v>
      </c>
      <c r="I34" s="39">
        <f>'كشف النقاط'!N118</f>
        <v>0</v>
      </c>
      <c r="J34" s="40">
        <f t="shared" si="2"/>
        <v>0</v>
      </c>
      <c r="K34" s="39">
        <f t="shared" si="3"/>
        <v>0</v>
      </c>
      <c r="L34" s="41">
        <f t="shared" si="4"/>
        <v>0</v>
      </c>
      <c r="M34" s="39">
        <f>'كشف النقاط'!N162</f>
        <v>0</v>
      </c>
      <c r="N34" s="40">
        <f t="shared" si="5"/>
        <v>0</v>
      </c>
      <c r="O34" s="39">
        <f>'كشف النقاط'!N206</f>
        <v>0</v>
      </c>
      <c r="P34" s="40">
        <f t="shared" si="6"/>
        <v>0</v>
      </c>
      <c r="Q34" s="39">
        <f t="shared" si="7"/>
        <v>0</v>
      </c>
      <c r="R34" s="45">
        <f t="shared" si="8"/>
        <v>0</v>
      </c>
      <c r="S34" s="42">
        <f>'كشف النقاط'!N250</f>
        <v>0</v>
      </c>
      <c r="T34" s="40">
        <f t="shared" si="9"/>
        <v>0</v>
      </c>
      <c r="U34" s="39">
        <f t="shared" si="10"/>
        <v>0</v>
      </c>
      <c r="V34" s="45">
        <f t="shared" si="11"/>
        <v>0</v>
      </c>
      <c r="W34" s="39">
        <f>'كشف النقاط'!N295</f>
        <v>0</v>
      </c>
      <c r="X34" s="40">
        <f t="shared" si="12"/>
        <v>0</v>
      </c>
      <c r="Y34" s="39">
        <f t="shared" si="13"/>
        <v>0</v>
      </c>
      <c r="Z34" s="45">
        <f t="shared" si="14"/>
        <v>0</v>
      </c>
      <c r="AA34" s="39">
        <f t="shared" si="15"/>
        <v>0</v>
      </c>
      <c r="AB34" s="46">
        <f t="shared" si="16"/>
        <v>0</v>
      </c>
      <c r="AC34" s="179" t="str">
        <f>IF('كشف النقاط'!M32+'كشف النقاط'!M75+'كشف النقاط'!M118+'كشف النقاط'!M162+'كشف النقاط'!M206+'كشف النقاط'!M250+'كشف النقاط'!M295&gt;0,"إنقاد"," ")</f>
        <v> </v>
      </c>
    </row>
    <row r="35" spans="1:29" s="52" customFormat="1" ht="13.5" customHeight="1">
      <c r="A35" s="178">
        <f t="shared" si="18"/>
        <v>26</v>
      </c>
      <c r="B35" s="143" t="str">
        <f>IF('كشف النقاط'!B33&gt;0,'كشف النقاط'!B33," ")</f>
        <v> </v>
      </c>
      <c r="C35" s="143" t="str">
        <f>IF('كشف النقاط'!C33&gt;0,'كشف النقاط'!C33," ")</f>
        <v> </v>
      </c>
      <c r="D35" s="76" t="str">
        <f>IF('كشف النقاط'!D33&gt;0,'كشف النقاط'!D33," ")</f>
        <v> </v>
      </c>
      <c r="E35" s="39">
        <f>'كشف النقاط'!N33</f>
        <v>0</v>
      </c>
      <c r="F35" s="40">
        <f t="shared" si="0"/>
        <v>0</v>
      </c>
      <c r="G35" s="39">
        <f>'كشف النقاط'!N76</f>
        <v>0</v>
      </c>
      <c r="H35" s="40">
        <f t="shared" si="1"/>
        <v>0</v>
      </c>
      <c r="I35" s="39">
        <f>'كشف النقاط'!N119</f>
        <v>0</v>
      </c>
      <c r="J35" s="40">
        <f t="shared" si="2"/>
        <v>0</v>
      </c>
      <c r="K35" s="39">
        <f t="shared" si="3"/>
        <v>0</v>
      </c>
      <c r="L35" s="41">
        <f t="shared" si="4"/>
        <v>0</v>
      </c>
      <c r="M35" s="39">
        <f>'كشف النقاط'!N163</f>
        <v>0</v>
      </c>
      <c r="N35" s="40">
        <f t="shared" si="5"/>
        <v>0</v>
      </c>
      <c r="O35" s="39">
        <f>'كشف النقاط'!N207</f>
        <v>0</v>
      </c>
      <c r="P35" s="40">
        <f t="shared" si="6"/>
        <v>0</v>
      </c>
      <c r="Q35" s="39">
        <f t="shared" si="7"/>
        <v>0</v>
      </c>
      <c r="R35" s="45">
        <f t="shared" si="8"/>
        <v>0</v>
      </c>
      <c r="S35" s="42">
        <f>'كشف النقاط'!N251</f>
        <v>0</v>
      </c>
      <c r="T35" s="40">
        <f t="shared" si="9"/>
        <v>0</v>
      </c>
      <c r="U35" s="39">
        <f t="shared" si="10"/>
        <v>0</v>
      </c>
      <c r="V35" s="45">
        <f t="shared" si="11"/>
        <v>0</v>
      </c>
      <c r="W35" s="39">
        <f>'كشف النقاط'!N296</f>
        <v>0</v>
      </c>
      <c r="X35" s="40">
        <f t="shared" si="12"/>
        <v>0</v>
      </c>
      <c r="Y35" s="39">
        <f t="shared" si="13"/>
        <v>0</v>
      </c>
      <c r="Z35" s="45">
        <f t="shared" si="14"/>
        <v>0</v>
      </c>
      <c r="AA35" s="39">
        <f t="shared" si="15"/>
        <v>0</v>
      </c>
      <c r="AB35" s="46">
        <f t="shared" si="16"/>
        <v>0</v>
      </c>
      <c r="AC35" s="179" t="str">
        <f>IF('كشف النقاط'!M33+'كشف النقاط'!M76+'كشف النقاط'!M119+'كشف النقاط'!M163+'كشف النقاط'!M207+'كشف النقاط'!M251+'كشف النقاط'!M296&gt;0,"إنقاد"," ")</f>
        <v> </v>
      </c>
    </row>
    <row r="36" spans="1:29" s="52" customFormat="1" ht="13.5" customHeight="1">
      <c r="A36" s="178">
        <f t="shared" si="18"/>
        <v>27</v>
      </c>
      <c r="B36" s="143" t="str">
        <f>IF('كشف النقاط'!B34&gt;0,'كشف النقاط'!B34," ")</f>
        <v> </v>
      </c>
      <c r="C36" s="143" t="str">
        <f>IF('كشف النقاط'!C34&gt;0,'كشف النقاط'!C34," ")</f>
        <v> </v>
      </c>
      <c r="D36" s="76" t="str">
        <f>IF('كشف النقاط'!D34&gt;0,'كشف النقاط'!D34," ")</f>
        <v> </v>
      </c>
      <c r="E36" s="39">
        <f>'كشف النقاط'!N34</f>
        <v>0</v>
      </c>
      <c r="F36" s="40">
        <f t="shared" si="0"/>
        <v>0</v>
      </c>
      <c r="G36" s="39">
        <f>'كشف النقاط'!N77</f>
        <v>0</v>
      </c>
      <c r="H36" s="40">
        <f t="shared" si="1"/>
        <v>0</v>
      </c>
      <c r="I36" s="39">
        <f>'كشف النقاط'!N120</f>
        <v>0</v>
      </c>
      <c r="J36" s="40">
        <f t="shared" si="2"/>
        <v>0</v>
      </c>
      <c r="K36" s="39">
        <f t="shared" si="3"/>
        <v>0</v>
      </c>
      <c r="L36" s="41">
        <f t="shared" si="4"/>
        <v>0</v>
      </c>
      <c r="M36" s="39">
        <f>'كشف النقاط'!N164</f>
        <v>0</v>
      </c>
      <c r="N36" s="40">
        <f t="shared" si="5"/>
        <v>0</v>
      </c>
      <c r="O36" s="39">
        <f>'كشف النقاط'!N208</f>
        <v>0</v>
      </c>
      <c r="P36" s="40">
        <f t="shared" si="6"/>
        <v>0</v>
      </c>
      <c r="Q36" s="39">
        <f t="shared" si="7"/>
        <v>0</v>
      </c>
      <c r="R36" s="45">
        <f t="shared" si="8"/>
        <v>0</v>
      </c>
      <c r="S36" s="42">
        <f>'كشف النقاط'!N252</f>
        <v>0</v>
      </c>
      <c r="T36" s="40">
        <f t="shared" si="9"/>
        <v>0</v>
      </c>
      <c r="U36" s="39">
        <f t="shared" si="10"/>
        <v>0</v>
      </c>
      <c r="V36" s="45">
        <f t="shared" si="11"/>
        <v>0</v>
      </c>
      <c r="W36" s="39">
        <f>'كشف النقاط'!N297</f>
        <v>0</v>
      </c>
      <c r="X36" s="40">
        <f t="shared" si="12"/>
        <v>0</v>
      </c>
      <c r="Y36" s="39">
        <f t="shared" si="13"/>
        <v>0</v>
      </c>
      <c r="Z36" s="45">
        <f t="shared" si="14"/>
        <v>0</v>
      </c>
      <c r="AA36" s="39">
        <f t="shared" si="15"/>
        <v>0</v>
      </c>
      <c r="AB36" s="46">
        <f t="shared" si="16"/>
        <v>0</v>
      </c>
      <c r="AC36" s="179" t="str">
        <f>IF('كشف النقاط'!M34+'كشف النقاط'!M77+'كشف النقاط'!M120+'كشف النقاط'!M164+'كشف النقاط'!M208+'كشف النقاط'!M252+'كشف النقاط'!M297&gt;0,"إنقاد"," ")</f>
        <v> </v>
      </c>
    </row>
    <row r="37" spans="1:29" s="52" customFormat="1" ht="13.5" customHeight="1">
      <c r="A37" s="178">
        <f t="shared" si="18"/>
        <v>28</v>
      </c>
      <c r="B37" s="143" t="str">
        <f>IF('كشف النقاط'!B35&gt;0,'كشف النقاط'!B35," ")</f>
        <v> </v>
      </c>
      <c r="C37" s="143" t="str">
        <f>IF('كشف النقاط'!C35&gt;0,'كشف النقاط'!C35," ")</f>
        <v> </v>
      </c>
      <c r="D37" s="76" t="str">
        <f>IF('كشف النقاط'!D35&gt;0,'كشف النقاط'!D35," ")</f>
        <v> </v>
      </c>
      <c r="E37" s="39">
        <f>'كشف النقاط'!N35</f>
        <v>0</v>
      </c>
      <c r="F37" s="40">
        <f t="shared" si="0"/>
        <v>0</v>
      </c>
      <c r="G37" s="39">
        <f>'كشف النقاط'!N78</f>
        <v>0</v>
      </c>
      <c r="H37" s="40">
        <f t="shared" si="1"/>
        <v>0</v>
      </c>
      <c r="I37" s="39">
        <f>'كشف النقاط'!N121</f>
        <v>0</v>
      </c>
      <c r="J37" s="40">
        <f t="shared" si="2"/>
        <v>0</v>
      </c>
      <c r="K37" s="39">
        <f t="shared" si="3"/>
        <v>0</v>
      </c>
      <c r="L37" s="41">
        <f t="shared" si="4"/>
        <v>0</v>
      </c>
      <c r="M37" s="39">
        <f>'كشف النقاط'!N165</f>
        <v>0</v>
      </c>
      <c r="N37" s="40">
        <f t="shared" si="5"/>
        <v>0</v>
      </c>
      <c r="O37" s="39">
        <f>'كشف النقاط'!N209</f>
        <v>0</v>
      </c>
      <c r="P37" s="40">
        <f t="shared" si="6"/>
        <v>0</v>
      </c>
      <c r="Q37" s="39">
        <f t="shared" si="7"/>
        <v>0</v>
      </c>
      <c r="R37" s="45">
        <f t="shared" si="8"/>
        <v>0</v>
      </c>
      <c r="S37" s="42">
        <f>'كشف النقاط'!N253</f>
        <v>0</v>
      </c>
      <c r="T37" s="40">
        <f t="shared" si="9"/>
        <v>0</v>
      </c>
      <c r="U37" s="39">
        <f t="shared" si="10"/>
        <v>0</v>
      </c>
      <c r="V37" s="45">
        <f t="shared" si="11"/>
        <v>0</v>
      </c>
      <c r="W37" s="39">
        <f>'كشف النقاط'!N298</f>
        <v>0</v>
      </c>
      <c r="X37" s="40">
        <f t="shared" si="12"/>
        <v>0</v>
      </c>
      <c r="Y37" s="39">
        <f t="shared" si="13"/>
        <v>0</v>
      </c>
      <c r="Z37" s="45">
        <f t="shared" si="14"/>
        <v>0</v>
      </c>
      <c r="AA37" s="39">
        <f t="shared" si="15"/>
        <v>0</v>
      </c>
      <c r="AB37" s="46">
        <f t="shared" si="16"/>
        <v>0</v>
      </c>
      <c r="AC37" s="179" t="str">
        <f>IF('كشف النقاط'!M35+'كشف النقاط'!M78+'كشف النقاط'!M121+'كشف النقاط'!M165+'كشف النقاط'!M209+'كشف النقاط'!M253+'كشف النقاط'!M298&gt;0,"إنقاد"," ")</f>
        <v> </v>
      </c>
    </row>
    <row r="38" spans="1:29" s="52" customFormat="1" ht="13.5" customHeight="1">
      <c r="A38" s="178">
        <f t="shared" si="18"/>
        <v>29</v>
      </c>
      <c r="B38" s="143" t="str">
        <f>IF('كشف النقاط'!B36&gt;0,'كشف النقاط'!B36," ")</f>
        <v> </v>
      </c>
      <c r="C38" s="143" t="str">
        <f>IF('كشف النقاط'!C36&gt;0,'كشف النقاط'!C36," ")</f>
        <v> </v>
      </c>
      <c r="D38" s="76" t="str">
        <f>IF('كشف النقاط'!D36&gt;0,'كشف النقاط'!D36," ")</f>
        <v> </v>
      </c>
      <c r="E38" s="39">
        <f>'كشف النقاط'!N36</f>
        <v>0</v>
      </c>
      <c r="F38" s="40">
        <f t="shared" si="0"/>
        <v>0</v>
      </c>
      <c r="G38" s="39">
        <f>'كشف النقاط'!N79</f>
        <v>0</v>
      </c>
      <c r="H38" s="40">
        <f t="shared" si="1"/>
        <v>0</v>
      </c>
      <c r="I38" s="39">
        <f>'كشف النقاط'!N122</f>
        <v>0</v>
      </c>
      <c r="J38" s="40">
        <f t="shared" si="2"/>
        <v>0</v>
      </c>
      <c r="K38" s="39">
        <f t="shared" si="3"/>
        <v>0</v>
      </c>
      <c r="L38" s="41">
        <f t="shared" si="4"/>
        <v>0</v>
      </c>
      <c r="M38" s="39">
        <f>'كشف النقاط'!N166</f>
        <v>0</v>
      </c>
      <c r="N38" s="40">
        <f t="shared" si="5"/>
        <v>0</v>
      </c>
      <c r="O38" s="39">
        <f>'كشف النقاط'!N210</f>
        <v>0</v>
      </c>
      <c r="P38" s="40">
        <f t="shared" si="6"/>
        <v>0</v>
      </c>
      <c r="Q38" s="39">
        <f t="shared" si="7"/>
        <v>0</v>
      </c>
      <c r="R38" s="45">
        <f t="shared" si="8"/>
        <v>0</v>
      </c>
      <c r="S38" s="42">
        <f>'كشف النقاط'!N254</f>
        <v>0</v>
      </c>
      <c r="T38" s="40">
        <f t="shared" si="9"/>
        <v>0</v>
      </c>
      <c r="U38" s="39">
        <f t="shared" si="10"/>
        <v>0</v>
      </c>
      <c r="V38" s="45">
        <f t="shared" si="11"/>
        <v>0</v>
      </c>
      <c r="W38" s="39">
        <f>'كشف النقاط'!N299</f>
        <v>0</v>
      </c>
      <c r="X38" s="40">
        <f t="shared" si="12"/>
        <v>0</v>
      </c>
      <c r="Y38" s="39">
        <f t="shared" si="13"/>
        <v>0</v>
      </c>
      <c r="Z38" s="45">
        <f t="shared" si="14"/>
        <v>0</v>
      </c>
      <c r="AA38" s="39">
        <f t="shared" si="15"/>
        <v>0</v>
      </c>
      <c r="AB38" s="46">
        <f t="shared" si="16"/>
        <v>0</v>
      </c>
      <c r="AC38" s="179" t="str">
        <f>IF('كشف النقاط'!M36+'كشف النقاط'!M79+'كشف النقاط'!M122+'كشف النقاط'!M166+'كشف النقاط'!M210+'كشف النقاط'!M254+'كشف النقاط'!M299&gt;0,"إنقاد"," ")</f>
        <v> </v>
      </c>
    </row>
    <row r="39" spans="1:29" ht="13.5" customHeight="1">
      <c r="A39" s="178">
        <f t="shared" si="18"/>
        <v>30</v>
      </c>
      <c r="B39" s="143" t="str">
        <f>IF('كشف النقاط'!B37&gt;0,'كشف النقاط'!B37," ")</f>
        <v> </v>
      </c>
      <c r="C39" s="143" t="str">
        <f>IF('كشف النقاط'!C37&gt;0,'كشف النقاط'!C37," ")</f>
        <v> </v>
      </c>
      <c r="D39" s="76" t="str">
        <f>IF('كشف النقاط'!D37&gt;0,'كشف النقاط'!D37," ")</f>
        <v> </v>
      </c>
      <c r="E39" s="39">
        <f>'كشف النقاط'!N37</f>
        <v>0</v>
      </c>
      <c r="F39" s="40">
        <f t="shared" si="0"/>
        <v>0</v>
      </c>
      <c r="G39" s="39">
        <f>'كشف النقاط'!N80</f>
        <v>0</v>
      </c>
      <c r="H39" s="40">
        <f t="shared" si="1"/>
        <v>0</v>
      </c>
      <c r="I39" s="39">
        <f>'كشف النقاط'!N123</f>
        <v>0</v>
      </c>
      <c r="J39" s="40">
        <f t="shared" si="2"/>
        <v>0</v>
      </c>
      <c r="K39" s="39">
        <f t="shared" si="3"/>
        <v>0</v>
      </c>
      <c r="L39" s="41">
        <f t="shared" si="4"/>
        <v>0</v>
      </c>
      <c r="M39" s="39">
        <f>'كشف النقاط'!N167</f>
        <v>0</v>
      </c>
      <c r="N39" s="40">
        <f t="shared" si="5"/>
        <v>0</v>
      </c>
      <c r="O39" s="39">
        <f>'كشف النقاط'!N211</f>
        <v>0</v>
      </c>
      <c r="P39" s="40">
        <f t="shared" si="6"/>
        <v>0</v>
      </c>
      <c r="Q39" s="39">
        <f t="shared" si="7"/>
        <v>0</v>
      </c>
      <c r="R39" s="45">
        <f t="shared" si="8"/>
        <v>0</v>
      </c>
      <c r="S39" s="42">
        <f>'كشف النقاط'!N255</f>
        <v>0</v>
      </c>
      <c r="T39" s="40">
        <f t="shared" si="9"/>
        <v>0</v>
      </c>
      <c r="U39" s="39">
        <f t="shared" si="10"/>
        <v>0</v>
      </c>
      <c r="V39" s="45">
        <f t="shared" si="11"/>
        <v>0</v>
      </c>
      <c r="W39" s="39">
        <f>'كشف النقاط'!N300</f>
        <v>0</v>
      </c>
      <c r="X39" s="40">
        <f t="shared" si="12"/>
        <v>0</v>
      </c>
      <c r="Y39" s="39">
        <f t="shared" si="13"/>
        <v>0</v>
      </c>
      <c r="Z39" s="45">
        <f t="shared" si="14"/>
        <v>0</v>
      </c>
      <c r="AA39" s="39">
        <f t="shared" si="15"/>
        <v>0</v>
      </c>
      <c r="AB39" s="46">
        <f t="shared" si="16"/>
        <v>0</v>
      </c>
      <c r="AC39" s="179" t="str">
        <f>IF('كشف النقاط'!M37+'كشف النقاط'!M80+'كشف النقاط'!M123+'كشف النقاط'!M167+'كشف النقاط'!M211+'كشف النقاط'!M255+'كشف النقاط'!M300&gt;0,"إنقاد"," ")</f>
        <v> </v>
      </c>
    </row>
    <row r="40" spans="1:29" ht="13.5" customHeight="1">
      <c r="A40" s="178">
        <f t="shared" si="18"/>
        <v>31</v>
      </c>
      <c r="B40" s="143" t="str">
        <f>IF('كشف النقاط'!B38&gt;0,'كشف النقاط'!B38," ")</f>
        <v> </v>
      </c>
      <c r="C40" s="143" t="str">
        <f>IF('كشف النقاط'!C38&gt;0,'كشف النقاط'!C38," ")</f>
        <v> </v>
      </c>
      <c r="D40" s="76" t="str">
        <f>IF('كشف النقاط'!D38&gt;0,'كشف النقاط'!D38," ")</f>
        <v> </v>
      </c>
      <c r="E40" s="39">
        <f>'كشف النقاط'!N38</f>
        <v>0</v>
      </c>
      <c r="F40" s="40">
        <f t="shared" si="0"/>
        <v>0</v>
      </c>
      <c r="G40" s="39">
        <f>'كشف النقاط'!N81</f>
        <v>0</v>
      </c>
      <c r="H40" s="40">
        <f t="shared" si="1"/>
        <v>0</v>
      </c>
      <c r="I40" s="39">
        <f>'كشف النقاط'!N124</f>
        <v>0</v>
      </c>
      <c r="J40" s="40">
        <f t="shared" si="2"/>
        <v>0</v>
      </c>
      <c r="K40" s="39">
        <f t="shared" si="3"/>
        <v>0</v>
      </c>
      <c r="L40" s="41">
        <f t="shared" si="4"/>
        <v>0</v>
      </c>
      <c r="M40" s="39">
        <f>'كشف النقاط'!N168</f>
        <v>0</v>
      </c>
      <c r="N40" s="40">
        <f t="shared" si="5"/>
        <v>0</v>
      </c>
      <c r="O40" s="39">
        <f>'كشف النقاط'!N212</f>
        <v>0</v>
      </c>
      <c r="P40" s="40">
        <f t="shared" si="6"/>
        <v>0</v>
      </c>
      <c r="Q40" s="39">
        <f t="shared" si="7"/>
        <v>0</v>
      </c>
      <c r="R40" s="45">
        <f t="shared" si="8"/>
        <v>0</v>
      </c>
      <c r="S40" s="42">
        <f>'كشف النقاط'!N256</f>
        <v>0</v>
      </c>
      <c r="T40" s="40">
        <f t="shared" si="9"/>
        <v>0</v>
      </c>
      <c r="U40" s="39">
        <f t="shared" si="10"/>
        <v>0</v>
      </c>
      <c r="V40" s="45">
        <f t="shared" si="11"/>
        <v>0</v>
      </c>
      <c r="W40" s="39">
        <f>'كشف النقاط'!N301</f>
        <v>0</v>
      </c>
      <c r="X40" s="40">
        <f t="shared" si="12"/>
        <v>0</v>
      </c>
      <c r="Y40" s="39">
        <f t="shared" si="13"/>
        <v>0</v>
      </c>
      <c r="Z40" s="45">
        <f t="shared" si="14"/>
        <v>0</v>
      </c>
      <c r="AA40" s="39">
        <f t="shared" si="15"/>
        <v>0</v>
      </c>
      <c r="AB40" s="46">
        <f t="shared" si="16"/>
        <v>0</v>
      </c>
      <c r="AC40" s="179" t="str">
        <f>IF('كشف النقاط'!M38+'كشف النقاط'!M81+'كشف النقاط'!M124+'كشف النقاط'!M168+'كشف النقاط'!M212+'كشف النقاط'!M256+'كشف النقاط'!M301&gt;0,"إنقاد"," ")</f>
        <v> </v>
      </c>
    </row>
    <row r="41" spans="1:29" ht="13.5" customHeight="1">
      <c r="A41" s="178">
        <f t="shared" si="18"/>
        <v>32</v>
      </c>
      <c r="B41" s="143" t="str">
        <f>IF('كشف النقاط'!B39&gt;0,'كشف النقاط'!B39," ")</f>
        <v> </v>
      </c>
      <c r="C41" s="143" t="str">
        <f>IF('كشف النقاط'!C39&gt;0,'كشف النقاط'!C39," ")</f>
        <v> </v>
      </c>
      <c r="D41" s="76" t="str">
        <f>IF('كشف النقاط'!D39&gt;0,'كشف النقاط'!D39," ")</f>
        <v> </v>
      </c>
      <c r="E41" s="39">
        <f>'كشف النقاط'!N39</f>
        <v>0</v>
      </c>
      <c r="F41" s="40">
        <f t="shared" si="0"/>
        <v>0</v>
      </c>
      <c r="G41" s="39">
        <f>'كشف النقاط'!N82</f>
        <v>0</v>
      </c>
      <c r="H41" s="40">
        <f t="shared" si="1"/>
        <v>0</v>
      </c>
      <c r="I41" s="39">
        <f>'كشف النقاط'!N125</f>
        <v>0</v>
      </c>
      <c r="J41" s="40">
        <f t="shared" si="2"/>
        <v>0</v>
      </c>
      <c r="K41" s="39">
        <f t="shared" si="3"/>
        <v>0</v>
      </c>
      <c r="L41" s="41">
        <f t="shared" si="4"/>
        <v>0</v>
      </c>
      <c r="M41" s="39">
        <f>'كشف النقاط'!N169</f>
        <v>0</v>
      </c>
      <c r="N41" s="40">
        <f t="shared" si="5"/>
        <v>0</v>
      </c>
      <c r="O41" s="39">
        <f>'كشف النقاط'!N213</f>
        <v>0</v>
      </c>
      <c r="P41" s="40">
        <f t="shared" si="6"/>
        <v>0</v>
      </c>
      <c r="Q41" s="39">
        <f t="shared" si="7"/>
        <v>0</v>
      </c>
      <c r="R41" s="45">
        <f t="shared" si="8"/>
        <v>0</v>
      </c>
      <c r="S41" s="42">
        <f>'كشف النقاط'!N257</f>
        <v>0</v>
      </c>
      <c r="T41" s="40">
        <f t="shared" si="9"/>
        <v>0</v>
      </c>
      <c r="U41" s="39">
        <f t="shared" si="10"/>
        <v>0</v>
      </c>
      <c r="V41" s="45">
        <f t="shared" si="11"/>
        <v>0</v>
      </c>
      <c r="W41" s="39">
        <f>'كشف النقاط'!N302</f>
        <v>0</v>
      </c>
      <c r="X41" s="40">
        <f t="shared" si="12"/>
        <v>0</v>
      </c>
      <c r="Y41" s="39">
        <f t="shared" si="13"/>
        <v>0</v>
      </c>
      <c r="Z41" s="45">
        <f t="shared" si="14"/>
        <v>0</v>
      </c>
      <c r="AA41" s="39">
        <f t="shared" si="15"/>
        <v>0</v>
      </c>
      <c r="AB41" s="46">
        <f t="shared" si="16"/>
        <v>0</v>
      </c>
      <c r="AC41" s="179" t="str">
        <f>IF('كشف النقاط'!M39+'كشف النقاط'!M82+'كشف النقاط'!M125+'كشف النقاط'!M169+'كشف النقاط'!M213+'كشف النقاط'!M257+'كشف النقاط'!M302&gt;0,"إنقاد"," ")</f>
        <v> </v>
      </c>
    </row>
    <row r="42" spans="1:27" ht="15" customHeight="1">
      <c r="A42" s="177"/>
      <c r="B42" s="165"/>
      <c r="C42" s="165"/>
      <c r="D42" s="176" t="str">
        <f>IF('كشف النقاط'!D36&gt;0,'كشف النقاط'!D36," ")</f>
        <v> </v>
      </c>
      <c r="E42" s="51" t="s">
        <v>509</v>
      </c>
      <c r="F42" s="49"/>
      <c r="G42" s="51" t="s">
        <v>510</v>
      </c>
      <c r="H42" s="50"/>
      <c r="I42" s="51" t="s">
        <v>493</v>
      </c>
      <c r="J42" s="49"/>
      <c r="K42" s="50"/>
      <c r="L42" s="50"/>
      <c r="M42" s="51" t="s">
        <v>511</v>
      </c>
      <c r="N42" s="49"/>
      <c r="O42" s="51" t="s">
        <v>210</v>
      </c>
      <c r="P42" s="49"/>
      <c r="Q42" s="50"/>
      <c r="R42" s="49"/>
      <c r="S42" s="51" t="s">
        <v>512</v>
      </c>
      <c r="T42" s="49"/>
      <c r="U42" s="49"/>
      <c r="V42" s="49"/>
      <c r="W42" s="51" t="s">
        <v>482</v>
      </c>
      <c r="X42" s="49"/>
      <c r="Y42" s="164"/>
      <c r="AA42" s="245"/>
    </row>
    <row r="43" spans="1:25" ht="12.75" customHeight="1">
      <c r="A43" s="80"/>
      <c r="B43" s="152"/>
      <c r="C43" s="152"/>
      <c r="D43" s="153" t="str">
        <f>IF('كشف النقاط'!D37&gt;0,'كشف النقاط'!D37," ")</f>
        <v> </v>
      </c>
      <c r="E43" s="33"/>
      <c r="F43" s="31"/>
      <c r="G43" s="33"/>
      <c r="H43" s="31"/>
      <c r="I43" s="33"/>
      <c r="J43" s="31"/>
      <c r="K43" s="1"/>
      <c r="L43" s="31"/>
      <c r="M43" s="33"/>
      <c r="N43" s="31"/>
      <c r="O43" s="33"/>
      <c r="P43" s="31"/>
      <c r="Q43" s="1"/>
      <c r="R43" s="31"/>
      <c r="S43" s="33"/>
      <c r="W43" s="33"/>
      <c r="Y43" s="32"/>
    </row>
    <row r="44" spans="2:27" ht="24.75" customHeight="1">
      <c r="B44" s="80"/>
      <c r="C44" s="80"/>
      <c r="D44" s="80"/>
      <c r="E44" s="32"/>
      <c r="F44" s="31"/>
      <c r="G44" s="32"/>
      <c r="H44" s="31"/>
      <c r="I44" s="32"/>
      <c r="J44" s="31"/>
      <c r="K44" s="32"/>
      <c r="L44" s="31"/>
      <c r="M44" s="32"/>
      <c r="N44" s="31"/>
      <c r="O44" s="32"/>
      <c r="P44" s="31"/>
      <c r="Q44" s="32"/>
      <c r="R44" s="31"/>
      <c r="S44" s="32"/>
      <c r="W44" s="32"/>
      <c r="Y44" s="32"/>
      <c r="AA44" s="19" t="s">
        <v>29</v>
      </c>
    </row>
    <row r="45" spans="5:25" ht="12.75" customHeight="1">
      <c r="E45" s="32"/>
      <c r="F45" s="31"/>
      <c r="G45" s="32"/>
      <c r="H45" s="31"/>
      <c r="I45" s="32"/>
      <c r="J45" s="31"/>
      <c r="K45" s="32"/>
      <c r="L45" s="31"/>
      <c r="M45" s="32"/>
      <c r="N45" s="31"/>
      <c r="O45" s="32"/>
      <c r="P45" s="31"/>
      <c r="Q45" s="32"/>
      <c r="R45" s="31"/>
      <c r="S45" s="32"/>
      <c r="W45" s="32"/>
      <c r="Y45" s="32"/>
    </row>
    <row r="46" spans="5:25" ht="12.75" customHeight="1">
      <c r="E46" s="32"/>
      <c r="F46" s="31"/>
      <c r="G46" s="32"/>
      <c r="H46" s="31"/>
      <c r="I46" s="32"/>
      <c r="J46" s="31"/>
      <c r="K46" s="32"/>
      <c r="L46" s="31"/>
      <c r="M46" s="32"/>
      <c r="N46" s="31"/>
      <c r="O46" s="32"/>
      <c r="P46" s="31"/>
      <c r="Q46" s="32"/>
      <c r="R46" s="31"/>
      <c r="S46" s="32"/>
      <c r="W46" s="32"/>
      <c r="Y46" s="32"/>
    </row>
    <row r="47" spans="5:25" ht="12.75">
      <c r="E47" s="32"/>
      <c r="F47" s="31"/>
      <c r="G47" s="32"/>
      <c r="H47" s="31"/>
      <c r="I47" s="32"/>
      <c r="J47" s="31"/>
      <c r="K47" s="32"/>
      <c r="L47" s="31"/>
      <c r="M47" s="32"/>
      <c r="N47" s="31"/>
      <c r="O47" s="32"/>
      <c r="P47" s="31"/>
      <c r="Q47" s="32"/>
      <c r="R47" s="31"/>
      <c r="S47" s="32"/>
      <c r="W47" s="32"/>
      <c r="Y47" s="32"/>
    </row>
  </sheetData>
  <sheetProtection/>
  <mergeCells count="10">
    <mergeCell ref="AC5:AC9"/>
    <mergeCell ref="A5:A9"/>
    <mergeCell ref="Z5:Z7"/>
    <mergeCell ref="AB5:AB7"/>
    <mergeCell ref="B5:B9"/>
    <mergeCell ref="D5:D9"/>
    <mergeCell ref="L5:L7"/>
    <mergeCell ref="R5:R7"/>
    <mergeCell ref="V5:V7"/>
    <mergeCell ref="C5:C9"/>
  </mergeCells>
  <printOptions/>
  <pageMargins left="0" right="0"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6"/>
  </sheetPr>
  <dimension ref="A1:K54"/>
  <sheetViews>
    <sheetView rightToLeft="1" view="pageBreakPreview" zoomScale="95" zoomScaleSheetLayoutView="95" workbookViewId="0" topLeftCell="A1">
      <selection activeCell="B4" sqref="B4"/>
    </sheetView>
  </sheetViews>
  <sheetFormatPr defaultColWidth="11.421875" defaultRowHeight="12.75"/>
  <cols>
    <col min="1" max="1" width="4.28125" style="19" customWidth="1"/>
    <col min="2" max="2" width="13.140625" style="19" customWidth="1"/>
    <col min="3" max="3" width="15.7109375" style="19" customWidth="1"/>
    <col min="4" max="4" width="7.57421875" style="19" customWidth="1"/>
    <col min="5" max="5" width="14.00390625" style="19" customWidth="1"/>
    <col min="6" max="6" width="6.7109375" style="19" customWidth="1"/>
    <col min="7" max="7" width="13.7109375" style="19" customWidth="1"/>
    <col min="8" max="8" width="5.421875" style="19" customWidth="1"/>
    <col min="9" max="9" width="11.8515625" style="19" customWidth="1"/>
    <col min="10" max="10" width="5.7109375" style="19" customWidth="1"/>
    <col min="11" max="11" width="10.57421875" style="19" customWidth="1"/>
    <col min="12" max="16384" width="11.421875" style="19" customWidth="1"/>
  </cols>
  <sheetData>
    <row r="1" spans="1:11" s="189" customFormat="1" ht="19.5" customHeight="1">
      <c r="A1" s="189" t="s">
        <v>19</v>
      </c>
      <c r="K1" s="10" t="s">
        <v>518</v>
      </c>
    </row>
    <row r="2" spans="1:11" s="189" customFormat="1" ht="19.5" customHeight="1">
      <c r="A2" s="189" t="s">
        <v>20</v>
      </c>
      <c r="K2" s="189" t="s">
        <v>28</v>
      </c>
    </row>
    <row r="3" spans="1:11" s="189" customFormat="1" ht="19.5" customHeight="1">
      <c r="A3" s="189" t="s">
        <v>4</v>
      </c>
      <c r="K3" s="189" t="s">
        <v>21</v>
      </c>
    </row>
    <row r="4" spans="2:11" ht="19.5" customHeight="1">
      <c r="B4" s="19" t="s">
        <v>527</v>
      </c>
      <c r="C4" s="10"/>
      <c r="F4" s="10" t="s">
        <v>116</v>
      </c>
      <c r="K4" s="192" t="s">
        <v>199</v>
      </c>
    </row>
    <row r="5" spans="1:11" ht="20.25" customHeight="1">
      <c r="A5" s="702" t="s">
        <v>9</v>
      </c>
      <c r="B5" s="702" t="s">
        <v>163</v>
      </c>
      <c r="C5" s="702" t="s">
        <v>164</v>
      </c>
      <c r="D5" s="731" t="s">
        <v>84</v>
      </c>
      <c r="E5" s="338" t="s">
        <v>214</v>
      </c>
      <c r="F5" s="317"/>
      <c r="G5" s="318"/>
      <c r="H5" s="734" t="s">
        <v>80</v>
      </c>
      <c r="I5" s="315" t="s">
        <v>22</v>
      </c>
      <c r="J5" s="734" t="s">
        <v>80</v>
      </c>
      <c r="K5" s="728" t="s">
        <v>24</v>
      </c>
    </row>
    <row r="6" spans="1:11" ht="20.25" customHeight="1">
      <c r="A6" s="703"/>
      <c r="B6" s="703"/>
      <c r="C6" s="703"/>
      <c r="D6" s="732"/>
      <c r="E6" s="319" t="s">
        <v>213</v>
      </c>
      <c r="F6" s="320"/>
      <c r="G6" s="321"/>
      <c r="H6" s="734"/>
      <c r="I6" s="316" t="s">
        <v>25</v>
      </c>
      <c r="J6" s="734"/>
      <c r="K6" s="729"/>
    </row>
    <row r="7" spans="1:11" ht="20.25" customHeight="1">
      <c r="A7" s="703"/>
      <c r="B7" s="703"/>
      <c r="C7" s="703"/>
      <c r="D7" s="732"/>
      <c r="E7" s="322"/>
      <c r="F7" s="323"/>
      <c r="G7" s="314" t="s">
        <v>23</v>
      </c>
      <c r="H7" s="734"/>
      <c r="I7" s="324"/>
      <c r="J7" s="734"/>
      <c r="K7" s="729"/>
    </row>
    <row r="8" spans="1:11" ht="14.25" customHeight="1">
      <c r="A8" s="703"/>
      <c r="B8" s="703"/>
      <c r="C8" s="703"/>
      <c r="D8" s="732"/>
      <c r="E8" s="325" t="s">
        <v>81</v>
      </c>
      <c r="F8" s="326" t="s">
        <v>26</v>
      </c>
      <c r="G8" s="325" t="s">
        <v>81</v>
      </c>
      <c r="H8" s="327" t="s">
        <v>26</v>
      </c>
      <c r="I8" s="325" t="s">
        <v>81</v>
      </c>
      <c r="J8" s="327" t="s">
        <v>26</v>
      </c>
      <c r="K8" s="729"/>
    </row>
    <row r="9" spans="1:11" ht="14.25" customHeight="1">
      <c r="A9" s="704"/>
      <c r="B9" s="704"/>
      <c r="C9" s="704"/>
      <c r="D9" s="733"/>
      <c r="E9" s="325">
        <v>30</v>
      </c>
      <c r="F9" s="325">
        <v>30</v>
      </c>
      <c r="G9" s="325">
        <v>30</v>
      </c>
      <c r="H9" s="325">
        <v>30</v>
      </c>
      <c r="I9" s="325">
        <v>30</v>
      </c>
      <c r="J9" s="325">
        <v>30</v>
      </c>
      <c r="K9" s="730"/>
    </row>
    <row r="10" spans="1:11" ht="16.5" customHeight="1">
      <c r="A10" s="325">
        <v>1</v>
      </c>
      <c r="B10" s="142" t="str">
        <f>IF('كشف النقاط'!B8&gt;0,'كشف النقاط'!B8," ")</f>
        <v>الحاج </v>
      </c>
      <c r="C10" s="142" t="str">
        <f>IF('كشف النقاط'!C8&gt;0,'كشف النقاط'!C8," ")</f>
        <v>مروة</v>
      </c>
      <c r="D10" s="328" t="str">
        <f>IF('كشف النقاط'!D8&gt;0,'كشف النقاط'!D8," ")</f>
        <v> </v>
      </c>
      <c r="E10" s="329">
        <f>'كشف النقاط'!I356</f>
        <v>0</v>
      </c>
      <c r="F10" s="314">
        <f>IF(E10&lt;30,0,7)</f>
        <v>0</v>
      </c>
      <c r="G10" s="329">
        <f>E10/30</f>
        <v>0</v>
      </c>
      <c r="H10" s="330">
        <f>IF(G10&lt;10,0,30)</f>
        <v>0</v>
      </c>
      <c r="I10" s="331">
        <f>G10</f>
        <v>0</v>
      </c>
      <c r="J10" s="332">
        <f>H10</f>
        <v>0</v>
      </c>
      <c r="K10" s="301"/>
    </row>
    <row r="11" spans="1:11" ht="16.5" customHeight="1">
      <c r="A11" s="325">
        <f>1+A10</f>
        <v>2</v>
      </c>
      <c r="B11" s="142" t="str">
        <f>IF('كشف النقاط'!B9&gt;0,'كشف النقاط'!B9," ")</f>
        <v>العياشي </v>
      </c>
      <c r="C11" s="142" t="str">
        <f>IF('كشف النقاط'!C9&gt;0,'كشف النقاط'!C9," ")</f>
        <v>نوار</v>
      </c>
      <c r="D11" s="328" t="str">
        <f>IF('كشف النقاط'!D9&gt;0,'كشف النقاط'!D9," ")</f>
        <v> </v>
      </c>
      <c r="E11" s="329">
        <f>'كشف النقاط'!I357</f>
        <v>0</v>
      </c>
      <c r="F11" s="314">
        <f aca="true" t="shared" si="0" ref="F11:F41">IF(E11&lt;30,0,7)</f>
        <v>0</v>
      </c>
      <c r="G11" s="329">
        <f aca="true" t="shared" si="1" ref="G11:G39">E11/30</f>
        <v>0</v>
      </c>
      <c r="H11" s="330">
        <f aca="true" t="shared" si="2" ref="H11:H39">IF(G11&lt;10,0,30)</f>
        <v>0</v>
      </c>
      <c r="I11" s="331">
        <f aca="true" t="shared" si="3" ref="I11:I41">G11</f>
        <v>0</v>
      </c>
      <c r="J11" s="332">
        <f aca="true" t="shared" si="4" ref="J11:J39">H11</f>
        <v>0</v>
      </c>
      <c r="K11" s="301"/>
    </row>
    <row r="12" spans="1:11" ht="16.5" customHeight="1">
      <c r="A12" s="325">
        <f aca="true" t="shared" si="5" ref="A12:A41">1+A11</f>
        <v>3</v>
      </c>
      <c r="B12" s="142" t="str">
        <f>IF('كشف النقاط'!B10&gt;0,'كشف النقاط'!B10," ")</f>
        <v>باطح </v>
      </c>
      <c r="C12" s="142" t="str">
        <f>IF('كشف النقاط'!C10&gt;0,'كشف النقاط'!C10," ")</f>
        <v>محمد لمين</v>
      </c>
      <c r="D12" s="328" t="str">
        <f>IF('كشف النقاط'!D10&gt;0,'كشف النقاط'!D10," ")</f>
        <v> </v>
      </c>
      <c r="E12" s="329">
        <f>'كشف النقاط'!I358</f>
        <v>0</v>
      </c>
      <c r="F12" s="314">
        <f t="shared" si="0"/>
        <v>0</v>
      </c>
      <c r="G12" s="329">
        <f t="shared" si="1"/>
        <v>0</v>
      </c>
      <c r="H12" s="330">
        <f t="shared" si="2"/>
        <v>0</v>
      </c>
      <c r="I12" s="331">
        <f t="shared" si="3"/>
        <v>0</v>
      </c>
      <c r="J12" s="332">
        <f t="shared" si="4"/>
        <v>0</v>
      </c>
      <c r="K12" s="301"/>
    </row>
    <row r="13" spans="1:11" ht="16.5" customHeight="1">
      <c r="A13" s="325">
        <f t="shared" si="5"/>
        <v>4</v>
      </c>
      <c r="B13" s="142" t="str">
        <f>IF('كشف النقاط'!B11&gt;0,'كشف النقاط'!B11," ")</f>
        <v>بوساحة </v>
      </c>
      <c r="C13" s="142" t="str">
        <f>IF('كشف النقاط'!C11&gt;0,'كشف النقاط'!C11," ")</f>
        <v>حسام الدين</v>
      </c>
      <c r="D13" s="328" t="str">
        <f>IF('كشف النقاط'!D11&gt;0,'كشف النقاط'!D11," ")</f>
        <v> </v>
      </c>
      <c r="E13" s="329">
        <f>'كشف النقاط'!I359</f>
        <v>0</v>
      </c>
      <c r="F13" s="314">
        <f t="shared" si="0"/>
        <v>0</v>
      </c>
      <c r="G13" s="329">
        <f t="shared" si="1"/>
        <v>0</v>
      </c>
      <c r="H13" s="330">
        <f t="shared" si="2"/>
        <v>0</v>
      </c>
      <c r="I13" s="331">
        <f t="shared" si="3"/>
        <v>0</v>
      </c>
      <c r="J13" s="332">
        <f t="shared" si="4"/>
        <v>0</v>
      </c>
      <c r="K13" s="301"/>
    </row>
    <row r="14" spans="1:11" ht="16.5" customHeight="1">
      <c r="A14" s="325">
        <f t="shared" si="5"/>
        <v>5</v>
      </c>
      <c r="B14" s="142" t="str">
        <f>IF('كشف النقاط'!B12&gt;0,'كشف النقاط'!B12," ")</f>
        <v>بوسالم </v>
      </c>
      <c r="C14" s="142" t="str">
        <f>IF('كشف النقاط'!C12&gt;0,'كشف النقاط'!C12," ")</f>
        <v>محمد وليد</v>
      </c>
      <c r="D14" s="328" t="str">
        <f>IF('كشف النقاط'!D12&gt;0,'كشف النقاط'!D12," ")</f>
        <v> </v>
      </c>
      <c r="E14" s="329">
        <f>'كشف النقاط'!I360</f>
        <v>0</v>
      </c>
      <c r="F14" s="314">
        <f t="shared" si="0"/>
        <v>0</v>
      </c>
      <c r="G14" s="329">
        <f t="shared" si="1"/>
        <v>0</v>
      </c>
      <c r="H14" s="330">
        <f t="shared" si="2"/>
        <v>0</v>
      </c>
      <c r="I14" s="331">
        <f t="shared" si="3"/>
        <v>0</v>
      </c>
      <c r="J14" s="332">
        <f t="shared" si="4"/>
        <v>0</v>
      </c>
      <c r="K14" s="301"/>
    </row>
    <row r="15" spans="1:11" ht="16.5" customHeight="1">
      <c r="A15" s="325">
        <f t="shared" si="5"/>
        <v>6</v>
      </c>
      <c r="B15" s="142" t="str">
        <f>IF('كشف النقاط'!B13&gt;0,'كشف النقاط'!B13," ")</f>
        <v>بوعروج </v>
      </c>
      <c r="C15" s="142" t="str">
        <f>IF('كشف النقاط'!C13&gt;0,'كشف النقاط'!C13," ")</f>
        <v>نسيمة</v>
      </c>
      <c r="D15" s="328" t="str">
        <f>IF('كشف النقاط'!D13&gt;0,'كشف النقاط'!D13," ")</f>
        <v> </v>
      </c>
      <c r="E15" s="329">
        <f>'كشف النقاط'!I361</f>
        <v>0</v>
      </c>
      <c r="F15" s="314">
        <f t="shared" si="0"/>
        <v>0</v>
      </c>
      <c r="G15" s="329">
        <f t="shared" si="1"/>
        <v>0</v>
      </c>
      <c r="H15" s="330">
        <f t="shared" si="2"/>
        <v>0</v>
      </c>
      <c r="I15" s="331">
        <f t="shared" si="3"/>
        <v>0</v>
      </c>
      <c r="J15" s="332">
        <f t="shared" si="4"/>
        <v>0</v>
      </c>
      <c r="K15" s="301"/>
    </row>
    <row r="16" spans="1:11" ht="16.5" customHeight="1">
      <c r="A16" s="325">
        <f t="shared" si="5"/>
        <v>7</v>
      </c>
      <c r="B16" s="142" t="str">
        <f>IF('كشف النقاط'!B14&gt;0,'كشف النقاط'!B14," ")</f>
        <v>بولعيد </v>
      </c>
      <c r="C16" s="142" t="str">
        <f>IF('كشف النقاط'!C14&gt;0,'كشف النقاط'!C14," ")</f>
        <v>مريم</v>
      </c>
      <c r="D16" s="328" t="str">
        <f>IF('كشف النقاط'!D14&gt;0,'كشف النقاط'!D14," ")</f>
        <v> </v>
      </c>
      <c r="E16" s="329">
        <f>'كشف النقاط'!I362</f>
        <v>0</v>
      </c>
      <c r="F16" s="314">
        <f t="shared" si="0"/>
        <v>0</v>
      </c>
      <c r="G16" s="329">
        <f t="shared" si="1"/>
        <v>0</v>
      </c>
      <c r="H16" s="330">
        <f t="shared" si="2"/>
        <v>0</v>
      </c>
      <c r="I16" s="331">
        <f t="shared" si="3"/>
        <v>0</v>
      </c>
      <c r="J16" s="332">
        <f t="shared" si="4"/>
        <v>0</v>
      </c>
      <c r="K16" s="301"/>
    </row>
    <row r="17" spans="1:11" ht="16.5" customHeight="1">
      <c r="A17" s="325">
        <f t="shared" si="5"/>
        <v>8</v>
      </c>
      <c r="B17" s="142" t="str">
        <f>IF('كشف النقاط'!B15&gt;0,'كشف النقاط'!B15," ")</f>
        <v>خاوة </v>
      </c>
      <c r="C17" s="142" t="str">
        <f>IF('كشف النقاط'!C15&gt;0,'كشف النقاط'!C15," ")</f>
        <v>أسماء</v>
      </c>
      <c r="D17" s="328" t="str">
        <f>IF('كشف النقاط'!D15&gt;0,'كشف النقاط'!D15," ")</f>
        <v> </v>
      </c>
      <c r="E17" s="329">
        <f>'كشف النقاط'!I363</f>
        <v>0</v>
      </c>
      <c r="F17" s="314">
        <f t="shared" si="0"/>
        <v>0</v>
      </c>
      <c r="G17" s="329">
        <f t="shared" si="1"/>
        <v>0</v>
      </c>
      <c r="H17" s="330">
        <f t="shared" si="2"/>
        <v>0</v>
      </c>
      <c r="I17" s="331">
        <f t="shared" si="3"/>
        <v>0</v>
      </c>
      <c r="J17" s="332">
        <f t="shared" si="4"/>
        <v>0</v>
      </c>
      <c r="K17" s="301"/>
    </row>
    <row r="18" spans="1:11" ht="16.5" customHeight="1">
      <c r="A18" s="325">
        <f t="shared" si="5"/>
        <v>9</v>
      </c>
      <c r="B18" s="142" t="str">
        <f>IF('كشف النقاط'!B16&gt;0,'كشف النقاط'!B16," ")</f>
        <v>زغلاني </v>
      </c>
      <c r="C18" s="142" t="str">
        <f>IF('كشف النقاط'!C16&gt;0,'كشف النقاط'!C16," ")</f>
        <v>ساعد</v>
      </c>
      <c r="D18" s="328" t="str">
        <f>IF('كشف النقاط'!D16&gt;0,'كشف النقاط'!D16," ")</f>
        <v> </v>
      </c>
      <c r="E18" s="329">
        <f>'كشف النقاط'!I364</f>
        <v>0</v>
      </c>
      <c r="F18" s="314">
        <f t="shared" si="0"/>
        <v>0</v>
      </c>
      <c r="G18" s="329">
        <f t="shared" si="1"/>
        <v>0</v>
      </c>
      <c r="H18" s="330">
        <f t="shared" si="2"/>
        <v>0</v>
      </c>
      <c r="I18" s="331">
        <f t="shared" si="3"/>
        <v>0</v>
      </c>
      <c r="J18" s="332">
        <f t="shared" si="4"/>
        <v>0</v>
      </c>
      <c r="K18" s="301"/>
    </row>
    <row r="19" spans="1:11" ht="16.5" customHeight="1">
      <c r="A19" s="325">
        <f t="shared" si="5"/>
        <v>10</v>
      </c>
      <c r="B19" s="142" t="str">
        <f>IF('كشف النقاط'!B17&gt;0,'كشف النقاط'!B17," ")</f>
        <v>زياني </v>
      </c>
      <c r="C19" s="142" t="str">
        <f>IF('كشف النقاط'!C17&gt;0,'كشف النقاط'!C17," ")</f>
        <v>أميرة</v>
      </c>
      <c r="D19" s="328" t="str">
        <f>IF('كشف النقاط'!D17&gt;0,'كشف النقاط'!D17," ")</f>
        <v> </v>
      </c>
      <c r="E19" s="329">
        <f>'كشف النقاط'!I365</f>
        <v>0</v>
      </c>
      <c r="F19" s="314">
        <f t="shared" si="0"/>
        <v>0</v>
      </c>
      <c r="G19" s="329">
        <f t="shared" si="1"/>
        <v>0</v>
      </c>
      <c r="H19" s="330">
        <f t="shared" si="2"/>
        <v>0</v>
      </c>
      <c r="I19" s="331">
        <f t="shared" si="3"/>
        <v>0</v>
      </c>
      <c r="J19" s="332">
        <f t="shared" si="4"/>
        <v>0</v>
      </c>
      <c r="K19" s="301"/>
    </row>
    <row r="20" spans="1:11" ht="16.5" customHeight="1">
      <c r="A20" s="325">
        <f t="shared" si="5"/>
        <v>11</v>
      </c>
      <c r="B20" s="142" t="str">
        <f>IF('كشف النقاط'!B18&gt;0,'كشف النقاط'!B18," ")</f>
        <v>شلابي </v>
      </c>
      <c r="C20" s="142" t="str">
        <f>IF('كشف النقاط'!C18&gt;0,'كشف النقاط'!C18," ")</f>
        <v>هاجر</v>
      </c>
      <c r="D20" s="328" t="str">
        <f>IF('كشف النقاط'!D18&gt;0,'كشف النقاط'!D18," ")</f>
        <v> </v>
      </c>
      <c r="E20" s="329">
        <f>'كشف النقاط'!I366</f>
        <v>0</v>
      </c>
      <c r="F20" s="314">
        <f t="shared" si="0"/>
        <v>0</v>
      </c>
      <c r="G20" s="329">
        <f t="shared" si="1"/>
        <v>0</v>
      </c>
      <c r="H20" s="330">
        <f t="shared" si="2"/>
        <v>0</v>
      </c>
      <c r="I20" s="331">
        <f t="shared" si="3"/>
        <v>0</v>
      </c>
      <c r="J20" s="332">
        <f t="shared" si="4"/>
        <v>0</v>
      </c>
      <c r="K20" s="301"/>
    </row>
    <row r="21" spans="1:11" ht="16.5" customHeight="1">
      <c r="A21" s="325">
        <f t="shared" si="5"/>
        <v>12</v>
      </c>
      <c r="B21" s="142" t="str">
        <f>IF('كشف النقاط'!B19&gt;0,'كشف النقاط'!B19," ")</f>
        <v>صولي </v>
      </c>
      <c r="C21" s="142" t="str">
        <f>IF('كشف النقاط'!C19&gt;0,'كشف النقاط'!C19," ")</f>
        <v>هشام</v>
      </c>
      <c r="D21" s="328" t="str">
        <f>IF('كشف النقاط'!D19&gt;0,'كشف النقاط'!D19," ")</f>
        <v> </v>
      </c>
      <c r="E21" s="329">
        <f>'كشف النقاط'!I367</f>
        <v>0</v>
      </c>
      <c r="F21" s="314">
        <f t="shared" si="0"/>
        <v>0</v>
      </c>
      <c r="G21" s="329">
        <f t="shared" si="1"/>
        <v>0</v>
      </c>
      <c r="H21" s="330">
        <f t="shared" si="2"/>
        <v>0</v>
      </c>
      <c r="I21" s="331">
        <f t="shared" si="3"/>
        <v>0</v>
      </c>
      <c r="J21" s="332">
        <f t="shared" si="4"/>
        <v>0</v>
      </c>
      <c r="K21" s="301"/>
    </row>
    <row r="22" spans="1:11" ht="16.5" customHeight="1">
      <c r="A22" s="325">
        <f t="shared" si="5"/>
        <v>13</v>
      </c>
      <c r="B22" s="142" t="str">
        <f>IF('كشف النقاط'!B20&gt;0,'كشف النقاط'!B20," ")</f>
        <v>عطيل</v>
      </c>
      <c r="C22" s="142" t="str">
        <f>IF('كشف النقاط'!C20&gt;0,'كشف النقاط'!C20," ")</f>
        <v>آسيا</v>
      </c>
      <c r="D22" s="328" t="str">
        <f>IF('كشف النقاط'!D20&gt;0,'كشف النقاط'!D20," ")</f>
        <v> </v>
      </c>
      <c r="E22" s="329">
        <f>'كشف النقاط'!I368</f>
        <v>0</v>
      </c>
      <c r="F22" s="314">
        <f t="shared" si="0"/>
        <v>0</v>
      </c>
      <c r="G22" s="329">
        <f t="shared" si="1"/>
        <v>0</v>
      </c>
      <c r="H22" s="330">
        <f t="shared" si="2"/>
        <v>0</v>
      </c>
      <c r="I22" s="331">
        <f t="shared" si="3"/>
        <v>0</v>
      </c>
      <c r="J22" s="332">
        <f t="shared" si="4"/>
        <v>0</v>
      </c>
      <c r="K22" s="301"/>
    </row>
    <row r="23" spans="1:11" ht="16.5" customHeight="1">
      <c r="A23" s="325">
        <f t="shared" si="5"/>
        <v>14</v>
      </c>
      <c r="B23" s="142" t="str">
        <f>IF('كشف النقاط'!B21&gt;0,'كشف النقاط'!B21," ")</f>
        <v>عيدود </v>
      </c>
      <c r="C23" s="142" t="str">
        <f>IF('كشف النقاط'!C21&gt;0,'كشف النقاط'!C21," ")</f>
        <v>صبرينة</v>
      </c>
      <c r="D23" s="328" t="str">
        <f>IF('كشف النقاط'!D21&gt;0,'كشف النقاط'!D21," ")</f>
        <v> </v>
      </c>
      <c r="E23" s="329">
        <f>'كشف النقاط'!I369</f>
        <v>0</v>
      </c>
      <c r="F23" s="314">
        <f t="shared" si="0"/>
        <v>0</v>
      </c>
      <c r="G23" s="329">
        <f t="shared" si="1"/>
        <v>0</v>
      </c>
      <c r="H23" s="330">
        <f t="shared" si="2"/>
        <v>0</v>
      </c>
      <c r="I23" s="331">
        <f t="shared" si="3"/>
        <v>0</v>
      </c>
      <c r="J23" s="332">
        <f t="shared" si="4"/>
        <v>0</v>
      </c>
      <c r="K23" s="301"/>
    </row>
    <row r="24" spans="1:11" ht="16.5" customHeight="1">
      <c r="A24" s="325">
        <f t="shared" si="5"/>
        <v>15</v>
      </c>
      <c r="B24" s="142" t="str">
        <f>IF('كشف النقاط'!B22&gt;0,'كشف النقاط'!B22," ")</f>
        <v>قايدي </v>
      </c>
      <c r="C24" s="142" t="str">
        <f>IF('كشف النقاط'!C22&gt;0,'كشف النقاط'!C22," ")</f>
        <v>مريم</v>
      </c>
      <c r="D24" s="328" t="str">
        <f>IF('كشف النقاط'!D22&gt;0,'كشف النقاط'!D22," ")</f>
        <v> </v>
      </c>
      <c r="E24" s="329">
        <f>'كشف النقاط'!I370</f>
        <v>0</v>
      </c>
      <c r="F24" s="314">
        <f t="shared" si="0"/>
        <v>0</v>
      </c>
      <c r="G24" s="329">
        <f t="shared" si="1"/>
        <v>0</v>
      </c>
      <c r="H24" s="330">
        <f t="shared" si="2"/>
        <v>0</v>
      </c>
      <c r="I24" s="331">
        <f t="shared" si="3"/>
        <v>0</v>
      </c>
      <c r="J24" s="332">
        <f t="shared" si="4"/>
        <v>0</v>
      </c>
      <c r="K24" s="301"/>
    </row>
    <row r="25" spans="1:11" ht="16.5" customHeight="1">
      <c r="A25" s="325">
        <f t="shared" si="5"/>
        <v>16</v>
      </c>
      <c r="B25" s="142" t="str">
        <f>IF('كشف النقاط'!B23&gt;0,'كشف النقاط'!B23," ")</f>
        <v>قرايفية </v>
      </c>
      <c r="C25" s="142" t="str">
        <f>IF('كشف النقاط'!C23&gt;0,'كشف النقاط'!C23," ")</f>
        <v>فؤاد</v>
      </c>
      <c r="D25" s="328" t="str">
        <f>IF('كشف النقاط'!D23&gt;0,'كشف النقاط'!D23," ")</f>
        <v> </v>
      </c>
      <c r="E25" s="329">
        <f>'كشف النقاط'!I371</f>
        <v>0</v>
      </c>
      <c r="F25" s="314">
        <f t="shared" si="0"/>
        <v>0</v>
      </c>
      <c r="G25" s="329">
        <f t="shared" si="1"/>
        <v>0</v>
      </c>
      <c r="H25" s="330">
        <f t="shared" si="2"/>
        <v>0</v>
      </c>
      <c r="I25" s="331">
        <f t="shared" si="3"/>
        <v>0</v>
      </c>
      <c r="J25" s="332">
        <f t="shared" si="4"/>
        <v>0</v>
      </c>
      <c r="K25" s="301"/>
    </row>
    <row r="26" spans="1:11" ht="16.5" customHeight="1">
      <c r="A26" s="325">
        <f t="shared" si="5"/>
        <v>17</v>
      </c>
      <c r="B26" s="142" t="str">
        <f>IF('كشف النقاط'!B24&gt;0,'كشف النقاط'!B24," ")</f>
        <v>قوادرية</v>
      </c>
      <c r="C26" s="142" t="str">
        <f>IF('كشف النقاط'!C24&gt;0,'كشف النقاط'!C24," ")</f>
        <v>مريم</v>
      </c>
      <c r="D26" s="328" t="str">
        <f>IF('كشف النقاط'!D24&gt;0,'كشف النقاط'!D24," ")</f>
        <v> </v>
      </c>
      <c r="E26" s="329">
        <f>'كشف النقاط'!I372</f>
        <v>0</v>
      </c>
      <c r="F26" s="314">
        <f t="shared" si="0"/>
        <v>0</v>
      </c>
      <c r="G26" s="329">
        <f t="shared" si="1"/>
        <v>0</v>
      </c>
      <c r="H26" s="330">
        <f t="shared" si="2"/>
        <v>0</v>
      </c>
      <c r="I26" s="331">
        <f t="shared" si="3"/>
        <v>0</v>
      </c>
      <c r="J26" s="332">
        <f t="shared" si="4"/>
        <v>0</v>
      </c>
      <c r="K26" s="301"/>
    </row>
    <row r="27" spans="1:11" ht="16.5" customHeight="1" hidden="1">
      <c r="A27" s="325">
        <f t="shared" si="5"/>
        <v>18</v>
      </c>
      <c r="B27" s="142" t="str">
        <f>IF('كشف النقاط'!B25&gt;0,'كشف النقاط'!B25," ")</f>
        <v>محفوظ </v>
      </c>
      <c r="C27" s="142" t="str">
        <f>IF('كشف النقاط'!C25&gt;0,'كشف النقاط'!C25," ")</f>
        <v>بشرى</v>
      </c>
      <c r="D27" s="328" t="str">
        <f>IF('كشف النقاط'!D25&gt;0,'كشف النقاط'!D25," ")</f>
        <v> </v>
      </c>
      <c r="E27" s="329">
        <f>'كشف النقاط'!I373</f>
        <v>0</v>
      </c>
      <c r="F27" s="314">
        <f t="shared" si="0"/>
        <v>0</v>
      </c>
      <c r="G27" s="329">
        <f t="shared" si="1"/>
        <v>0</v>
      </c>
      <c r="H27" s="330">
        <f t="shared" si="2"/>
        <v>0</v>
      </c>
      <c r="I27" s="331">
        <f t="shared" si="3"/>
        <v>0</v>
      </c>
      <c r="J27" s="332">
        <f t="shared" si="4"/>
        <v>0</v>
      </c>
      <c r="K27" s="301"/>
    </row>
    <row r="28" spans="1:11" ht="16.5" customHeight="1" hidden="1">
      <c r="A28" s="325">
        <f t="shared" si="5"/>
        <v>19</v>
      </c>
      <c r="B28" s="142" t="str">
        <f>IF('كشف النقاط'!B26&gt;0,'كشف النقاط'!B26," ")</f>
        <v>مسطوري </v>
      </c>
      <c r="C28" s="142" t="str">
        <f>IF('كشف النقاط'!C26&gt;0,'كشف النقاط'!C26," ")</f>
        <v>سارة</v>
      </c>
      <c r="D28" s="328" t="str">
        <f>IF('كشف النقاط'!D26&gt;0,'كشف النقاط'!D26," ")</f>
        <v> </v>
      </c>
      <c r="E28" s="329">
        <f>'كشف النقاط'!I374</f>
        <v>0</v>
      </c>
      <c r="F28" s="314">
        <f t="shared" si="0"/>
        <v>0</v>
      </c>
      <c r="G28" s="329">
        <f t="shared" si="1"/>
        <v>0</v>
      </c>
      <c r="H28" s="330">
        <f t="shared" si="2"/>
        <v>0</v>
      </c>
      <c r="I28" s="331">
        <f t="shared" si="3"/>
        <v>0</v>
      </c>
      <c r="J28" s="332">
        <f t="shared" si="4"/>
        <v>0</v>
      </c>
      <c r="K28" s="301"/>
    </row>
    <row r="29" spans="1:11" ht="16.5" customHeight="1" hidden="1">
      <c r="A29" s="325">
        <f t="shared" si="5"/>
        <v>20</v>
      </c>
      <c r="B29" s="142" t="str">
        <f>IF('كشف النقاط'!B27&gt;0,'كشف النقاط'!B27," ")</f>
        <v>هداف </v>
      </c>
      <c r="C29" s="142" t="str">
        <f>IF('كشف النقاط'!C27&gt;0,'كشف النقاط'!C27," ")</f>
        <v>حياة</v>
      </c>
      <c r="D29" s="328" t="str">
        <f>IF('كشف النقاط'!D27&gt;0,'كشف النقاط'!D27," ")</f>
        <v> </v>
      </c>
      <c r="E29" s="329">
        <f>'كشف النقاط'!I375</f>
        <v>0</v>
      </c>
      <c r="F29" s="314">
        <f t="shared" si="0"/>
        <v>0</v>
      </c>
      <c r="G29" s="329">
        <f t="shared" si="1"/>
        <v>0</v>
      </c>
      <c r="H29" s="330">
        <f t="shared" si="2"/>
        <v>0</v>
      </c>
      <c r="I29" s="331">
        <f t="shared" si="3"/>
        <v>0</v>
      </c>
      <c r="J29" s="332">
        <f t="shared" si="4"/>
        <v>0</v>
      </c>
      <c r="K29" s="301"/>
    </row>
    <row r="30" spans="1:11" ht="16.5" customHeight="1" hidden="1">
      <c r="A30" s="325">
        <f t="shared" si="5"/>
        <v>21</v>
      </c>
      <c r="B30" s="142" t="str">
        <f>IF('كشف النقاط'!B28&gt;0,'كشف النقاط'!B28," ")</f>
        <v> </v>
      </c>
      <c r="C30" s="142" t="str">
        <f>IF('كشف النقاط'!C28&gt;0,'كشف النقاط'!C28," ")</f>
        <v> </v>
      </c>
      <c r="D30" s="328" t="str">
        <f>IF('كشف النقاط'!D28&gt;0,'كشف النقاط'!D28," ")</f>
        <v> </v>
      </c>
      <c r="E30" s="329">
        <f>'كشف النقاط'!I376</f>
        <v>0</v>
      </c>
      <c r="F30" s="314">
        <f t="shared" si="0"/>
        <v>0</v>
      </c>
      <c r="G30" s="329">
        <f t="shared" si="1"/>
        <v>0</v>
      </c>
      <c r="H30" s="330">
        <f t="shared" si="2"/>
        <v>0</v>
      </c>
      <c r="I30" s="331">
        <f t="shared" si="3"/>
        <v>0</v>
      </c>
      <c r="J30" s="332">
        <f t="shared" si="4"/>
        <v>0</v>
      </c>
      <c r="K30" s="301"/>
    </row>
    <row r="31" spans="1:11" ht="16.5" customHeight="1" hidden="1">
      <c r="A31" s="325">
        <f t="shared" si="5"/>
        <v>22</v>
      </c>
      <c r="B31" s="142" t="str">
        <f>IF('كشف النقاط'!B29&gt;0,'كشف النقاط'!B29," ")</f>
        <v> </v>
      </c>
      <c r="C31" s="142" t="str">
        <f>IF('كشف النقاط'!C29&gt;0,'كشف النقاط'!C29," ")</f>
        <v> </v>
      </c>
      <c r="D31" s="328" t="str">
        <f>IF('كشف النقاط'!D29&gt;0,'كشف النقاط'!D29," ")</f>
        <v> </v>
      </c>
      <c r="E31" s="329">
        <f>'كشف النقاط'!I377</f>
        <v>0</v>
      </c>
      <c r="F31" s="314">
        <f t="shared" si="0"/>
        <v>0</v>
      </c>
      <c r="G31" s="329">
        <f t="shared" si="1"/>
        <v>0</v>
      </c>
      <c r="H31" s="330">
        <f t="shared" si="2"/>
        <v>0</v>
      </c>
      <c r="I31" s="331">
        <f t="shared" si="3"/>
        <v>0</v>
      </c>
      <c r="J31" s="332">
        <f t="shared" si="4"/>
        <v>0</v>
      </c>
      <c r="K31" s="301"/>
    </row>
    <row r="32" spans="1:11" ht="16.5" customHeight="1" hidden="1">
      <c r="A32" s="325">
        <f t="shared" si="5"/>
        <v>23</v>
      </c>
      <c r="B32" s="142" t="str">
        <f>IF('كشف النقاط'!B30&gt;0,'كشف النقاط'!B30," ")</f>
        <v> </v>
      </c>
      <c r="C32" s="142" t="str">
        <f>IF('كشف النقاط'!C30&gt;0,'كشف النقاط'!C30," ")</f>
        <v> </v>
      </c>
      <c r="D32" s="328" t="str">
        <f>IF('كشف النقاط'!D30&gt;0,'كشف النقاط'!D30," ")</f>
        <v> </v>
      </c>
      <c r="E32" s="329">
        <f>'كشف النقاط'!I378</f>
        <v>0</v>
      </c>
      <c r="F32" s="314">
        <f t="shared" si="0"/>
        <v>0</v>
      </c>
      <c r="G32" s="329">
        <f t="shared" si="1"/>
        <v>0</v>
      </c>
      <c r="H32" s="330">
        <f t="shared" si="2"/>
        <v>0</v>
      </c>
      <c r="I32" s="331">
        <f t="shared" si="3"/>
        <v>0</v>
      </c>
      <c r="J32" s="332">
        <f t="shared" si="4"/>
        <v>0</v>
      </c>
      <c r="K32" s="301"/>
    </row>
    <row r="33" spans="1:11" ht="16.5" customHeight="1" hidden="1">
      <c r="A33" s="325">
        <f t="shared" si="5"/>
        <v>24</v>
      </c>
      <c r="B33" s="142" t="str">
        <f>IF('كشف النقاط'!B31&gt;0,'كشف النقاط'!B31," ")</f>
        <v> </v>
      </c>
      <c r="C33" s="142" t="str">
        <f>IF('كشف النقاط'!C31&gt;0,'كشف النقاط'!C31," ")</f>
        <v> </v>
      </c>
      <c r="D33" s="328" t="str">
        <f>IF('كشف النقاط'!D31&gt;0,'كشف النقاط'!D31," ")</f>
        <v> </v>
      </c>
      <c r="E33" s="329">
        <f>'كشف النقاط'!I379</f>
        <v>0</v>
      </c>
      <c r="F33" s="314">
        <f t="shared" si="0"/>
        <v>0</v>
      </c>
      <c r="G33" s="329">
        <f t="shared" si="1"/>
        <v>0</v>
      </c>
      <c r="H33" s="330">
        <f t="shared" si="2"/>
        <v>0</v>
      </c>
      <c r="I33" s="331">
        <f t="shared" si="3"/>
        <v>0</v>
      </c>
      <c r="J33" s="332">
        <f t="shared" si="4"/>
        <v>0</v>
      </c>
      <c r="K33" s="301"/>
    </row>
    <row r="34" spans="1:11" ht="16.5" customHeight="1" hidden="1">
      <c r="A34" s="325">
        <f t="shared" si="5"/>
        <v>25</v>
      </c>
      <c r="B34" s="142" t="str">
        <f>IF('كشف النقاط'!B32&gt;0,'كشف النقاط'!B32," ")</f>
        <v> </v>
      </c>
      <c r="C34" s="142" t="str">
        <f>IF('كشف النقاط'!C32&gt;0,'كشف النقاط'!C32," ")</f>
        <v> </v>
      </c>
      <c r="D34" s="328" t="str">
        <f>IF('كشف النقاط'!D32&gt;0,'كشف النقاط'!D32," ")</f>
        <v> </v>
      </c>
      <c r="E34" s="329">
        <f>'كشف النقاط'!I380</f>
        <v>0</v>
      </c>
      <c r="F34" s="314">
        <f t="shared" si="0"/>
        <v>0</v>
      </c>
      <c r="G34" s="329">
        <f t="shared" si="1"/>
        <v>0</v>
      </c>
      <c r="H34" s="330">
        <f t="shared" si="2"/>
        <v>0</v>
      </c>
      <c r="I34" s="331">
        <f t="shared" si="3"/>
        <v>0</v>
      </c>
      <c r="J34" s="332">
        <f t="shared" si="4"/>
        <v>0</v>
      </c>
      <c r="K34" s="301"/>
    </row>
    <row r="35" spans="1:11" ht="16.5" customHeight="1" hidden="1">
      <c r="A35" s="325">
        <f t="shared" si="5"/>
        <v>26</v>
      </c>
      <c r="B35" s="142" t="str">
        <f>IF('كشف النقاط'!B33&gt;0,'كشف النقاط'!B33," ")</f>
        <v> </v>
      </c>
      <c r="C35" s="142" t="str">
        <f>IF('كشف النقاط'!C33&gt;0,'كشف النقاط'!C33," ")</f>
        <v> </v>
      </c>
      <c r="D35" s="328" t="str">
        <f>IF('كشف النقاط'!D33&gt;0,'كشف النقاط'!D33," ")</f>
        <v> </v>
      </c>
      <c r="E35" s="329">
        <f>'كشف النقاط'!I381</f>
        <v>0</v>
      </c>
      <c r="F35" s="314">
        <f t="shared" si="0"/>
        <v>0</v>
      </c>
      <c r="G35" s="329">
        <f t="shared" si="1"/>
        <v>0</v>
      </c>
      <c r="H35" s="330">
        <f t="shared" si="2"/>
        <v>0</v>
      </c>
      <c r="I35" s="331">
        <f t="shared" si="3"/>
        <v>0</v>
      </c>
      <c r="J35" s="332">
        <f t="shared" si="4"/>
        <v>0</v>
      </c>
      <c r="K35" s="301"/>
    </row>
    <row r="36" spans="1:11" ht="16.5" customHeight="1" hidden="1">
      <c r="A36" s="325">
        <f t="shared" si="5"/>
        <v>27</v>
      </c>
      <c r="B36" s="142" t="str">
        <f>IF('كشف النقاط'!B34&gt;0,'كشف النقاط'!B34," ")</f>
        <v> </v>
      </c>
      <c r="C36" s="142" t="str">
        <f>IF('كشف النقاط'!C34&gt;0,'كشف النقاط'!C34," ")</f>
        <v> </v>
      </c>
      <c r="D36" s="328" t="str">
        <f>IF('كشف النقاط'!D34&gt;0,'كشف النقاط'!D34," ")</f>
        <v> </v>
      </c>
      <c r="E36" s="329">
        <f>'كشف النقاط'!I382</f>
        <v>0</v>
      </c>
      <c r="F36" s="314">
        <f t="shared" si="0"/>
        <v>0</v>
      </c>
      <c r="G36" s="329">
        <f t="shared" si="1"/>
        <v>0</v>
      </c>
      <c r="H36" s="330">
        <f t="shared" si="2"/>
        <v>0</v>
      </c>
      <c r="I36" s="331">
        <f t="shared" si="3"/>
        <v>0</v>
      </c>
      <c r="J36" s="332">
        <f t="shared" si="4"/>
        <v>0</v>
      </c>
      <c r="K36" s="301"/>
    </row>
    <row r="37" spans="1:11" ht="16.5" customHeight="1" hidden="1">
      <c r="A37" s="325">
        <f t="shared" si="5"/>
        <v>28</v>
      </c>
      <c r="B37" s="142" t="str">
        <f>IF('كشف النقاط'!B35&gt;0,'كشف النقاط'!B35," ")</f>
        <v> </v>
      </c>
      <c r="C37" s="142" t="str">
        <f>IF('كشف النقاط'!C35&gt;0,'كشف النقاط'!C35," ")</f>
        <v> </v>
      </c>
      <c r="D37" s="328" t="str">
        <f>IF('كشف النقاط'!D35&gt;0,'كشف النقاط'!D35," ")</f>
        <v> </v>
      </c>
      <c r="E37" s="329">
        <f>'كشف النقاط'!I383</f>
        <v>0</v>
      </c>
      <c r="F37" s="314">
        <f t="shared" si="0"/>
        <v>0</v>
      </c>
      <c r="G37" s="329">
        <f t="shared" si="1"/>
        <v>0</v>
      </c>
      <c r="H37" s="330">
        <f t="shared" si="2"/>
        <v>0</v>
      </c>
      <c r="I37" s="331">
        <f t="shared" si="3"/>
        <v>0</v>
      </c>
      <c r="J37" s="332">
        <f t="shared" si="4"/>
        <v>0</v>
      </c>
      <c r="K37" s="301"/>
    </row>
    <row r="38" spans="1:11" ht="16.5" customHeight="1" hidden="1">
      <c r="A38" s="325">
        <f t="shared" si="5"/>
        <v>29</v>
      </c>
      <c r="B38" s="142" t="str">
        <f>IF('كشف النقاط'!B36&gt;0,'كشف النقاط'!B36," ")</f>
        <v> </v>
      </c>
      <c r="C38" s="142" t="str">
        <f>IF('كشف النقاط'!C36&gt;0,'كشف النقاط'!C36," ")</f>
        <v> </v>
      </c>
      <c r="D38" s="328" t="str">
        <f>IF('كشف النقاط'!D36&gt;0,'كشف النقاط'!D36," ")</f>
        <v> </v>
      </c>
      <c r="E38" s="329">
        <f>'كشف النقاط'!I384</f>
        <v>0</v>
      </c>
      <c r="F38" s="314">
        <f t="shared" si="0"/>
        <v>0</v>
      </c>
      <c r="G38" s="329">
        <f t="shared" si="1"/>
        <v>0</v>
      </c>
      <c r="H38" s="330">
        <f t="shared" si="2"/>
        <v>0</v>
      </c>
      <c r="I38" s="331">
        <f t="shared" si="3"/>
        <v>0</v>
      </c>
      <c r="J38" s="332">
        <f t="shared" si="4"/>
        <v>0</v>
      </c>
      <c r="K38" s="301"/>
    </row>
    <row r="39" spans="1:11" ht="16.5" customHeight="1" hidden="1">
      <c r="A39" s="325">
        <f t="shared" si="5"/>
        <v>30</v>
      </c>
      <c r="B39" s="142" t="str">
        <f>IF('كشف النقاط'!B37&gt;0,'كشف النقاط'!B37," ")</f>
        <v> </v>
      </c>
      <c r="C39" s="142" t="str">
        <f>IF('كشف النقاط'!C37&gt;0,'كشف النقاط'!C37," ")</f>
        <v> </v>
      </c>
      <c r="D39" s="328" t="str">
        <f>IF('كشف النقاط'!D37&gt;0,'كشف النقاط'!D37," ")</f>
        <v> </v>
      </c>
      <c r="E39" s="329">
        <f>'كشف النقاط'!I385</f>
        <v>0</v>
      </c>
      <c r="F39" s="314">
        <f t="shared" si="0"/>
        <v>0</v>
      </c>
      <c r="G39" s="329">
        <f t="shared" si="1"/>
        <v>0</v>
      </c>
      <c r="H39" s="330">
        <f t="shared" si="2"/>
        <v>0</v>
      </c>
      <c r="I39" s="331">
        <f t="shared" si="3"/>
        <v>0</v>
      </c>
      <c r="J39" s="332">
        <f t="shared" si="4"/>
        <v>0</v>
      </c>
      <c r="K39" s="301"/>
    </row>
    <row r="40" spans="1:11" ht="14.25" customHeight="1" hidden="1">
      <c r="A40" s="325">
        <f t="shared" si="5"/>
        <v>31</v>
      </c>
      <c r="B40" s="333" t="str">
        <f>IF('كشف النقاط'!B38&gt;0,'كشف النقاط'!B38," ")</f>
        <v> </v>
      </c>
      <c r="C40" s="333" t="str">
        <f>IF('كشف النقاط'!C38&gt;0,'كشف النقاط'!C38," ")</f>
        <v> </v>
      </c>
      <c r="D40" s="328" t="str">
        <f>IF('كشف النقاط'!D38&gt;0,'كشف النقاط'!D38," ")</f>
        <v> </v>
      </c>
      <c r="E40" s="329">
        <f>'كشف النقاط'!I386</f>
        <v>0</v>
      </c>
      <c r="F40" s="314">
        <f t="shared" si="0"/>
        <v>0</v>
      </c>
      <c r="G40" s="329" t="e">
        <f>#REF!</f>
        <v>#REF!</v>
      </c>
      <c r="H40" s="330" t="e">
        <f>#REF!</f>
        <v>#REF!</v>
      </c>
      <c r="I40" s="331" t="e">
        <f t="shared" si="3"/>
        <v>#REF!</v>
      </c>
      <c r="J40" s="332" t="e">
        <f>IF(I40&lt;10,H40+#REF!+#REF!+#REF!,30)</f>
        <v>#REF!</v>
      </c>
      <c r="K40" s="301"/>
    </row>
    <row r="41" spans="1:11" ht="14.25" customHeight="1" hidden="1">
      <c r="A41" s="325">
        <f t="shared" si="5"/>
        <v>32</v>
      </c>
      <c r="B41" s="333" t="str">
        <f>IF('كشف النقاط'!B39&gt;0,'كشف النقاط'!B39," ")</f>
        <v> </v>
      </c>
      <c r="C41" s="333" t="str">
        <f>IF('كشف النقاط'!C39&gt;0,'كشف النقاط'!C39," ")</f>
        <v> </v>
      </c>
      <c r="D41" s="328" t="str">
        <f>IF('كشف النقاط'!D39&gt;0,'كشف النقاط'!D39," ")</f>
        <v> </v>
      </c>
      <c r="E41" s="329">
        <f>'كشف النقاط'!I387</f>
        <v>0</v>
      </c>
      <c r="F41" s="314">
        <f t="shared" si="0"/>
        <v>0</v>
      </c>
      <c r="G41" s="329" t="e">
        <f>#REF!</f>
        <v>#REF!</v>
      </c>
      <c r="H41" s="330" t="e">
        <f>#REF!</f>
        <v>#REF!</v>
      </c>
      <c r="I41" s="331" t="e">
        <f t="shared" si="3"/>
        <v>#REF!</v>
      </c>
      <c r="J41" s="332" t="e">
        <f>IF(I41&lt;10,H41+#REF!+#REF!+#REF!,30)</f>
        <v>#REF!</v>
      </c>
      <c r="K41" s="301"/>
    </row>
    <row r="42" spans="5:8" ht="16.5" customHeight="1" hidden="1">
      <c r="E42" s="334"/>
      <c r="F42" s="335"/>
      <c r="G42" s="335"/>
      <c r="H42" s="335"/>
    </row>
    <row r="43" spans="5:6" ht="18" hidden="1">
      <c r="E43" s="336"/>
      <c r="F43" s="335"/>
    </row>
    <row r="44" spans="5:6" ht="18">
      <c r="E44" s="337"/>
      <c r="F44" s="335"/>
    </row>
    <row r="45" spans="5:6" ht="18">
      <c r="E45" s="337"/>
      <c r="F45" s="335"/>
    </row>
    <row r="46" spans="5:11" ht="18">
      <c r="E46" s="337"/>
      <c r="F46" s="335"/>
      <c r="K46" s="10" t="s">
        <v>29</v>
      </c>
    </row>
    <row r="47" spans="5:6" ht="18">
      <c r="E47" s="337"/>
      <c r="F47" s="335"/>
    </row>
    <row r="48" spans="5:6" ht="18">
      <c r="E48" s="337"/>
      <c r="F48" s="335"/>
    </row>
    <row r="49" spans="5:6" ht="18">
      <c r="E49" s="337"/>
      <c r="F49" s="335"/>
    </row>
    <row r="50" spans="5:6" ht="18">
      <c r="E50" s="337"/>
      <c r="F50" s="335"/>
    </row>
    <row r="51" spans="5:6" ht="18">
      <c r="E51" s="337"/>
      <c r="F51" s="335"/>
    </row>
    <row r="52" spans="5:6" ht="18">
      <c r="E52" s="337"/>
      <c r="F52" s="335"/>
    </row>
    <row r="53" spans="5:6" ht="18">
      <c r="E53" s="337"/>
      <c r="F53" s="335"/>
    </row>
    <row r="54" spans="5:6" ht="18">
      <c r="E54" s="337"/>
      <c r="F54" s="335"/>
    </row>
  </sheetData>
  <sheetProtection/>
  <mergeCells count="7">
    <mergeCell ref="B5:B9"/>
    <mergeCell ref="K5:K9"/>
    <mergeCell ref="D5:D9"/>
    <mergeCell ref="A5:A9"/>
    <mergeCell ref="J5:J7"/>
    <mergeCell ref="H5:H7"/>
    <mergeCell ref="C5:C9"/>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6"/>
  </sheetPr>
  <dimension ref="A1:K54"/>
  <sheetViews>
    <sheetView rightToLeft="1" view="pageBreakPreview" zoomScale="98" zoomScaleSheetLayoutView="98" workbookViewId="0" topLeftCell="A1">
      <selection activeCell="B4" sqref="B4"/>
    </sheetView>
  </sheetViews>
  <sheetFormatPr defaultColWidth="11.421875" defaultRowHeight="12.75"/>
  <cols>
    <col min="1" max="1" width="4.28125" style="19" customWidth="1"/>
    <col min="2" max="2" width="13.140625" style="19" customWidth="1"/>
    <col min="3" max="3" width="15.7109375" style="19" customWidth="1"/>
    <col min="4" max="4" width="7.57421875" style="19" customWidth="1"/>
    <col min="5" max="5" width="13.00390625" style="19" customWidth="1"/>
    <col min="6" max="6" width="4.421875" style="19" customWidth="1"/>
    <col min="7" max="7" width="9.421875" style="19" customWidth="1"/>
    <col min="8" max="8" width="5.421875" style="19" customWidth="1"/>
    <col min="9" max="9" width="10.00390625" style="19" customWidth="1"/>
    <col min="10" max="10" width="4.00390625" style="19" customWidth="1"/>
    <col min="11" max="11" width="10.57421875" style="19" customWidth="1"/>
    <col min="12" max="16384" width="11.421875" style="19" customWidth="1"/>
  </cols>
  <sheetData>
    <row r="1" spans="1:11" s="189" customFormat="1" ht="19.5" customHeight="1">
      <c r="A1" s="189" t="s">
        <v>19</v>
      </c>
      <c r="K1" s="10" t="s">
        <v>518</v>
      </c>
    </row>
    <row r="2" spans="1:11" s="189" customFormat="1" ht="19.5" customHeight="1">
      <c r="A2" s="189" t="s">
        <v>20</v>
      </c>
      <c r="K2" s="189" t="s">
        <v>28</v>
      </c>
    </row>
    <row r="3" spans="1:11" s="189" customFormat="1" ht="19.5" customHeight="1">
      <c r="A3" s="189" t="s">
        <v>4</v>
      </c>
      <c r="K3" s="189" t="s">
        <v>21</v>
      </c>
    </row>
    <row r="4" spans="2:11" ht="19.5" customHeight="1">
      <c r="B4" s="19" t="s">
        <v>527</v>
      </c>
      <c r="C4" s="10"/>
      <c r="F4" s="10" t="s">
        <v>116</v>
      </c>
      <c r="K4" s="192" t="s">
        <v>199</v>
      </c>
    </row>
    <row r="5" spans="1:11" ht="20.25" customHeight="1">
      <c r="A5" s="702" t="s">
        <v>9</v>
      </c>
      <c r="B5" s="702" t="s">
        <v>163</v>
      </c>
      <c r="C5" s="702" t="s">
        <v>164</v>
      </c>
      <c r="D5" s="731" t="s">
        <v>84</v>
      </c>
      <c r="E5" s="338" t="s">
        <v>214</v>
      </c>
      <c r="F5" s="317"/>
      <c r="G5" s="318"/>
      <c r="H5" s="734" t="s">
        <v>80</v>
      </c>
      <c r="I5" s="315" t="s">
        <v>22</v>
      </c>
      <c r="J5" s="734" t="s">
        <v>80</v>
      </c>
      <c r="K5" s="728" t="s">
        <v>24</v>
      </c>
    </row>
    <row r="6" spans="1:11" ht="20.25" customHeight="1">
      <c r="A6" s="703"/>
      <c r="B6" s="703"/>
      <c r="C6" s="703"/>
      <c r="D6" s="732"/>
      <c r="E6" s="319" t="s">
        <v>213</v>
      </c>
      <c r="F6" s="320"/>
      <c r="G6" s="321"/>
      <c r="H6" s="734"/>
      <c r="I6" s="316" t="s">
        <v>25</v>
      </c>
      <c r="J6" s="734"/>
      <c r="K6" s="729"/>
    </row>
    <row r="7" spans="1:11" ht="20.25" customHeight="1">
      <c r="A7" s="703"/>
      <c r="B7" s="703"/>
      <c r="C7" s="703"/>
      <c r="D7" s="732"/>
      <c r="E7" s="322"/>
      <c r="F7" s="323"/>
      <c r="G7" s="314" t="s">
        <v>23</v>
      </c>
      <c r="H7" s="734"/>
      <c r="I7" s="324"/>
      <c r="J7" s="734"/>
      <c r="K7" s="729"/>
    </row>
    <row r="8" spans="1:11" ht="14.25" customHeight="1">
      <c r="A8" s="703"/>
      <c r="B8" s="703"/>
      <c r="C8" s="703"/>
      <c r="D8" s="732"/>
      <c r="E8" s="325" t="s">
        <v>81</v>
      </c>
      <c r="F8" s="326" t="s">
        <v>26</v>
      </c>
      <c r="G8" s="325" t="s">
        <v>81</v>
      </c>
      <c r="H8" s="327" t="s">
        <v>26</v>
      </c>
      <c r="I8" s="325" t="s">
        <v>81</v>
      </c>
      <c r="J8" s="327" t="s">
        <v>26</v>
      </c>
      <c r="K8" s="729"/>
    </row>
    <row r="9" spans="1:11" ht="14.25" customHeight="1">
      <c r="A9" s="704"/>
      <c r="B9" s="704"/>
      <c r="C9" s="704"/>
      <c r="D9" s="733"/>
      <c r="E9" s="325">
        <v>30</v>
      </c>
      <c r="F9" s="325">
        <v>30</v>
      </c>
      <c r="G9" s="325">
        <v>30</v>
      </c>
      <c r="H9" s="325">
        <v>30</v>
      </c>
      <c r="I9" s="325">
        <v>30</v>
      </c>
      <c r="J9" s="325">
        <v>30</v>
      </c>
      <c r="K9" s="730"/>
    </row>
    <row r="10" spans="1:11" ht="16.5" customHeight="1">
      <c r="A10" s="325">
        <v>1</v>
      </c>
      <c r="B10" s="142" t="str">
        <f>IF('كشف النقاط'!B8&gt;0,'كشف النقاط'!B8," ")</f>
        <v>الحاج </v>
      </c>
      <c r="C10" s="142" t="str">
        <f>IF('كشف النقاط'!C8&gt;0,'كشف النقاط'!C8," ")</f>
        <v>مروة</v>
      </c>
      <c r="D10" s="328" t="str">
        <f>IF('كشف النقاط'!D8&gt;0,'كشف النقاط'!D8," ")</f>
        <v> </v>
      </c>
      <c r="E10" s="329">
        <f>'كشف النقاط'!N356</f>
        <v>0</v>
      </c>
      <c r="F10" s="314">
        <f>IF(E10&lt;30,0,7)</f>
        <v>0</v>
      </c>
      <c r="G10" s="329">
        <f>E10/30</f>
        <v>0</v>
      </c>
      <c r="H10" s="330">
        <f>IF(G10&lt;10,0,30)</f>
        <v>0</v>
      </c>
      <c r="I10" s="331">
        <f>G10</f>
        <v>0</v>
      </c>
      <c r="J10" s="332">
        <f>H10</f>
        <v>0</v>
      </c>
      <c r="K10" s="301"/>
    </row>
    <row r="11" spans="1:11" ht="16.5" customHeight="1">
      <c r="A11" s="325">
        <f>1+A10</f>
        <v>2</v>
      </c>
      <c r="B11" s="142" t="str">
        <f>IF('كشف النقاط'!B9&gt;0,'كشف النقاط'!B9," ")</f>
        <v>العياشي </v>
      </c>
      <c r="C11" s="142" t="str">
        <f>IF('كشف النقاط'!C9&gt;0,'كشف النقاط'!C9," ")</f>
        <v>نوار</v>
      </c>
      <c r="D11" s="328" t="str">
        <f>IF('كشف النقاط'!D9&gt;0,'كشف النقاط'!D9," ")</f>
        <v> </v>
      </c>
      <c r="E11" s="329">
        <f>'كشف النقاط'!N357</f>
        <v>0</v>
      </c>
      <c r="F11" s="314">
        <f aca="true" t="shared" si="0" ref="F11:F35">IF(E11&lt;30,0,7)</f>
        <v>0</v>
      </c>
      <c r="G11" s="329">
        <f aca="true" t="shared" si="1" ref="G11:G35">E11/30</f>
        <v>0</v>
      </c>
      <c r="H11" s="330">
        <f aca="true" t="shared" si="2" ref="H11:H41">IF(G11&lt;10,0,30)</f>
        <v>0</v>
      </c>
      <c r="I11" s="331">
        <f aca="true" t="shared" si="3" ref="I11:J35">G11</f>
        <v>0</v>
      </c>
      <c r="J11" s="332">
        <f t="shared" si="3"/>
        <v>0</v>
      </c>
      <c r="K11" s="301"/>
    </row>
    <row r="12" spans="1:11" ht="16.5" customHeight="1">
      <c r="A12" s="325">
        <f aca="true" t="shared" si="4" ref="A12:A41">1+A11</f>
        <v>3</v>
      </c>
      <c r="B12" s="142" t="str">
        <f>IF('كشف النقاط'!B10&gt;0,'كشف النقاط'!B10," ")</f>
        <v>باطح </v>
      </c>
      <c r="C12" s="142" t="str">
        <f>IF('كشف النقاط'!C10&gt;0,'كشف النقاط'!C10," ")</f>
        <v>محمد لمين</v>
      </c>
      <c r="D12" s="328" t="str">
        <f>IF('كشف النقاط'!D10&gt;0,'كشف النقاط'!D10," ")</f>
        <v> </v>
      </c>
      <c r="E12" s="329">
        <f>'كشف النقاط'!N358</f>
        <v>0</v>
      </c>
      <c r="F12" s="314">
        <f t="shared" si="0"/>
        <v>0</v>
      </c>
      <c r="G12" s="329">
        <f t="shared" si="1"/>
        <v>0</v>
      </c>
      <c r="H12" s="330">
        <f t="shared" si="2"/>
        <v>0</v>
      </c>
      <c r="I12" s="331">
        <f t="shared" si="3"/>
        <v>0</v>
      </c>
      <c r="J12" s="332">
        <f t="shared" si="3"/>
        <v>0</v>
      </c>
      <c r="K12" s="301"/>
    </row>
    <row r="13" spans="1:11" ht="16.5" customHeight="1">
      <c r="A13" s="325">
        <f t="shared" si="4"/>
        <v>4</v>
      </c>
      <c r="B13" s="142" t="str">
        <f>IF('كشف النقاط'!B11&gt;0,'كشف النقاط'!B11," ")</f>
        <v>بوساحة </v>
      </c>
      <c r="C13" s="142" t="str">
        <f>IF('كشف النقاط'!C11&gt;0,'كشف النقاط'!C11," ")</f>
        <v>حسام الدين</v>
      </c>
      <c r="D13" s="328" t="str">
        <f>IF('كشف النقاط'!D11&gt;0,'كشف النقاط'!D11," ")</f>
        <v> </v>
      </c>
      <c r="E13" s="329">
        <f>'كشف النقاط'!N359</f>
        <v>0</v>
      </c>
      <c r="F13" s="314">
        <f t="shared" si="0"/>
        <v>0</v>
      </c>
      <c r="G13" s="329">
        <f t="shared" si="1"/>
        <v>0</v>
      </c>
      <c r="H13" s="330">
        <f t="shared" si="2"/>
        <v>0</v>
      </c>
      <c r="I13" s="331">
        <f t="shared" si="3"/>
        <v>0</v>
      </c>
      <c r="J13" s="332">
        <f t="shared" si="3"/>
        <v>0</v>
      </c>
      <c r="K13" s="301"/>
    </row>
    <row r="14" spans="1:11" ht="16.5" customHeight="1">
      <c r="A14" s="325">
        <f t="shared" si="4"/>
        <v>5</v>
      </c>
      <c r="B14" s="142" t="str">
        <f>IF('كشف النقاط'!B12&gt;0,'كشف النقاط'!B12," ")</f>
        <v>بوسالم </v>
      </c>
      <c r="C14" s="142" t="str">
        <f>IF('كشف النقاط'!C12&gt;0,'كشف النقاط'!C12," ")</f>
        <v>محمد وليد</v>
      </c>
      <c r="D14" s="328" t="str">
        <f>IF('كشف النقاط'!D12&gt;0,'كشف النقاط'!D12," ")</f>
        <v> </v>
      </c>
      <c r="E14" s="329">
        <f>'كشف النقاط'!N360</f>
        <v>0</v>
      </c>
      <c r="F14" s="314">
        <f t="shared" si="0"/>
        <v>0</v>
      </c>
      <c r="G14" s="329">
        <f t="shared" si="1"/>
        <v>0</v>
      </c>
      <c r="H14" s="330">
        <f t="shared" si="2"/>
        <v>0</v>
      </c>
      <c r="I14" s="331">
        <f t="shared" si="3"/>
        <v>0</v>
      </c>
      <c r="J14" s="332">
        <f t="shared" si="3"/>
        <v>0</v>
      </c>
      <c r="K14" s="301"/>
    </row>
    <row r="15" spans="1:11" ht="16.5" customHeight="1">
      <c r="A15" s="325">
        <f t="shared" si="4"/>
        <v>6</v>
      </c>
      <c r="B15" s="142" t="str">
        <f>IF('كشف النقاط'!B13&gt;0,'كشف النقاط'!B13," ")</f>
        <v>بوعروج </v>
      </c>
      <c r="C15" s="142" t="str">
        <f>IF('كشف النقاط'!C13&gt;0,'كشف النقاط'!C13," ")</f>
        <v>نسيمة</v>
      </c>
      <c r="D15" s="328" t="str">
        <f>IF('كشف النقاط'!D13&gt;0,'كشف النقاط'!D13," ")</f>
        <v> </v>
      </c>
      <c r="E15" s="329">
        <f>'كشف النقاط'!N361</f>
        <v>0</v>
      </c>
      <c r="F15" s="314">
        <f t="shared" si="0"/>
        <v>0</v>
      </c>
      <c r="G15" s="329">
        <f t="shared" si="1"/>
        <v>0</v>
      </c>
      <c r="H15" s="330">
        <f t="shared" si="2"/>
        <v>0</v>
      </c>
      <c r="I15" s="331">
        <f t="shared" si="3"/>
        <v>0</v>
      </c>
      <c r="J15" s="332">
        <f t="shared" si="3"/>
        <v>0</v>
      </c>
      <c r="K15" s="301"/>
    </row>
    <row r="16" spans="1:11" ht="16.5" customHeight="1">
      <c r="A16" s="325">
        <f t="shared" si="4"/>
        <v>7</v>
      </c>
      <c r="B16" s="142" t="str">
        <f>IF('كشف النقاط'!B14&gt;0,'كشف النقاط'!B14," ")</f>
        <v>بولعيد </v>
      </c>
      <c r="C16" s="142" t="str">
        <f>IF('كشف النقاط'!C14&gt;0,'كشف النقاط'!C14," ")</f>
        <v>مريم</v>
      </c>
      <c r="D16" s="328" t="str">
        <f>IF('كشف النقاط'!D14&gt;0,'كشف النقاط'!D14," ")</f>
        <v> </v>
      </c>
      <c r="E16" s="329">
        <f>'كشف النقاط'!N362</f>
        <v>0</v>
      </c>
      <c r="F16" s="314">
        <f t="shared" si="0"/>
        <v>0</v>
      </c>
      <c r="G16" s="329">
        <f t="shared" si="1"/>
        <v>0</v>
      </c>
      <c r="H16" s="330">
        <f t="shared" si="2"/>
        <v>0</v>
      </c>
      <c r="I16" s="331">
        <f t="shared" si="3"/>
        <v>0</v>
      </c>
      <c r="J16" s="332">
        <f t="shared" si="3"/>
        <v>0</v>
      </c>
      <c r="K16" s="301"/>
    </row>
    <row r="17" spans="1:11" ht="16.5" customHeight="1">
      <c r="A17" s="325">
        <f t="shared" si="4"/>
        <v>8</v>
      </c>
      <c r="B17" s="142" t="str">
        <f>IF('كشف النقاط'!B15&gt;0,'كشف النقاط'!B15," ")</f>
        <v>خاوة </v>
      </c>
      <c r="C17" s="142" t="str">
        <f>IF('كشف النقاط'!C15&gt;0,'كشف النقاط'!C15," ")</f>
        <v>أسماء</v>
      </c>
      <c r="D17" s="328" t="str">
        <f>IF('كشف النقاط'!D15&gt;0,'كشف النقاط'!D15," ")</f>
        <v> </v>
      </c>
      <c r="E17" s="329">
        <f>'كشف النقاط'!N363</f>
        <v>0</v>
      </c>
      <c r="F17" s="314">
        <f t="shared" si="0"/>
        <v>0</v>
      </c>
      <c r="G17" s="329">
        <f t="shared" si="1"/>
        <v>0</v>
      </c>
      <c r="H17" s="330">
        <f t="shared" si="2"/>
        <v>0</v>
      </c>
      <c r="I17" s="331">
        <f t="shared" si="3"/>
        <v>0</v>
      </c>
      <c r="J17" s="332">
        <f t="shared" si="3"/>
        <v>0</v>
      </c>
      <c r="K17" s="301"/>
    </row>
    <row r="18" spans="1:11" ht="16.5" customHeight="1">
      <c r="A18" s="325">
        <f t="shared" si="4"/>
        <v>9</v>
      </c>
      <c r="B18" s="142" t="str">
        <f>IF('كشف النقاط'!B16&gt;0,'كشف النقاط'!B16," ")</f>
        <v>زغلاني </v>
      </c>
      <c r="C18" s="142" t="str">
        <f>IF('كشف النقاط'!C16&gt;0,'كشف النقاط'!C16," ")</f>
        <v>ساعد</v>
      </c>
      <c r="D18" s="328" t="str">
        <f>IF('كشف النقاط'!D16&gt;0,'كشف النقاط'!D16," ")</f>
        <v> </v>
      </c>
      <c r="E18" s="329">
        <f>'كشف النقاط'!N364</f>
        <v>0</v>
      </c>
      <c r="F18" s="314">
        <f t="shared" si="0"/>
        <v>0</v>
      </c>
      <c r="G18" s="329">
        <f t="shared" si="1"/>
        <v>0</v>
      </c>
      <c r="H18" s="330">
        <f t="shared" si="2"/>
        <v>0</v>
      </c>
      <c r="I18" s="331">
        <f t="shared" si="3"/>
        <v>0</v>
      </c>
      <c r="J18" s="332">
        <f t="shared" si="3"/>
        <v>0</v>
      </c>
      <c r="K18" s="301"/>
    </row>
    <row r="19" spans="1:11" ht="16.5" customHeight="1">
      <c r="A19" s="325">
        <f t="shared" si="4"/>
        <v>10</v>
      </c>
      <c r="B19" s="142" t="str">
        <f>IF('كشف النقاط'!B17&gt;0,'كشف النقاط'!B17," ")</f>
        <v>زياني </v>
      </c>
      <c r="C19" s="142" t="str">
        <f>IF('كشف النقاط'!C17&gt;0,'كشف النقاط'!C17," ")</f>
        <v>أميرة</v>
      </c>
      <c r="D19" s="328" t="str">
        <f>IF('كشف النقاط'!D17&gt;0,'كشف النقاط'!D17," ")</f>
        <v> </v>
      </c>
      <c r="E19" s="329">
        <f>'كشف النقاط'!N365</f>
        <v>0</v>
      </c>
      <c r="F19" s="314">
        <f t="shared" si="0"/>
        <v>0</v>
      </c>
      <c r="G19" s="329">
        <f t="shared" si="1"/>
        <v>0</v>
      </c>
      <c r="H19" s="330">
        <f t="shared" si="2"/>
        <v>0</v>
      </c>
      <c r="I19" s="331">
        <f t="shared" si="3"/>
        <v>0</v>
      </c>
      <c r="J19" s="332">
        <f t="shared" si="3"/>
        <v>0</v>
      </c>
      <c r="K19" s="301"/>
    </row>
    <row r="20" spans="1:11" ht="16.5" customHeight="1">
      <c r="A20" s="325">
        <f t="shared" si="4"/>
        <v>11</v>
      </c>
      <c r="B20" s="142" t="str">
        <f>IF('كشف النقاط'!B18&gt;0,'كشف النقاط'!B18," ")</f>
        <v>شلابي </v>
      </c>
      <c r="C20" s="142" t="str">
        <f>IF('كشف النقاط'!C18&gt;0,'كشف النقاط'!C18," ")</f>
        <v>هاجر</v>
      </c>
      <c r="D20" s="328" t="str">
        <f>IF('كشف النقاط'!D18&gt;0,'كشف النقاط'!D18," ")</f>
        <v> </v>
      </c>
      <c r="E20" s="329">
        <f>'كشف النقاط'!N366</f>
        <v>0</v>
      </c>
      <c r="F20" s="314">
        <f t="shared" si="0"/>
        <v>0</v>
      </c>
      <c r="G20" s="329">
        <f t="shared" si="1"/>
        <v>0</v>
      </c>
      <c r="H20" s="330">
        <f t="shared" si="2"/>
        <v>0</v>
      </c>
      <c r="I20" s="331">
        <f t="shared" si="3"/>
        <v>0</v>
      </c>
      <c r="J20" s="332">
        <f t="shared" si="3"/>
        <v>0</v>
      </c>
      <c r="K20" s="301"/>
    </row>
    <row r="21" spans="1:11" ht="16.5" customHeight="1">
      <c r="A21" s="325">
        <f t="shared" si="4"/>
        <v>12</v>
      </c>
      <c r="B21" s="142" t="str">
        <f>IF('كشف النقاط'!B19&gt;0,'كشف النقاط'!B19," ")</f>
        <v>صولي </v>
      </c>
      <c r="C21" s="142" t="str">
        <f>IF('كشف النقاط'!C19&gt;0,'كشف النقاط'!C19," ")</f>
        <v>هشام</v>
      </c>
      <c r="D21" s="328" t="str">
        <f>IF('كشف النقاط'!D19&gt;0,'كشف النقاط'!D19," ")</f>
        <v> </v>
      </c>
      <c r="E21" s="329">
        <f>'كشف النقاط'!N367</f>
        <v>0</v>
      </c>
      <c r="F21" s="314">
        <f t="shared" si="0"/>
        <v>0</v>
      </c>
      <c r="G21" s="329">
        <f t="shared" si="1"/>
        <v>0</v>
      </c>
      <c r="H21" s="330">
        <f t="shared" si="2"/>
        <v>0</v>
      </c>
      <c r="I21" s="331">
        <f t="shared" si="3"/>
        <v>0</v>
      </c>
      <c r="J21" s="332">
        <f t="shared" si="3"/>
        <v>0</v>
      </c>
      <c r="K21" s="301"/>
    </row>
    <row r="22" spans="1:11" ht="16.5" customHeight="1">
      <c r="A22" s="325">
        <f t="shared" si="4"/>
        <v>13</v>
      </c>
      <c r="B22" s="142" t="str">
        <f>IF('كشف النقاط'!B20&gt;0,'كشف النقاط'!B20," ")</f>
        <v>عطيل</v>
      </c>
      <c r="C22" s="142" t="str">
        <f>IF('كشف النقاط'!C20&gt;0,'كشف النقاط'!C20," ")</f>
        <v>آسيا</v>
      </c>
      <c r="D22" s="328" t="str">
        <f>IF('كشف النقاط'!D20&gt;0,'كشف النقاط'!D20," ")</f>
        <v> </v>
      </c>
      <c r="E22" s="329">
        <f>'كشف النقاط'!N368</f>
        <v>0</v>
      </c>
      <c r="F22" s="314">
        <f t="shared" si="0"/>
        <v>0</v>
      </c>
      <c r="G22" s="329">
        <f t="shared" si="1"/>
        <v>0</v>
      </c>
      <c r="H22" s="330">
        <f t="shared" si="2"/>
        <v>0</v>
      </c>
      <c r="I22" s="331">
        <f t="shared" si="3"/>
        <v>0</v>
      </c>
      <c r="J22" s="332">
        <f t="shared" si="3"/>
        <v>0</v>
      </c>
      <c r="K22" s="301"/>
    </row>
    <row r="23" spans="1:11" ht="16.5" customHeight="1">
      <c r="A23" s="325">
        <f t="shared" si="4"/>
        <v>14</v>
      </c>
      <c r="B23" s="142" t="str">
        <f>IF('كشف النقاط'!B21&gt;0,'كشف النقاط'!B21," ")</f>
        <v>عيدود </v>
      </c>
      <c r="C23" s="142" t="str">
        <f>IF('كشف النقاط'!C21&gt;0,'كشف النقاط'!C21," ")</f>
        <v>صبرينة</v>
      </c>
      <c r="D23" s="328" t="str">
        <f>IF('كشف النقاط'!D21&gt;0,'كشف النقاط'!D21," ")</f>
        <v> </v>
      </c>
      <c r="E23" s="329">
        <f>'كشف النقاط'!N369</f>
        <v>0</v>
      </c>
      <c r="F23" s="314">
        <f t="shared" si="0"/>
        <v>0</v>
      </c>
      <c r="G23" s="329">
        <f t="shared" si="1"/>
        <v>0</v>
      </c>
      <c r="H23" s="330">
        <f t="shared" si="2"/>
        <v>0</v>
      </c>
      <c r="I23" s="331">
        <f t="shared" si="3"/>
        <v>0</v>
      </c>
      <c r="J23" s="332">
        <f t="shared" si="3"/>
        <v>0</v>
      </c>
      <c r="K23" s="301"/>
    </row>
    <row r="24" spans="1:11" ht="16.5" customHeight="1">
      <c r="A24" s="325">
        <f t="shared" si="4"/>
        <v>15</v>
      </c>
      <c r="B24" s="142" t="str">
        <f>IF('كشف النقاط'!B22&gt;0,'كشف النقاط'!B22," ")</f>
        <v>قايدي </v>
      </c>
      <c r="C24" s="142" t="str">
        <f>IF('كشف النقاط'!C22&gt;0,'كشف النقاط'!C22," ")</f>
        <v>مريم</v>
      </c>
      <c r="D24" s="328" t="str">
        <f>IF('كشف النقاط'!D22&gt;0,'كشف النقاط'!D22," ")</f>
        <v> </v>
      </c>
      <c r="E24" s="329">
        <f>'كشف النقاط'!N370</f>
        <v>0</v>
      </c>
      <c r="F24" s="314">
        <f t="shared" si="0"/>
        <v>0</v>
      </c>
      <c r="G24" s="329">
        <f t="shared" si="1"/>
        <v>0</v>
      </c>
      <c r="H24" s="330">
        <f t="shared" si="2"/>
        <v>0</v>
      </c>
      <c r="I24" s="331">
        <f t="shared" si="3"/>
        <v>0</v>
      </c>
      <c r="J24" s="332">
        <f t="shared" si="3"/>
        <v>0</v>
      </c>
      <c r="K24" s="301"/>
    </row>
    <row r="25" spans="1:11" ht="16.5" customHeight="1">
      <c r="A25" s="325">
        <f t="shared" si="4"/>
        <v>16</v>
      </c>
      <c r="B25" s="142" t="str">
        <f>IF('كشف النقاط'!B23&gt;0,'كشف النقاط'!B23," ")</f>
        <v>قرايفية </v>
      </c>
      <c r="C25" s="142" t="str">
        <f>IF('كشف النقاط'!C23&gt;0,'كشف النقاط'!C23," ")</f>
        <v>فؤاد</v>
      </c>
      <c r="D25" s="328" t="str">
        <f>IF('كشف النقاط'!D23&gt;0,'كشف النقاط'!D23," ")</f>
        <v> </v>
      </c>
      <c r="E25" s="329">
        <f>'كشف النقاط'!N371</f>
        <v>0</v>
      </c>
      <c r="F25" s="314">
        <f t="shared" si="0"/>
        <v>0</v>
      </c>
      <c r="G25" s="329">
        <f t="shared" si="1"/>
        <v>0</v>
      </c>
      <c r="H25" s="330">
        <f t="shared" si="2"/>
        <v>0</v>
      </c>
      <c r="I25" s="331">
        <f t="shared" si="3"/>
        <v>0</v>
      </c>
      <c r="J25" s="332">
        <f t="shared" si="3"/>
        <v>0</v>
      </c>
      <c r="K25" s="301"/>
    </row>
    <row r="26" spans="1:11" ht="16.5" customHeight="1">
      <c r="A26" s="325">
        <f t="shared" si="4"/>
        <v>17</v>
      </c>
      <c r="B26" s="142" t="str">
        <f>IF('كشف النقاط'!B24&gt;0,'كشف النقاط'!B24," ")</f>
        <v>قوادرية</v>
      </c>
      <c r="C26" s="142" t="str">
        <f>IF('كشف النقاط'!C24&gt;0,'كشف النقاط'!C24," ")</f>
        <v>مريم</v>
      </c>
      <c r="D26" s="328" t="str">
        <f>IF('كشف النقاط'!D24&gt;0,'كشف النقاط'!D24," ")</f>
        <v> </v>
      </c>
      <c r="E26" s="329">
        <f>'كشف النقاط'!N372</f>
        <v>0</v>
      </c>
      <c r="F26" s="314">
        <f t="shared" si="0"/>
        <v>0</v>
      </c>
      <c r="G26" s="329">
        <f t="shared" si="1"/>
        <v>0</v>
      </c>
      <c r="H26" s="330">
        <f t="shared" si="2"/>
        <v>0</v>
      </c>
      <c r="I26" s="331">
        <f t="shared" si="3"/>
        <v>0</v>
      </c>
      <c r="J26" s="332">
        <f t="shared" si="3"/>
        <v>0</v>
      </c>
      <c r="K26" s="301"/>
    </row>
    <row r="27" spans="1:11" ht="16.5" customHeight="1" hidden="1">
      <c r="A27" s="325">
        <f t="shared" si="4"/>
        <v>18</v>
      </c>
      <c r="B27" s="142" t="str">
        <f>IF('كشف النقاط'!B25&gt;0,'كشف النقاط'!B25," ")</f>
        <v>محفوظ </v>
      </c>
      <c r="C27" s="142" t="str">
        <f>IF('كشف النقاط'!C25&gt;0,'كشف النقاط'!C25," ")</f>
        <v>بشرى</v>
      </c>
      <c r="D27" s="328" t="str">
        <f>IF('كشف النقاط'!D25&gt;0,'كشف النقاط'!D25," ")</f>
        <v> </v>
      </c>
      <c r="E27" s="329">
        <f>'كشف النقاط'!N373</f>
        <v>0</v>
      </c>
      <c r="F27" s="314">
        <f t="shared" si="0"/>
        <v>0</v>
      </c>
      <c r="G27" s="329">
        <f t="shared" si="1"/>
        <v>0</v>
      </c>
      <c r="H27" s="330">
        <f t="shared" si="2"/>
        <v>0</v>
      </c>
      <c r="I27" s="331">
        <f t="shared" si="3"/>
        <v>0</v>
      </c>
      <c r="J27" s="332">
        <f t="shared" si="3"/>
        <v>0</v>
      </c>
      <c r="K27" s="301"/>
    </row>
    <row r="28" spans="1:11" ht="16.5" customHeight="1" hidden="1">
      <c r="A28" s="325">
        <f t="shared" si="4"/>
        <v>19</v>
      </c>
      <c r="B28" s="142" t="str">
        <f>IF('كشف النقاط'!B26&gt;0,'كشف النقاط'!B26," ")</f>
        <v>مسطوري </v>
      </c>
      <c r="C28" s="142" t="str">
        <f>IF('كشف النقاط'!C26&gt;0,'كشف النقاط'!C26," ")</f>
        <v>سارة</v>
      </c>
      <c r="D28" s="328" t="str">
        <f>IF('كشف النقاط'!D26&gt;0,'كشف النقاط'!D26," ")</f>
        <v> </v>
      </c>
      <c r="E28" s="329">
        <f>'كشف النقاط'!N374</f>
        <v>0</v>
      </c>
      <c r="F28" s="314">
        <f t="shared" si="0"/>
        <v>0</v>
      </c>
      <c r="G28" s="329">
        <f t="shared" si="1"/>
        <v>0</v>
      </c>
      <c r="H28" s="330">
        <f t="shared" si="2"/>
        <v>0</v>
      </c>
      <c r="I28" s="331">
        <f t="shared" si="3"/>
        <v>0</v>
      </c>
      <c r="J28" s="332">
        <f t="shared" si="3"/>
        <v>0</v>
      </c>
      <c r="K28" s="301"/>
    </row>
    <row r="29" spans="1:11" ht="16.5" customHeight="1" hidden="1">
      <c r="A29" s="325">
        <f t="shared" si="4"/>
        <v>20</v>
      </c>
      <c r="B29" s="142" t="str">
        <f>IF('كشف النقاط'!B27&gt;0,'كشف النقاط'!B27," ")</f>
        <v>هداف </v>
      </c>
      <c r="C29" s="142" t="str">
        <f>IF('كشف النقاط'!C27&gt;0,'كشف النقاط'!C27," ")</f>
        <v>حياة</v>
      </c>
      <c r="D29" s="328" t="str">
        <f>IF('كشف النقاط'!D27&gt;0,'كشف النقاط'!D27," ")</f>
        <v> </v>
      </c>
      <c r="E29" s="329">
        <f>'كشف النقاط'!N375</f>
        <v>0</v>
      </c>
      <c r="F29" s="314">
        <f t="shared" si="0"/>
        <v>0</v>
      </c>
      <c r="G29" s="329">
        <f t="shared" si="1"/>
        <v>0</v>
      </c>
      <c r="H29" s="330">
        <f t="shared" si="2"/>
        <v>0</v>
      </c>
      <c r="I29" s="331">
        <f t="shared" si="3"/>
        <v>0</v>
      </c>
      <c r="J29" s="332">
        <f t="shared" si="3"/>
        <v>0</v>
      </c>
      <c r="K29" s="301"/>
    </row>
    <row r="30" spans="1:11" ht="16.5" customHeight="1" hidden="1">
      <c r="A30" s="325">
        <f t="shared" si="4"/>
        <v>21</v>
      </c>
      <c r="B30" s="142" t="str">
        <f>IF('كشف النقاط'!B28&gt;0,'كشف النقاط'!B28," ")</f>
        <v> </v>
      </c>
      <c r="C30" s="142" t="str">
        <f>IF('كشف النقاط'!C28&gt;0,'كشف النقاط'!C28," ")</f>
        <v> </v>
      </c>
      <c r="D30" s="328" t="str">
        <f>IF('كشف النقاط'!D28&gt;0,'كشف النقاط'!D28," ")</f>
        <v> </v>
      </c>
      <c r="E30" s="329">
        <f>'كشف النقاط'!N376</f>
        <v>0</v>
      </c>
      <c r="F30" s="314">
        <f t="shared" si="0"/>
        <v>0</v>
      </c>
      <c r="G30" s="329">
        <f t="shared" si="1"/>
        <v>0</v>
      </c>
      <c r="H30" s="330">
        <f t="shared" si="2"/>
        <v>0</v>
      </c>
      <c r="I30" s="331">
        <f t="shared" si="3"/>
        <v>0</v>
      </c>
      <c r="J30" s="332">
        <f t="shared" si="3"/>
        <v>0</v>
      </c>
      <c r="K30" s="301"/>
    </row>
    <row r="31" spans="1:11" ht="16.5" customHeight="1" hidden="1">
      <c r="A31" s="325">
        <f t="shared" si="4"/>
        <v>22</v>
      </c>
      <c r="B31" s="142" t="str">
        <f>IF('كشف النقاط'!B29&gt;0,'كشف النقاط'!B29," ")</f>
        <v> </v>
      </c>
      <c r="C31" s="142" t="str">
        <f>IF('كشف النقاط'!C29&gt;0,'كشف النقاط'!C29," ")</f>
        <v> </v>
      </c>
      <c r="D31" s="328" t="str">
        <f>IF('كشف النقاط'!D29&gt;0,'كشف النقاط'!D29," ")</f>
        <v> </v>
      </c>
      <c r="E31" s="329">
        <f>'كشف النقاط'!N377</f>
        <v>0</v>
      </c>
      <c r="F31" s="314">
        <f t="shared" si="0"/>
        <v>0</v>
      </c>
      <c r="G31" s="329">
        <f t="shared" si="1"/>
        <v>0</v>
      </c>
      <c r="H31" s="330">
        <f t="shared" si="2"/>
        <v>0</v>
      </c>
      <c r="I31" s="331">
        <f t="shared" si="3"/>
        <v>0</v>
      </c>
      <c r="J31" s="332">
        <f t="shared" si="3"/>
        <v>0</v>
      </c>
      <c r="K31" s="301"/>
    </row>
    <row r="32" spans="1:11" ht="16.5" customHeight="1" hidden="1">
      <c r="A32" s="325">
        <f t="shared" si="4"/>
        <v>23</v>
      </c>
      <c r="B32" s="142" t="str">
        <f>IF('كشف النقاط'!B30&gt;0,'كشف النقاط'!B30," ")</f>
        <v> </v>
      </c>
      <c r="C32" s="142" t="str">
        <f>IF('كشف النقاط'!C30&gt;0,'كشف النقاط'!C30," ")</f>
        <v> </v>
      </c>
      <c r="D32" s="328" t="str">
        <f>IF('كشف النقاط'!D30&gt;0,'كشف النقاط'!D30," ")</f>
        <v> </v>
      </c>
      <c r="E32" s="329">
        <f>'كشف النقاط'!N378</f>
        <v>0</v>
      </c>
      <c r="F32" s="314">
        <f t="shared" si="0"/>
        <v>0</v>
      </c>
      <c r="G32" s="329">
        <f t="shared" si="1"/>
        <v>0</v>
      </c>
      <c r="H32" s="330">
        <f t="shared" si="2"/>
        <v>0</v>
      </c>
      <c r="I32" s="331">
        <f t="shared" si="3"/>
        <v>0</v>
      </c>
      <c r="J32" s="332">
        <f t="shared" si="3"/>
        <v>0</v>
      </c>
      <c r="K32" s="301"/>
    </row>
    <row r="33" spans="1:11" ht="16.5" customHeight="1" hidden="1">
      <c r="A33" s="325">
        <f t="shared" si="4"/>
        <v>24</v>
      </c>
      <c r="B33" s="142" t="str">
        <f>IF('كشف النقاط'!B31&gt;0,'كشف النقاط'!B31," ")</f>
        <v> </v>
      </c>
      <c r="C33" s="142" t="str">
        <f>IF('كشف النقاط'!C31&gt;0,'كشف النقاط'!C31," ")</f>
        <v> </v>
      </c>
      <c r="D33" s="328" t="str">
        <f>IF('كشف النقاط'!D31&gt;0,'كشف النقاط'!D31," ")</f>
        <v> </v>
      </c>
      <c r="E33" s="329">
        <f>'كشف النقاط'!N379</f>
        <v>0</v>
      </c>
      <c r="F33" s="314">
        <f t="shared" si="0"/>
        <v>0</v>
      </c>
      <c r="G33" s="329">
        <f t="shared" si="1"/>
        <v>0</v>
      </c>
      <c r="H33" s="330">
        <f t="shared" si="2"/>
        <v>0</v>
      </c>
      <c r="I33" s="331">
        <f t="shared" si="3"/>
        <v>0</v>
      </c>
      <c r="J33" s="332">
        <f t="shared" si="3"/>
        <v>0</v>
      </c>
      <c r="K33" s="301"/>
    </row>
    <row r="34" spans="1:11" ht="16.5" customHeight="1" hidden="1">
      <c r="A34" s="325">
        <f t="shared" si="4"/>
        <v>25</v>
      </c>
      <c r="B34" s="142" t="str">
        <f>IF('كشف النقاط'!B32&gt;0,'كشف النقاط'!B32," ")</f>
        <v> </v>
      </c>
      <c r="C34" s="142" t="str">
        <f>IF('كشف النقاط'!C32&gt;0,'كشف النقاط'!C32," ")</f>
        <v> </v>
      </c>
      <c r="D34" s="328" t="str">
        <f>IF('كشف النقاط'!D32&gt;0,'كشف النقاط'!D32," ")</f>
        <v> </v>
      </c>
      <c r="E34" s="329">
        <f>'كشف النقاط'!N380</f>
        <v>0</v>
      </c>
      <c r="F34" s="314">
        <f t="shared" si="0"/>
        <v>0</v>
      </c>
      <c r="G34" s="329">
        <f t="shared" si="1"/>
        <v>0</v>
      </c>
      <c r="H34" s="330">
        <f t="shared" si="2"/>
        <v>0</v>
      </c>
      <c r="I34" s="331">
        <f t="shared" si="3"/>
        <v>0</v>
      </c>
      <c r="J34" s="332">
        <f t="shared" si="3"/>
        <v>0</v>
      </c>
      <c r="K34" s="301"/>
    </row>
    <row r="35" spans="1:11" ht="16.5" customHeight="1" hidden="1">
      <c r="A35" s="325">
        <f t="shared" si="4"/>
        <v>26</v>
      </c>
      <c r="B35" s="142" t="str">
        <f>IF('كشف النقاط'!B33&gt;0,'كشف النقاط'!B33," ")</f>
        <v> </v>
      </c>
      <c r="C35" s="142" t="str">
        <f>IF('كشف النقاط'!C33&gt;0,'كشف النقاط'!C33," ")</f>
        <v> </v>
      </c>
      <c r="D35" s="328" t="str">
        <f>IF('كشف النقاط'!D33&gt;0,'كشف النقاط'!D33," ")</f>
        <v> </v>
      </c>
      <c r="E35" s="329">
        <f>'كشف النقاط'!N381</f>
        <v>0</v>
      </c>
      <c r="F35" s="314">
        <f t="shared" si="0"/>
        <v>0</v>
      </c>
      <c r="G35" s="329">
        <f t="shared" si="1"/>
        <v>0</v>
      </c>
      <c r="H35" s="330">
        <f t="shared" si="2"/>
        <v>0</v>
      </c>
      <c r="I35" s="331">
        <f t="shared" si="3"/>
        <v>0</v>
      </c>
      <c r="J35" s="332">
        <f t="shared" si="3"/>
        <v>0</v>
      </c>
      <c r="K35" s="301"/>
    </row>
    <row r="36" spans="1:11" ht="16.5" customHeight="1" hidden="1">
      <c r="A36" s="325">
        <f t="shared" si="4"/>
        <v>27</v>
      </c>
      <c r="B36" s="142" t="str">
        <f>IF('كشف النقاط'!B34&gt;0,'كشف النقاط'!B34," ")</f>
        <v> </v>
      </c>
      <c r="C36" s="142" t="str">
        <f>IF('كشف النقاط'!C34&gt;0,'كشف النقاط'!C34," ")</f>
        <v> </v>
      </c>
      <c r="D36" s="328" t="str">
        <f>IF('كشف النقاط'!D34&gt;0,'كشف النقاط'!D34," ")</f>
        <v> </v>
      </c>
      <c r="E36" s="329">
        <f>'كشف النقاط'!N382</f>
        <v>0</v>
      </c>
      <c r="F36" s="314">
        <f aca="true" t="shared" si="5" ref="F36:F41">IF(E36&lt;30,0,7)</f>
        <v>0</v>
      </c>
      <c r="G36" s="329">
        <f aca="true" t="shared" si="6" ref="G36:G41">E36/30</f>
        <v>0</v>
      </c>
      <c r="H36" s="330">
        <f t="shared" si="2"/>
        <v>0</v>
      </c>
      <c r="I36" s="331">
        <f aca="true" t="shared" si="7" ref="I36:I41">G36</f>
        <v>0</v>
      </c>
      <c r="J36" s="332">
        <f aca="true" t="shared" si="8" ref="J36:J41">H36</f>
        <v>0</v>
      </c>
      <c r="K36" s="301"/>
    </row>
    <row r="37" spans="1:11" ht="16.5" customHeight="1" hidden="1">
      <c r="A37" s="325">
        <f t="shared" si="4"/>
        <v>28</v>
      </c>
      <c r="B37" s="142" t="str">
        <f>IF('كشف النقاط'!B35&gt;0,'كشف النقاط'!B35," ")</f>
        <v> </v>
      </c>
      <c r="C37" s="142" t="str">
        <f>IF('كشف النقاط'!C35&gt;0,'كشف النقاط'!C35," ")</f>
        <v> </v>
      </c>
      <c r="D37" s="328" t="str">
        <f>IF('كشف النقاط'!D35&gt;0,'كشف النقاط'!D35," ")</f>
        <v> </v>
      </c>
      <c r="E37" s="329">
        <f>'كشف النقاط'!N383</f>
        <v>0</v>
      </c>
      <c r="F37" s="314">
        <f t="shared" si="5"/>
        <v>0</v>
      </c>
      <c r="G37" s="329">
        <f t="shared" si="6"/>
        <v>0</v>
      </c>
      <c r="H37" s="330">
        <f t="shared" si="2"/>
        <v>0</v>
      </c>
      <c r="I37" s="331">
        <f t="shared" si="7"/>
        <v>0</v>
      </c>
      <c r="J37" s="332">
        <f t="shared" si="8"/>
        <v>0</v>
      </c>
      <c r="K37" s="301"/>
    </row>
    <row r="38" spans="1:11" ht="16.5" customHeight="1" hidden="1">
      <c r="A38" s="325">
        <f t="shared" si="4"/>
        <v>29</v>
      </c>
      <c r="B38" s="142" t="str">
        <f>IF('كشف النقاط'!B36&gt;0,'كشف النقاط'!B36," ")</f>
        <v> </v>
      </c>
      <c r="C38" s="142" t="str">
        <f>IF('كشف النقاط'!C36&gt;0,'كشف النقاط'!C36," ")</f>
        <v> </v>
      </c>
      <c r="D38" s="328" t="str">
        <f>IF('كشف النقاط'!D36&gt;0,'كشف النقاط'!D36," ")</f>
        <v> </v>
      </c>
      <c r="E38" s="329">
        <f>'كشف النقاط'!N384</f>
        <v>0</v>
      </c>
      <c r="F38" s="314">
        <f t="shared" si="5"/>
        <v>0</v>
      </c>
      <c r="G38" s="329">
        <f t="shared" si="6"/>
        <v>0</v>
      </c>
      <c r="H38" s="330">
        <f t="shared" si="2"/>
        <v>0</v>
      </c>
      <c r="I38" s="331">
        <f t="shared" si="7"/>
        <v>0</v>
      </c>
      <c r="J38" s="332">
        <f t="shared" si="8"/>
        <v>0</v>
      </c>
      <c r="K38" s="301"/>
    </row>
    <row r="39" spans="1:11" ht="16.5" customHeight="1" hidden="1">
      <c r="A39" s="325">
        <f t="shared" si="4"/>
        <v>30</v>
      </c>
      <c r="B39" s="142" t="str">
        <f>IF('كشف النقاط'!B37&gt;0,'كشف النقاط'!B37," ")</f>
        <v> </v>
      </c>
      <c r="C39" s="142" t="str">
        <f>IF('كشف النقاط'!C37&gt;0,'كشف النقاط'!C37," ")</f>
        <v> </v>
      </c>
      <c r="D39" s="328" t="str">
        <f>IF('كشف النقاط'!D37&gt;0,'كشف النقاط'!D37," ")</f>
        <v> </v>
      </c>
      <c r="E39" s="329">
        <f>'كشف النقاط'!N385</f>
        <v>0</v>
      </c>
      <c r="F39" s="314">
        <f t="shared" si="5"/>
        <v>0</v>
      </c>
      <c r="G39" s="329">
        <f t="shared" si="6"/>
        <v>0</v>
      </c>
      <c r="H39" s="330">
        <f t="shared" si="2"/>
        <v>0</v>
      </c>
      <c r="I39" s="331">
        <f t="shared" si="7"/>
        <v>0</v>
      </c>
      <c r="J39" s="332">
        <f t="shared" si="8"/>
        <v>0</v>
      </c>
      <c r="K39" s="301"/>
    </row>
    <row r="40" spans="1:11" ht="14.25" customHeight="1" hidden="1">
      <c r="A40" s="325">
        <f t="shared" si="4"/>
        <v>31</v>
      </c>
      <c r="B40" s="333" t="str">
        <f>IF('كشف النقاط'!B38&gt;0,'كشف النقاط'!B38," ")</f>
        <v> </v>
      </c>
      <c r="C40" s="333" t="str">
        <f>IF('كشف النقاط'!C38&gt;0,'كشف النقاط'!C38," ")</f>
        <v> </v>
      </c>
      <c r="D40" s="328" t="str">
        <f>IF('كشف النقاط'!D38&gt;0,'كشف النقاط'!D38," ")</f>
        <v> </v>
      </c>
      <c r="E40" s="329">
        <f>'كشف النقاط'!N386</f>
        <v>0</v>
      </c>
      <c r="F40" s="314">
        <f t="shared" si="5"/>
        <v>0</v>
      </c>
      <c r="G40" s="329">
        <f t="shared" si="6"/>
        <v>0</v>
      </c>
      <c r="H40" s="330">
        <f t="shared" si="2"/>
        <v>0</v>
      </c>
      <c r="I40" s="331">
        <f t="shared" si="7"/>
        <v>0</v>
      </c>
      <c r="J40" s="332">
        <f t="shared" si="8"/>
        <v>0</v>
      </c>
      <c r="K40" s="301"/>
    </row>
    <row r="41" spans="1:11" ht="14.25" customHeight="1" hidden="1">
      <c r="A41" s="325">
        <f t="shared" si="4"/>
        <v>32</v>
      </c>
      <c r="B41" s="333" t="str">
        <f>IF('كشف النقاط'!B39&gt;0,'كشف النقاط'!B39," ")</f>
        <v> </v>
      </c>
      <c r="C41" s="333" t="str">
        <f>IF('كشف النقاط'!C39&gt;0,'كشف النقاط'!C39," ")</f>
        <v> </v>
      </c>
      <c r="D41" s="328" t="str">
        <f>IF('كشف النقاط'!D39&gt;0,'كشف النقاط'!D39," ")</f>
        <v> </v>
      </c>
      <c r="E41" s="329">
        <f>'كشف النقاط'!N387</f>
        <v>0</v>
      </c>
      <c r="F41" s="314">
        <f t="shared" si="5"/>
        <v>0</v>
      </c>
      <c r="G41" s="329">
        <f t="shared" si="6"/>
        <v>0</v>
      </c>
      <c r="H41" s="330">
        <f t="shared" si="2"/>
        <v>0</v>
      </c>
      <c r="I41" s="331">
        <f t="shared" si="7"/>
        <v>0</v>
      </c>
      <c r="J41" s="332">
        <f t="shared" si="8"/>
        <v>0</v>
      </c>
      <c r="K41" s="301"/>
    </row>
    <row r="42" spans="5:8" ht="16.5" customHeight="1" hidden="1">
      <c r="E42" s="334"/>
      <c r="F42" s="335"/>
      <c r="G42" s="335"/>
      <c r="H42" s="335"/>
    </row>
    <row r="43" spans="5:6" ht="18" hidden="1">
      <c r="E43" s="336"/>
      <c r="F43" s="335"/>
    </row>
    <row r="44" spans="5:6" ht="18">
      <c r="E44" s="337"/>
      <c r="F44" s="335"/>
    </row>
    <row r="45" spans="5:6" ht="18">
      <c r="E45" s="337"/>
      <c r="F45" s="335"/>
    </row>
    <row r="46" spans="5:11" ht="18">
      <c r="E46" s="337"/>
      <c r="F46" s="335"/>
      <c r="K46" s="10" t="s">
        <v>29</v>
      </c>
    </row>
    <row r="47" spans="5:6" ht="18">
      <c r="E47" s="337"/>
      <c r="F47" s="335"/>
    </row>
    <row r="48" spans="5:6" ht="18">
      <c r="E48" s="337"/>
      <c r="F48" s="335"/>
    </row>
    <row r="49" spans="5:6" ht="18">
      <c r="E49" s="337"/>
      <c r="F49" s="335"/>
    </row>
    <row r="50" spans="5:6" ht="18">
      <c r="E50" s="337"/>
      <c r="F50" s="335"/>
    </row>
    <row r="51" spans="5:6" ht="18">
      <c r="E51" s="337"/>
      <c r="F51" s="335"/>
    </row>
    <row r="52" spans="5:6" ht="18">
      <c r="E52" s="337"/>
      <c r="F52" s="335"/>
    </row>
    <row r="53" spans="5:6" ht="18">
      <c r="E53" s="337"/>
      <c r="F53" s="335"/>
    </row>
    <row r="54" spans="5:6" ht="18">
      <c r="E54" s="337"/>
      <c r="F54" s="335"/>
    </row>
  </sheetData>
  <sheetProtection/>
  <mergeCells count="7">
    <mergeCell ref="H5:H7"/>
    <mergeCell ref="J5:J7"/>
    <mergeCell ref="K5:K9"/>
    <mergeCell ref="B5:B9"/>
    <mergeCell ref="A5:A9"/>
    <mergeCell ref="D5:D9"/>
    <mergeCell ref="C5:C9"/>
  </mergeCells>
  <printOptions/>
  <pageMargins left="0" right="0"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34"/>
  </sheetPr>
  <dimension ref="A1:AA80"/>
  <sheetViews>
    <sheetView rightToLeft="1" view="pageBreakPreview" zoomScaleSheetLayoutView="100" workbookViewId="0" topLeftCell="A29">
      <selection activeCell="B44" sqref="B44"/>
    </sheetView>
  </sheetViews>
  <sheetFormatPr defaultColWidth="11.421875" defaultRowHeight="12.75"/>
  <cols>
    <col min="1" max="1" width="3.57421875" style="25" customWidth="1"/>
    <col min="2" max="2" width="9.8515625" style="25" customWidth="1"/>
    <col min="3" max="3" width="10.57421875" style="25" customWidth="1"/>
    <col min="4" max="4" width="4.140625" style="25" customWidth="1"/>
    <col min="5" max="5" width="6.28125" style="25" customWidth="1"/>
    <col min="6" max="6" width="3.7109375" style="25" customWidth="1"/>
    <col min="7" max="7" width="6.28125" style="25" customWidth="1"/>
    <col min="8" max="8" width="3.421875" style="25" customWidth="1"/>
    <col min="9" max="9" width="6.28125" style="25" customWidth="1"/>
    <col min="10" max="10" width="3.28125" style="25" customWidth="1"/>
    <col min="11" max="11" width="5.57421875" style="25" customWidth="1"/>
    <col min="12" max="12" width="4.140625" style="25" customWidth="1"/>
    <col min="13" max="13" width="6.28125" style="25" customWidth="1"/>
    <col min="14" max="14" width="3.7109375" style="25" customWidth="1"/>
    <col min="15" max="15" width="5.57421875" style="25" customWidth="1"/>
    <col min="16" max="16" width="3.7109375" style="25" customWidth="1"/>
    <col min="17" max="17" width="7.00390625" style="25" customWidth="1"/>
    <col min="18" max="18" width="4.140625" style="25" customWidth="1"/>
    <col min="19" max="19" width="7.7109375" style="25" customWidth="1"/>
    <col min="20" max="20" width="4.7109375" style="25" customWidth="1"/>
    <col min="21" max="21" width="7.28125" style="25" customWidth="1"/>
    <col min="22" max="16384" width="11.421875" style="25" customWidth="1"/>
  </cols>
  <sheetData>
    <row r="1" spans="1:20" ht="15.75" customHeight="1">
      <c r="A1" s="19" t="s">
        <v>19</v>
      </c>
      <c r="B1" s="19"/>
      <c r="C1" s="19"/>
      <c r="Q1" s="10" t="s">
        <v>518</v>
      </c>
      <c r="R1" s="61"/>
      <c r="S1" s="61"/>
      <c r="T1" s="61"/>
    </row>
    <row r="2" spans="1:17" ht="15.75" customHeight="1">
      <c r="A2" s="19" t="s">
        <v>20</v>
      </c>
      <c r="B2" s="19"/>
      <c r="C2" s="19"/>
      <c r="Q2" s="11" t="s">
        <v>28</v>
      </c>
    </row>
    <row r="3" spans="1:17" ht="15.75" customHeight="1">
      <c r="A3" s="19" t="s">
        <v>4</v>
      </c>
      <c r="B3" s="19"/>
      <c r="C3" s="19"/>
      <c r="Q3" s="11" t="s">
        <v>21</v>
      </c>
    </row>
    <row r="4" spans="2:27" ht="19.5" customHeight="1">
      <c r="B4" s="19" t="s">
        <v>527</v>
      </c>
      <c r="C4" s="4"/>
      <c r="J4" s="78" t="s">
        <v>118</v>
      </c>
      <c r="K4" s="78"/>
      <c r="L4" s="78"/>
      <c r="Q4" s="10" t="s">
        <v>27</v>
      </c>
      <c r="U4" s="4" t="s">
        <v>197</v>
      </c>
      <c r="W4" s="10"/>
      <c r="AA4" s="4"/>
    </row>
    <row r="5" spans="1:21" ht="21" customHeight="1">
      <c r="A5" s="744" t="s">
        <v>9</v>
      </c>
      <c r="B5" s="738" t="s">
        <v>163</v>
      </c>
      <c r="C5" s="738" t="s">
        <v>164</v>
      </c>
      <c r="D5" s="705" t="s">
        <v>84</v>
      </c>
      <c r="E5" s="754" t="s">
        <v>195</v>
      </c>
      <c r="F5" s="754"/>
      <c r="G5" s="754"/>
      <c r="H5" s="754"/>
      <c r="I5" s="754"/>
      <c r="J5" s="754"/>
      <c r="K5" s="754"/>
      <c r="L5" s="754"/>
      <c r="M5" s="754"/>
      <c r="N5" s="754"/>
      <c r="O5" s="754" t="s">
        <v>194</v>
      </c>
      <c r="P5" s="754"/>
      <c r="Q5" s="754"/>
      <c r="R5" s="754"/>
      <c r="S5" s="750" t="s">
        <v>44</v>
      </c>
      <c r="T5" s="751"/>
      <c r="U5" s="728" t="s">
        <v>24</v>
      </c>
    </row>
    <row r="6" spans="1:21" ht="18" customHeight="1">
      <c r="A6" s="745"/>
      <c r="B6" s="739"/>
      <c r="C6" s="739"/>
      <c r="D6" s="706"/>
      <c r="E6" s="742" t="s">
        <v>40</v>
      </c>
      <c r="F6" s="742"/>
      <c r="G6" s="742" t="s">
        <v>42</v>
      </c>
      <c r="H6" s="742"/>
      <c r="I6" s="742" t="s">
        <v>41</v>
      </c>
      <c r="J6" s="742"/>
      <c r="K6" s="736" t="s">
        <v>91</v>
      </c>
      <c r="L6" s="737"/>
      <c r="M6" s="741" t="s">
        <v>43</v>
      </c>
      <c r="N6" s="741"/>
      <c r="O6" s="736" t="s">
        <v>91</v>
      </c>
      <c r="P6" s="737"/>
      <c r="Q6" s="741" t="s">
        <v>43</v>
      </c>
      <c r="R6" s="741"/>
      <c r="S6" s="752"/>
      <c r="T6" s="753"/>
      <c r="U6" s="729"/>
    </row>
    <row r="7" spans="1:21" ht="18" customHeight="1">
      <c r="A7" s="746"/>
      <c r="B7" s="740"/>
      <c r="C7" s="740"/>
      <c r="D7" s="707"/>
      <c r="E7" s="38" t="s">
        <v>23</v>
      </c>
      <c r="F7" s="38" t="s">
        <v>26</v>
      </c>
      <c r="G7" s="38" t="s">
        <v>23</v>
      </c>
      <c r="H7" s="38" t="s">
        <v>26</v>
      </c>
      <c r="I7" s="38" t="s">
        <v>23</v>
      </c>
      <c r="J7" s="38" t="s">
        <v>26</v>
      </c>
      <c r="K7" s="38" t="s">
        <v>23</v>
      </c>
      <c r="L7" s="38" t="s">
        <v>26</v>
      </c>
      <c r="M7" s="85" t="s">
        <v>23</v>
      </c>
      <c r="N7" s="85" t="s">
        <v>26</v>
      </c>
      <c r="O7" s="38" t="s">
        <v>23</v>
      </c>
      <c r="P7" s="38" t="s">
        <v>26</v>
      </c>
      <c r="Q7" s="85" t="s">
        <v>23</v>
      </c>
      <c r="R7" s="85" t="s">
        <v>26</v>
      </c>
      <c r="S7" s="292" t="s">
        <v>23</v>
      </c>
      <c r="T7" s="292" t="s">
        <v>39</v>
      </c>
      <c r="U7" s="730"/>
    </row>
    <row r="8" spans="1:21" ht="13.5" customHeight="1">
      <c r="A8" s="38">
        <v>1</v>
      </c>
      <c r="B8" s="142" t="str">
        <f>IF('كشف النقاط'!B8&gt;0,'كشف النقاط'!B8," ")</f>
        <v>الحاج </v>
      </c>
      <c r="C8" s="142" t="str">
        <f>IF('كشف النقاط'!C8&gt;0,'كشف النقاط'!C8," ")</f>
        <v>مروة</v>
      </c>
      <c r="D8" s="244" t="str">
        <f>IF('كشف النقاط'!D8&gt;0,'كشف النقاط'!D8," ")</f>
        <v> </v>
      </c>
      <c r="E8" s="69">
        <f>'مداولات 1'!K10</f>
        <v>16.75</v>
      </c>
      <c r="F8" s="82">
        <f>'مداولات 1'!L10</f>
        <v>18</v>
      </c>
      <c r="G8" s="69">
        <f>'مداولات 1'!Q10</f>
        <v>14.725</v>
      </c>
      <c r="H8" s="82">
        <f>'مداولات 1'!R10</f>
        <v>9</v>
      </c>
      <c r="I8" s="69">
        <f>'مداولات 1'!U10</f>
        <v>14.75</v>
      </c>
      <c r="J8" s="82">
        <f>'مداولات 1'!V10</f>
        <v>2</v>
      </c>
      <c r="K8" s="69">
        <f>'مداولات 1'!Y10</f>
        <v>12.75</v>
      </c>
      <c r="L8" s="82">
        <f>'مداولات 1'!Z10</f>
        <v>1</v>
      </c>
      <c r="M8" s="69">
        <f>'مداولات 1'!AA10</f>
        <v>15.6</v>
      </c>
      <c r="N8" s="84">
        <f>'مداولات 1'!AB10</f>
        <v>30</v>
      </c>
      <c r="O8" s="69">
        <f>'مداولات 2'!G10</f>
        <v>0</v>
      </c>
      <c r="P8" s="82">
        <f>'مداولات 2'!H10</f>
        <v>0</v>
      </c>
      <c r="Q8" s="69">
        <f>O8</f>
        <v>0</v>
      </c>
      <c r="R8" s="84">
        <f>P8</f>
        <v>0</v>
      </c>
      <c r="S8" s="293">
        <f aca="true" t="shared" si="0" ref="S8:S39">(Q8+M8)/2</f>
        <v>7.8</v>
      </c>
      <c r="T8" s="294">
        <f aca="true" t="shared" si="1" ref="T8:T39">N8+R8</f>
        <v>30</v>
      </c>
      <c r="U8" s="182" t="str">
        <f>IF(T8=60,"ناجح","مؤجل")</f>
        <v>مؤجل</v>
      </c>
    </row>
    <row r="9" spans="1:21" ht="13.5" customHeight="1">
      <c r="A9" s="38">
        <v>2</v>
      </c>
      <c r="B9" s="142" t="str">
        <f>IF('كشف النقاط'!B9&gt;0,'كشف النقاط'!B9," ")</f>
        <v>العياشي </v>
      </c>
      <c r="C9" s="142" t="str">
        <f>IF('كشف النقاط'!C9&gt;0,'كشف النقاط'!C9," ")</f>
        <v>نوار</v>
      </c>
      <c r="D9" s="244" t="str">
        <f>IF('كشف النقاط'!D9&gt;0,'كشف النقاط'!D9," ")</f>
        <v> </v>
      </c>
      <c r="E9" s="69">
        <f>'مداولات 1'!K11</f>
        <v>5.678571428571429</v>
      </c>
      <c r="F9" s="82">
        <f>'مداولات 1'!L11</f>
        <v>0</v>
      </c>
      <c r="G9" s="69">
        <f>'مداولات 1'!Q11</f>
        <v>6.85</v>
      </c>
      <c r="H9" s="82">
        <f>'مداولات 1'!R11</f>
        <v>0</v>
      </c>
      <c r="I9" s="69">
        <f>'مداولات 1'!U11</f>
        <v>6</v>
      </c>
      <c r="J9" s="82">
        <f>'مداولات 1'!V11</f>
        <v>0</v>
      </c>
      <c r="K9" s="69">
        <f>'مداولات 1'!Y11</f>
        <v>4.75</v>
      </c>
      <c r="L9" s="82">
        <f>'مداولات 1'!Z11</f>
        <v>0</v>
      </c>
      <c r="M9" s="69">
        <f>'مداولات 1'!AA11</f>
        <v>5.992857142857143</v>
      </c>
      <c r="N9" s="84">
        <f>'مداولات 1'!AB11</f>
        <v>0</v>
      </c>
      <c r="O9" s="69">
        <f>'مداولات 2'!G11</f>
        <v>0</v>
      </c>
      <c r="P9" s="82">
        <f>'مداولات 2'!H11</f>
        <v>0</v>
      </c>
      <c r="Q9" s="69">
        <f aca="true" t="shared" si="2" ref="Q9:Q39">O9</f>
        <v>0</v>
      </c>
      <c r="R9" s="84">
        <f aca="true" t="shared" si="3" ref="R9:R39">P9</f>
        <v>0</v>
      </c>
      <c r="S9" s="293">
        <f t="shared" si="0"/>
        <v>2.9964285714285714</v>
      </c>
      <c r="T9" s="294">
        <f t="shared" si="1"/>
        <v>0</v>
      </c>
      <c r="U9" s="182" t="str">
        <f aca="true" t="shared" si="4" ref="U9:U39">IF(T9=60,"ناجح","مؤجل")</f>
        <v>مؤجل</v>
      </c>
    </row>
    <row r="10" spans="1:21" ht="13.5" customHeight="1">
      <c r="A10" s="38">
        <v>3</v>
      </c>
      <c r="B10" s="142" t="str">
        <f>IF('كشف النقاط'!B10&gt;0,'كشف النقاط'!B10," ")</f>
        <v>باطح </v>
      </c>
      <c r="C10" s="142" t="str">
        <f>IF('كشف النقاط'!C10&gt;0,'كشف النقاط'!C10," ")</f>
        <v>محمد لمين</v>
      </c>
      <c r="D10" s="244" t="str">
        <f>IF('كشف النقاط'!D10&gt;0,'كشف النقاط'!D10," ")</f>
        <v> </v>
      </c>
      <c r="E10" s="69">
        <f>'مداولات 1'!K12</f>
        <v>14.321428571428571</v>
      </c>
      <c r="F10" s="82">
        <f>'مداولات 1'!L12</f>
        <v>18</v>
      </c>
      <c r="G10" s="69">
        <f>'مداولات 1'!Q12</f>
        <v>11.475</v>
      </c>
      <c r="H10" s="82">
        <f>'مداولات 1'!R12</f>
        <v>9</v>
      </c>
      <c r="I10" s="69">
        <f>'مداولات 1'!U12</f>
        <v>12</v>
      </c>
      <c r="J10" s="82">
        <f>'مداولات 1'!V12</f>
        <v>2</v>
      </c>
      <c r="K10" s="69">
        <f>'مداولات 1'!Y12</f>
        <v>10.75</v>
      </c>
      <c r="L10" s="82">
        <f>'مداولات 1'!Z12</f>
        <v>1</v>
      </c>
      <c r="M10" s="69">
        <f>'مداولات 1'!AA12</f>
        <v>12.921428571428573</v>
      </c>
      <c r="N10" s="84">
        <f>'مداولات 1'!AB12</f>
        <v>30</v>
      </c>
      <c r="O10" s="69">
        <f>'مداولات 2'!G12</f>
        <v>0</v>
      </c>
      <c r="P10" s="82">
        <f>'مداولات 2'!H12</f>
        <v>0</v>
      </c>
      <c r="Q10" s="69">
        <f t="shared" si="2"/>
        <v>0</v>
      </c>
      <c r="R10" s="84">
        <f t="shared" si="3"/>
        <v>0</v>
      </c>
      <c r="S10" s="293">
        <f t="shared" si="0"/>
        <v>6.460714285714286</v>
      </c>
      <c r="T10" s="294">
        <f t="shared" si="1"/>
        <v>30</v>
      </c>
      <c r="U10" s="182" t="str">
        <f t="shared" si="4"/>
        <v>مؤجل</v>
      </c>
    </row>
    <row r="11" spans="1:21" ht="13.5" customHeight="1">
      <c r="A11" s="38">
        <v>4</v>
      </c>
      <c r="B11" s="142" t="str">
        <f>IF('كشف النقاط'!B11&gt;0,'كشف النقاط'!B11," ")</f>
        <v>بوساحة </v>
      </c>
      <c r="C11" s="142" t="str">
        <f>IF('كشف النقاط'!C11&gt;0,'كشف النقاط'!C11," ")</f>
        <v>حسام الدين</v>
      </c>
      <c r="D11" s="244" t="str">
        <f>IF('كشف النقاط'!D11&gt;0,'كشف النقاط'!D11," ")</f>
        <v> </v>
      </c>
      <c r="E11" s="69">
        <f>'مداولات 1'!K13</f>
        <v>8.535714285714286</v>
      </c>
      <c r="F11" s="82">
        <f>'مداولات 1'!L13</f>
        <v>7</v>
      </c>
      <c r="G11" s="69">
        <f>'مداولات 1'!Q13</f>
        <v>12.375</v>
      </c>
      <c r="H11" s="82">
        <f>'مداولات 1'!R13</f>
        <v>9</v>
      </c>
      <c r="I11" s="69">
        <f>'مداولات 1'!U13</f>
        <v>14.5</v>
      </c>
      <c r="J11" s="82">
        <f>'مداولات 1'!V13</f>
        <v>2</v>
      </c>
      <c r="K11" s="69">
        <f>'مداولات 1'!Y13</f>
        <v>7.75</v>
      </c>
      <c r="L11" s="82">
        <f>'مداولات 1'!Z13</f>
        <v>0</v>
      </c>
      <c r="M11" s="69">
        <f>'مداولات 1'!AA13</f>
        <v>10.428571428571429</v>
      </c>
      <c r="N11" s="84">
        <f>'مداولات 1'!AB13</f>
        <v>30</v>
      </c>
      <c r="O11" s="69">
        <f>'مداولات 2'!G13</f>
        <v>0</v>
      </c>
      <c r="P11" s="82">
        <f>'مداولات 2'!H13</f>
        <v>0</v>
      </c>
      <c r="Q11" s="69">
        <f t="shared" si="2"/>
        <v>0</v>
      </c>
      <c r="R11" s="84">
        <f t="shared" si="3"/>
        <v>0</v>
      </c>
      <c r="S11" s="293">
        <f t="shared" si="0"/>
        <v>5.214285714285714</v>
      </c>
      <c r="T11" s="294">
        <f t="shared" si="1"/>
        <v>30</v>
      </c>
      <c r="U11" s="182" t="str">
        <f t="shared" si="4"/>
        <v>مؤجل</v>
      </c>
    </row>
    <row r="12" spans="1:21" ht="13.5" customHeight="1">
      <c r="A12" s="38">
        <v>5</v>
      </c>
      <c r="B12" s="142" t="str">
        <f>IF('كشف النقاط'!B12&gt;0,'كشف النقاط'!B12," ")</f>
        <v>بوسالم </v>
      </c>
      <c r="C12" s="142" t="str">
        <f>IF('كشف النقاط'!C12&gt;0,'كشف النقاط'!C12," ")</f>
        <v>محمد وليد</v>
      </c>
      <c r="D12" s="244" t="str">
        <f>IF('كشف النقاط'!D12&gt;0,'كشف النقاط'!D12," ")</f>
        <v> </v>
      </c>
      <c r="E12" s="69">
        <f>'مداولات 1'!K14</f>
        <v>11.214285714285714</v>
      </c>
      <c r="F12" s="82">
        <f>'مداولات 1'!L14</f>
        <v>18</v>
      </c>
      <c r="G12" s="69">
        <f>'مداولات 1'!Q14</f>
        <v>11.9</v>
      </c>
      <c r="H12" s="82">
        <f>'مداولات 1'!R14</f>
        <v>9</v>
      </c>
      <c r="I12" s="69">
        <f>'مداولات 1'!U14</f>
        <v>10.75</v>
      </c>
      <c r="J12" s="82">
        <f>'مداولات 1'!V14</f>
        <v>2</v>
      </c>
      <c r="K12" s="69">
        <f>'مداولات 1'!Y14</f>
        <v>5.75</v>
      </c>
      <c r="L12" s="82">
        <f>'مداولات 1'!Z14</f>
        <v>0</v>
      </c>
      <c r="M12" s="69">
        <f>'مداولات 1'!AA14</f>
        <v>10.953571428571427</v>
      </c>
      <c r="N12" s="84">
        <f>'مداولات 1'!AB14</f>
        <v>30</v>
      </c>
      <c r="O12" s="69">
        <f>'مداولات 2'!G14</f>
        <v>0</v>
      </c>
      <c r="P12" s="82">
        <f>'مداولات 2'!H14</f>
        <v>0</v>
      </c>
      <c r="Q12" s="69">
        <f t="shared" si="2"/>
        <v>0</v>
      </c>
      <c r="R12" s="84">
        <f t="shared" si="3"/>
        <v>0</v>
      </c>
      <c r="S12" s="293">
        <f t="shared" si="0"/>
        <v>5.476785714285714</v>
      </c>
      <c r="T12" s="294">
        <f t="shared" si="1"/>
        <v>30</v>
      </c>
      <c r="U12" s="182" t="str">
        <f t="shared" si="4"/>
        <v>مؤجل</v>
      </c>
    </row>
    <row r="13" spans="1:21" ht="13.5" customHeight="1">
      <c r="A13" s="38">
        <v>6</v>
      </c>
      <c r="B13" s="142" t="str">
        <f>IF('كشف النقاط'!B13&gt;0,'كشف النقاط'!B13," ")</f>
        <v>بوعروج </v>
      </c>
      <c r="C13" s="142" t="str">
        <f>IF('كشف النقاط'!C13&gt;0,'كشف النقاط'!C13," ")</f>
        <v>نسيمة</v>
      </c>
      <c r="D13" s="244" t="str">
        <f>IF('كشف النقاط'!D13&gt;0,'كشف النقاط'!D13," ")</f>
        <v> </v>
      </c>
      <c r="E13" s="69">
        <f>'مداولات 1'!K15</f>
        <v>10.928571428571429</v>
      </c>
      <c r="F13" s="82">
        <f>'مداولات 1'!L15</f>
        <v>18</v>
      </c>
      <c r="G13" s="69">
        <f>'مداولات 1'!Q15</f>
        <v>10.35</v>
      </c>
      <c r="H13" s="82">
        <f>'مداولات 1'!R15</f>
        <v>9</v>
      </c>
      <c r="I13" s="69">
        <f>'مداولات 1'!U15</f>
        <v>14</v>
      </c>
      <c r="J13" s="82">
        <f>'مداولات 1'!V15</f>
        <v>2</v>
      </c>
      <c r="K13" s="69">
        <f>'مداولات 1'!Y15</f>
        <v>6.5</v>
      </c>
      <c r="L13" s="82">
        <f>'مداولات 1'!Z15</f>
        <v>0</v>
      </c>
      <c r="M13" s="69">
        <f>'مداولات 1'!AA15</f>
        <v>10.885714285714286</v>
      </c>
      <c r="N13" s="84">
        <f>'مداولات 1'!AB15</f>
        <v>30</v>
      </c>
      <c r="O13" s="69">
        <f>'مداولات 2'!G15</f>
        <v>0</v>
      </c>
      <c r="P13" s="82">
        <f>'مداولات 2'!H15</f>
        <v>0</v>
      </c>
      <c r="Q13" s="69">
        <f t="shared" si="2"/>
        <v>0</v>
      </c>
      <c r="R13" s="84">
        <f t="shared" si="3"/>
        <v>0</v>
      </c>
      <c r="S13" s="293">
        <f t="shared" si="0"/>
        <v>5.442857142857143</v>
      </c>
      <c r="T13" s="294">
        <f t="shared" si="1"/>
        <v>30</v>
      </c>
      <c r="U13" s="182" t="str">
        <f t="shared" si="4"/>
        <v>مؤجل</v>
      </c>
    </row>
    <row r="14" spans="1:21" ht="13.5" customHeight="1">
      <c r="A14" s="38">
        <v>7</v>
      </c>
      <c r="B14" s="142" t="str">
        <f>IF('كشف النقاط'!B14&gt;0,'كشف النقاط'!B14," ")</f>
        <v>بولعيد </v>
      </c>
      <c r="C14" s="142" t="str">
        <f>IF('كشف النقاط'!C14&gt;0,'كشف النقاط'!C14," ")</f>
        <v>مريم</v>
      </c>
      <c r="D14" s="244" t="str">
        <f>IF('كشف النقاط'!D14&gt;0,'كشف النقاط'!D14," ")</f>
        <v> </v>
      </c>
      <c r="E14" s="69">
        <f>'مداولات 1'!K16</f>
        <v>9.464285714285714</v>
      </c>
      <c r="F14" s="82">
        <f>'مداولات 1'!L16</f>
        <v>7</v>
      </c>
      <c r="G14" s="69">
        <f>'مداولات 1'!Q16</f>
        <v>7.125</v>
      </c>
      <c r="H14" s="82">
        <f>'مداولات 1'!R16</f>
        <v>0</v>
      </c>
      <c r="I14" s="69">
        <f>'مداولات 1'!U16</f>
        <v>12.75</v>
      </c>
      <c r="J14" s="82">
        <f>'مداولات 1'!V16</f>
        <v>2</v>
      </c>
      <c r="K14" s="69">
        <f>'مداولات 1'!Y16</f>
        <v>8</v>
      </c>
      <c r="L14" s="82">
        <f>'مداولات 1'!Z16</f>
        <v>0</v>
      </c>
      <c r="M14" s="69">
        <f>'مداولات 1'!AA16</f>
        <v>9.160714285714286</v>
      </c>
      <c r="N14" s="84">
        <f>'مداولات 1'!AB16</f>
        <v>9</v>
      </c>
      <c r="O14" s="69">
        <f>'مداولات 2'!G16</f>
        <v>0</v>
      </c>
      <c r="P14" s="82">
        <f>'مداولات 2'!H16</f>
        <v>0</v>
      </c>
      <c r="Q14" s="69">
        <f t="shared" si="2"/>
        <v>0</v>
      </c>
      <c r="R14" s="84">
        <f t="shared" si="3"/>
        <v>0</v>
      </c>
      <c r="S14" s="293">
        <f t="shared" si="0"/>
        <v>4.580357142857143</v>
      </c>
      <c r="T14" s="294">
        <f t="shared" si="1"/>
        <v>9</v>
      </c>
      <c r="U14" s="182" t="str">
        <f t="shared" si="4"/>
        <v>مؤجل</v>
      </c>
    </row>
    <row r="15" spans="1:21" ht="13.5" customHeight="1">
      <c r="A15" s="38">
        <v>8</v>
      </c>
      <c r="B15" s="142" t="str">
        <f>IF('كشف النقاط'!B15&gt;0,'كشف النقاط'!B15," ")</f>
        <v>خاوة </v>
      </c>
      <c r="C15" s="142" t="str">
        <f>IF('كشف النقاط'!C15&gt;0,'كشف النقاط'!C15," ")</f>
        <v>أسماء</v>
      </c>
      <c r="D15" s="244" t="str">
        <f>IF('كشف النقاط'!D15&gt;0,'كشف النقاط'!D15," ")</f>
        <v> </v>
      </c>
      <c r="E15" s="69">
        <f>'مداولات 1'!K17</f>
        <v>10.892857142857142</v>
      </c>
      <c r="F15" s="82">
        <f>'مداولات 1'!L17</f>
        <v>18</v>
      </c>
      <c r="G15" s="69">
        <f>'مداولات 1'!Q17</f>
        <v>10.25</v>
      </c>
      <c r="H15" s="82">
        <f>'مداولات 1'!R17</f>
        <v>9</v>
      </c>
      <c r="I15" s="69">
        <f>'مداولات 1'!U17</f>
        <v>14</v>
      </c>
      <c r="J15" s="82">
        <f>'مداولات 1'!V17</f>
        <v>2</v>
      </c>
      <c r="K15" s="69">
        <f>'مداولات 1'!Y17</f>
        <v>6</v>
      </c>
      <c r="L15" s="82">
        <f>'مداولات 1'!Z17</f>
        <v>0</v>
      </c>
      <c r="M15" s="69">
        <f>'مداولات 1'!AA17</f>
        <v>10.803571428571429</v>
      </c>
      <c r="N15" s="84">
        <f>'مداولات 1'!AB17</f>
        <v>30</v>
      </c>
      <c r="O15" s="69">
        <f>'مداولات 2'!G17</f>
        <v>0</v>
      </c>
      <c r="P15" s="82">
        <f>'مداولات 2'!H17</f>
        <v>0</v>
      </c>
      <c r="Q15" s="69">
        <f t="shared" si="2"/>
        <v>0</v>
      </c>
      <c r="R15" s="84">
        <f t="shared" si="3"/>
        <v>0</v>
      </c>
      <c r="S15" s="293">
        <f t="shared" si="0"/>
        <v>5.401785714285714</v>
      </c>
      <c r="T15" s="294">
        <f t="shared" si="1"/>
        <v>30</v>
      </c>
      <c r="U15" s="182" t="str">
        <f t="shared" si="4"/>
        <v>مؤجل</v>
      </c>
    </row>
    <row r="16" spans="1:21" ht="13.5" customHeight="1">
      <c r="A16" s="38">
        <v>9</v>
      </c>
      <c r="B16" s="142" t="str">
        <f>IF('كشف النقاط'!B16&gt;0,'كشف النقاط'!B16," ")</f>
        <v>زغلاني </v>
      </c>
      <c r="C16" s="142" t="str">
        <f>IF('كشف النقاط'!C16&gt;0,'كشف النقاط'!C16," ")</f>
        <v>ساعد</v>
      </c>
      <c r="D16" s="244" t="str">
        <f>IF('كشف النقاط'!D16&gt;0,'كشف النقاط'!D16," ")</f>
        <v> </v>
      </c>
      <c r="E16" s="69">
        <f>'مداولات 1'!K18</f>
        <v>9.5</v>
      </c>
      <c r="F16" s="82">
        <f>'مداولات 1'!L18</f>
        <v>12</v>
      </c>
      <c r="G16" s="69">
        <f>'مداولات 1'!Q18</f>
        <v>9.5</v>
      </c>
      <c r="H16" s="82">
        <f>'مداولات 1'!R18</f>
        <v>4</v>
      </c>
      <c r="I16" s="69">
        <f>'مداولات 1'!U18</f>
        <v>14.25</v>
      </c>
      <c r="J16" s="82">
        <f>'مداولات 1'!V18</f>
        <v>2</v>
      </c>
      <c r="K16" s="69">
        <f>'مداولات 1'!Y18</f>
        <v>5</v>
      </c>
      <c r="L16" s="82">
        <f>'مداولات 1'!Z18</f>
        <v>0</v>
      </c>
      <c r="M16" s="69">
        <f>'مداولات 1'!AA18</f>
        <v>9.857142857142858</v>
      </c>
      <c r="N16" s="84">
        <f>'مداولات 1'!AB18</f>
        <v>18</v>
      </c>
      <c r="O16" s="69">
        <f>'مداولات 2'!G18</f>
        <v>0</v>
      </c>
      <c r="P16" s="82">
        <f>'مداولات 2'!H18</f>
        <v>0</v>
      </c>
      <c r="Q16" s="69">
        <f t="shared" si="2"/>
        <v>0</v>
      </c>
      <c r="R16" s="84">
        <f t="shared" si="3"/>
        <v>0</v>
      </c>
      <c r="S16" s="293">
        <f t="shared" si="0"/>
        <v>4.928571428571429</v>
      </c>
      <c r="T16" s="294">
        <f t="shared" si="1"/>
        <v>18</v>
      </c>
      <c r="U16" s="182" t="str">
        <f t="shared" si="4"/>
        <v>مؤجل</v>
      </c>
    </row>
    <row r="17" spans="1:21" ht="13.5" customHeight="1">
      <c r="A17" s="38">
        <v>10</v>
      </c>
      <c r="B17" s="142" t="str">
        <f>IF('كشف النقاط'!B17&gt;0,'كشف النقاط'!B17," ")</f>
        <v>زياني </v>
      </c>
      <c r="C17" s="142" t="str">
        <f>IF('كشف النقاط'!C17&gt;0,'كشف النقاط'!C17," ")</f>
        <v>أميرة</v>
      </c>
      <c r="D17" s="244" t="str">
        <f>IF('كشف النقاط'!D17&gt;0,'كشف النقاط'!D17," ")</f>
        <v> </v>
      </c>
      <c r="E17" s="69">
        <f>'مداولات 1'!K19</f>
        <v>11.357142857142858</v>
      </c>
      <c r="F17" s="82">
        <f>'مداولات 1'!L19</f>
        <v>18</v>
      </c>
      <c r="G17" s="69">
        <f>'مداولات 1'!Q19</f>
        <v>10.25</v>
      </c>
      <c r="H17" s="82">
        <f>'مداولات 1'!R19</f>
        <v>9</v>
      </c>
      <c r="I17" s="69">
        <f>'مداولات 1'!U19</f>
        <v>13.75</v>
      </c>
      <c r="J17" s="82">
        <f>'مداولات 1'!V19</f>
        <v>2</v>
      </c>
      <c r="K17" s="69">
        <f>'مداولات 1'!Y19</f>
        <v>9.25</v>
      </c>
      <c r="L17" s="82">
        <f>'مداولات 1'!Z19</f>
        <v>0</v>
      </c>
      <c r="M17" s="69">
        <f>'مداولات 1'!AA19</f>
        <v>11.232142857142858</v>
      </c>
      <c r="N17" s="84">
        <f>'مداولات 1'!AB19</f>
        <v>30</v>
      </c>
      <c r="O17" s="69">
        <f>'مداولات 2'!G19</f>
        <v>0</v>
      </c>
      <c r="P17" s="82">
        <f>'مداولات 2'!H19</f>
        <v>0</v>
      </c>
      <c r="Q17" s="69">
        <f t="shared" si="2"/>
        <v>0</v>
      </c>
      <c r="R17" s="84">
        <f t="shared" si="3"/>
        <v>0</v>
      </c>
      <c r="S17" s="293">
        <f t="shared" si="0"/>
        <v>5.616071428571429</v>
      </c>
      <c r="T17" s="294">
        <f t="shared" si="1"/>
        <v>30</v>
      </c>
      <c r="U17" s="182" t="str">
        <f t="shared" si="4"/>
        <v>مؤجل</v>
      </c>
    </row>
    <row r="18" spans="1:21" ht="13.5" customHeight="1">
      <c r="A18" s="38">
        <v>11</v>
      </c>
      <c r="B18" s="142" t="str">
        <f>IF('كشف النقاط'!B18&gt;0,'كشف النقاط'!B18," ")</f>
        <v>شلابي </v>
      </c>
      <c r="C18" s="142" t="str">
        <f>IF('كشف النقاط'!C18&gt;0,'كشف النقاط'!C18," ")</f>
        <v>هاجر</v>
      </c>
      <c r="D18" s="244" t="str">
        <f>IF('كشف النقاط'!D18&gt;0,'كشف النقاط'!D18," ")</f>
        <v> </v>
      </c>
      <c r="E18" s="69">
        <f>'مداولات 1'!K20</f>
        <v>12.285714285714286</v>
      </c>
      <c r="F18" s="82">
        <f>'مداولات 1'!L20</f>
        <v>18</v>
      </c>
      <c r="G18" s="69">
        <f>'مداولات 1'!Q20</f>
        <v>10.3</v>
      </c>
      <c r="H18" s="82">
        <f>'مداولات 1'!R20</f>
        <v>9</v>
      </c>
      <c r="I18" s="69">
        <f>'مداولات 1'!U20</f>
        <v>12.5</v>
      </c>
      <c r="J18" s="82">
        <f>'مداولات 1'!V20</f>
        <v>2</v>
      </c>
      <c r="K18" s="69">
        <f>'مداولات 1'!Y20</f>
        <v>5</v>
      </c>
      <c r="L18" s="82">
        <f>'مداولات 1'!Z20</f>
        <v>0</v>
      </c>
      <c r="M18" s="69">
        <f>'مداولات 1'!AA20</f>
        <v>11.228571428571428</v>
      </c>
      <c r="N18" s="84">
        <f>'مداولات 1'!AB20</f>
        <v>30</v>
      </c>
      <c r="O18" s="69">
        <f>'مداولات 2'!G20</f>
        <v>0</v>
      </c>
      <c r="P18" s="82">
        <f>'مداولات 2'!H20</f>
        <v>0</v>
      </c>
      <c r="Q18" s="69">
        <f t="shared" si="2"/>
        <v>0</v>
      </c>
      <c r="R18" s="84">
        <f t="shared" si="3"/>
        <v>0</v>
      </c>
      <c r="S18" s="293">
        <f t="shared" si="0"/>
        <v>5.614285714285714</v>
      </c>
      <c r="T18" s="294">
        <f t="shared" si="1"/>
        <v>30</v>
      </c>
      <c r="U18" s="182" t="str">
        <f t="shared" si="4"/>
        <v>مؤجل</v>
      </c>
    </row>
    <row r="19" spans="1:21" ht="13.5" customHeight="1">
      <c r="A19" s="38">
        <v>12</v>
      </c>
      <c r="B19" s="142" t="str">
        <f>IF('كشف النقاط'!B19&gt;0,'كشف النقاط'!B19," ")</f>
        <v>صولي </v>
      </c>
      <c r="C19" s="142" t="str">
        <f>IF('كشف النقاط'!C19&gt;0,'كشف النقاط'!C19," ")</f>
        <v>هشام</v>
      </c>
      <c r="D19" s="244" t="str">
        <f>IF('كشف النقاط'!D19&gt;0,'كشف النقاط'!D19," ")</f>
        <v> </v>
      </c>
      <c r="E19" s="69">
        <f>'مداولات 1'!K21</f>
        <v>11.5</v>
      </c>
      <c r="F19" s="82">
        <f>'مداولات 1'!L21</f>
        <v>18</v>
      </c>
      <c r="G19" s="69">
        <f>'مداولات 1'!Q21</f>
        <v>9.25</v>
      </c>
      <c r="H19" s="82">
        <f>'مداولات 1'!R21</f>
        <v>4</v>
      </c>
      <c r="I19" s="69">
        <f>'مداولات 1'!U21</f>
        <v>12.25</v>
      </c>
      <c r="J19" s="82">
        <f>'مداولات 1'!V21</f>
        <v>2</v>
      </c>
      <c r="K19" s="69">
        <f>'مداولات 1'!Y21</f>
        <v>8</v>
      </c>
      <c r="L19" s="82">
        <f>'مداولات 1'!Z21</f>
        <v>0</v>
      </c>
      <c r="M19" s="69">
        <f>'مداولات 1'!AA21</f>
        <v>10.714285714285714</v>
      </c>
      <c r="N19" s="84">
        <f>'مداولات 1'!AB21</f>
        <v>30</v>
      </c>
      <c r="O19" s="69">
        <f>'مداولات 2'!G21</f>
        <v>0</v>
      </c>
      <c r="P19" s="82">
        <f>'مداولات 2'!H21</f>
        <v>0</v>
      </c>
      <c r="Q19" s="69">
        <f t="shared" si="2"/>
        <v>0</v>
      </c>
      <c r="R19" s="84">
        <f t="shared" si="3"/>
        <v>0</v>
      </c>
      <c r="S19" s="293">
        <f t="shared" si="0"/>
        <v>5.357142857142857</v>
      </c>
      <c r="T19" s="294">
        <f t="shared" si="1"/>
        <v>30</v>
      </c>
      <c r="U19" s="182" t="str">
        <f t="shared" si="4"/>
        <v>مؤجل</v>
      </c>
    </row>
    <row r="20" spans="1:21" ht="13.5" customHeight="1">
      <c r="A20" s="38">
        <v>13</v>
      </c>
      <c r="B20" s="142" t="str">
        <f>IF('كشف النقاط'!B20&gt;0,'كشف النقاط'!B20," ")</f>
        <v>عطيل</v>
      </c>
      <c r="C20" s="142" t="str">
        <f>IF('كشف النقاط'!C20&gt;0,'كشف النقاط'!C20," ")</f>
        <v>آسيا</v>
      </c>
      <c r="D20" s="244" t="str">
        <f>IF('كشف النقاط'!D20&gt;0,'كشف النقاط'!D20," ")</f>
        <v> </v>
      </c>
      <c r="E20" s="69">
        <f>'مداولات 1'!K22</f>
        <v>16.071428571428573</v>
      </c>
      <c r="F20" s="82">
        <f>'مداولات 1'!L22</f>
        <v>18</v>
      </c>
      <c r="G20" s="69">
        <f>'مداولات 1'!Q22</f>
        <v>15.725</v>
      </c>
      <c r="H20" s="82">
        <f>'مداولات 1'!R22</f>
        <v>9</v>
      </c>
      <c r="I20" s="69">
        <f>'مداولات 1'!U22</f>
        <v>14.25</v>
      </c>
      <c r="J20" s="82">
        <f>'مداولات 1'!V22</f>
        <v>2</v>
      </c>
      <c r="K20" s="69">
        <f>'مداولات 1'!Y22</f>
        <v>13.25</v>
      </c>
      <c r="L20" s="82">
        <f>'مداولات 1'!Z22</f>
        <v>1</v>
      </c>
      <c r="M20" s="69">
        <f>'مداولات 1'!AA22</f>
        <v>15.510714285714286</v>
      </c>
      <c r="N20" s="84">
        <f>'مداولات 1'!AB22</f>
        <v>30</v>
      </c>
      <c r="O20" s="69">
        <f>'مداولات 2'!G22</f>
        <v>0</v>
      </c>
      <c r="P20" s="82">
        <f>'مداولات 2'!H22</f>
        <v>0</v>
      </c>
      <c r="Q20" s="69">
        <f t="shared" si="2"/>
        <v>0</v>
      </c>
      <c r="R20" s="84">
        <f t="shared" si="3"/>
        <v>0</v>
      </c>
      <c r="S20" s="293">
        <f t="shared" si="0"/>
        <v>7.755357142857143</v>
      </c>
      <c r="T20" s="294">
        <f t="shared" si="1"/>
        <v>30</v>
      </c>
      <c r="U20" s="182" t="str">
        <f t="shared" si="4"/>
        <v>مؤجل</v>
      </c>
    </row>
    <row r="21" spans="1:21" ht="13.5" customHeight="1">
      <c r="A21" s="38">
        <v>14</v>
      </c>
      <c r="B21" s="142" t="str">
        <f>IF('كشف النقاط'!B21&gt;0,'كشف النقاط'!B21," ")</f>
        <v>عيدود </v>
      </c>
      <c r="C21" s="142" t="str">
        <f>IF('كشف النقاط'!C21&gt;0,'كشف النقاط'!C21," ")</f>
        <v>صبرينة</v>
      </c>
      <c r="D21" s="244" t="str">
        <f>IF('كشف النقاط'!D21&gt;0,'كشف النقاط'!D21," ")</f>
        <v> </v>
      </c>
      <c r="E21" s="69">
        <f>'مداولات 1'!K23</f>
        <v>9.321428571428571</v>
      </c>
      <c r="F21" s="82">
        <f>'مداولات 1'!L23</f>
        <v>7</v>
      </c>
      <c r="G21" s="69">
        <f>'مداولات 1'!Q23</f>
        <v>9.6</v>
      </c>
      <c r="H21" s="82">
        <f>'مداولات 1'!R23</f>
        <v>4</v>
      </c>
      <c r="I21" s="69">
        <f>'مداولات 1'!U23</f>
        <v>10.5</v>
      </c>
      <c r="J21" s="82">
        <f>'مداولات 1'!V23</f>
        <v>2</v>
      </c>
      <c r="K21" s="69">
        <f>'مداولات 1'!Y23</f>
        <v>8.25</v>
      </c>
      <c r="L21" s="82">
        <f>'مداولات 1'!Z23</f>
        <v>0</v>
      </c>
      <c r="M21" s="69">
        <f>'مداولات 1'!AA23</f>
        <v>9.492857142857144</v>
      </c>
      <c r="N21" s="84">
        <f>'مداولات 1'!AB23</f>
        <v>13</v>
      </c>
      <c r="O21" s="69">
        <f>'مداولات 2'!G23</f>
        <v>0</v>
      </c>
      <c r="P21" s="82">
        <f>'مداولات 2'!H23</f>
        <v>0</v>
      </c>
      <c r="Q21" s="69">
        <f t="shared" si="2"/>
        <v>0</v>
      </c>
      <c r="R21" s="84">
        <f t="shared" si="3"/>
        <v>0</v>
      </c>
      <c r="S21" s="293">
        <f t="shared" si="0"/>
        <v>4.746428571428572</v>
      </c>
      <c r="T21" s="294">
        <f t="shared" si="1"/>
        <v>13</v>
      </c>
      <c r="U21" s="182" t="str">
        <f t="shared" si="4"/>
        <v>مؤجل</v>
      </c>
    </row>
    <row r="22" spans="1:21" ht="13.5" customHeight="1">
      <c r="A22" s="38">
        <v>15</v>
      </c>
      <c r="B22" s="142" t="str">
        <f>IF('كشف النقاط'!B22&gt;0,'كشف النقاط'!B22," ")</f>
        <v>قايدي </v>
      </c>
      <c r="C22" s="142" t="str">
        <f>IF('كشف النقاط'!C22&gt;0,'كشف النقاط'!C22," ")</f>
        <v>مريم</v>
      </c>
      <c r="D22" s="244" t="str">
        <f>IF('كشف النقاط'!D22&gt;0,'كشف النقاط'!D22," ")</f>
        <v> </v>
      </c>
      <c r="E22" s="69">
        <f>'مداولات 1'!K24</f>
        <v>12.464285714285714</v>
      </c>
      <c r="F22" s="82">
        <f>'مداولات 1'!L24</f>
        <v>18</v>
      </c>
      <c r="G22" s="69">
        <f>'مداولات 1'!Q24</f>
        <v>11.625</v>
      </c>
      <c r="H22" s="82">
        <f>'مداولات 1'!R24</f>
        <v>9</v>
      </c>
      <c r="I22" s="69">
        <f>'مداولات 1'!U24</f>
        <v>10</v>
      </c>
      <c r="J22" s="82">
        <f>'مداولات 1'!V24</f>
        <v>2</v>
      </c>
      <c r="K22" s="69">
        <f>'مداولات 1'!Y24</f>
        <v>7.25</v>
      </c>
      <c r="L22" s="82">
        <f>'مداولات 1'!Z24</f>
        <v>0</v>
      </c>
      <c r="M22" s="69">
        <f>'مداولات 1'!AA24</f>
        <v>11.5</v>
      </c>
      <c r="N22" s="84">
        <f>'مداولات 1'!AB24</f>
        <v>30</v>
      </c>
      <c r="O22" s="69">
        <f>'مداولات 2'!G24</f>
        <v>0</v>
      </c>
      <c r="P22" s="82">
        <f>'مداولات 2'!H24</f>
        <v>0</v>
      </c>
      <c r="Q22" s="69">
        <f t="shared" si="2"/>
        <v>0</v>
      </c>
      <c r="R22" s="84">
        <f t="shared" si="3"/>
        <v>0</v>
      </c>
      <c r="S22" s="293">
        <f t="shared" si="0"/>
        <v>5.75</v>
      </c>
      <c r="T22" s="294">
        <f t="shared" si="1"/>
        <v>30</v>
      </c>
      <c r="U22" s="182" t="str">
        <f t="shared" si="4"/>
        <v>مؤجل</v>
      </c>
    </row>
    <row r="23" spans="1:21" ht="13.5" customHeight="1">
      <c r="A23" s="38">
        <v>16</v>
      </c>
      <c r="B23" s="142" t="str">
        <f>IF('كشف النقاط'!B23&gt;0,'كشف النقاط'!B23," ")</f>
        <v>قرايفية </v>
      </c>
      <c r="C23" s="142" t="str">
        <f>IF('كشف النقاط'!C23&gt;0,'كشف النقاط'!C23," ")</f>
        <v>فؤاد</v>
      </c>
      <c r="D23" s="244" t="str">
        <f>IF('كشف النقاط'!D23&gt;0,'كشف النقاط'!D23," ")</f>
        <v> </v>
      </c>
      <c r="E23" s="69">
        <f>'مداولات 1'!K25</f>
        <v>11.392857142857142</v>
      </c>
      <c r="F23" s="82">
        <f>'مداولات 1'!L25</f>
        <v>18</v>
      </c>
      <c r="G23" s="69">
        <f>'مداولات 1'!Q25</f>
        <v>12.425</v>
      </c>
      <c r="H23" s="82">
        <f>'مداولات 1'!R25</f>
        <v>9</v>
      </c>
      <c r="I23" s="69">
        <f>'مداولات 1'!U25</f>
        <v>13.5</v>
      </c>
      <c r="J23" s="82">
        <f>'مداولات 1'!V25</f>
        <v>2</v>
      </c>
      <c r="K23" s="69">
        <f>'مداولات 1'!Y25</f>
        <v>5</v>
      </c>
      <c r="L23" s="82">
        <f>'مداولات 1'!Z25</f>
        <v>0</v>
      </c>
      <c r="M23" s="69">
        <f>'مداولات 1'!AA25</f>
        <v>11.532142857142857</v>
      </c>
      <c r="N23" s="84">
        <f>'مداولات 1'!AB25</f>
        <v>30</v>
      </c>
      <c r="O23" s="69">
        <f>'مداولات 2'!G25</f>
        <v>0</v>
      </c>
      <c r="P23" s="82">
        <f>'مداولات 2'!H25</f>
        <v>0</v>
      </c>
      <c r="Q23" s="69">
        <f t="shared" si="2"/>
        <v>0</v>
      </c>
      <c r="R23" s="84">
        <f t="shared" si="3"/>
        <v>0</v>
      </c>
      <c r="S23" s="293">
        <f t="shared" si="0"/>
        <v>5.766071428571428</v>
      </c>
      <c r="T23" s="294">
        <f t="shared" si="1"/>
        <v>30</v>
      </c>
      <c r="U23" s="182" t="str">
        <f t="shared" si="4"/>
        <v>مؤجل</v>
      </c>
    </row>
    <row r="24" spans="1:21" ht="13.5" customHeight="1">
      <c r="A24" s="38">
        <v>17</v>
      </c>
      <c r="B24" s="142" t="str">
        <f>IF('كشف النقاط'!B24&gt;0,'كشف النقاط'!B24," ")</f>
        <v>قوادرية</v>
      </c>
      <c r="C24" s="142" t="str">
        <f>IF('كشف النقاط'!C24&gt;0,'كشف النقاط'!C24," ")</f>
        <v>مريم</v>
      </c>
      <c r="D24" s="244" t="str">
        <f>IF('كشف النقاط'!D24&gt;0,'كشف النقاط'!D24," ")</f>
        <v> </v>
      </c>
      <c r="E24" s="69">
        <f>'مداولات 1'!K26</f>
        <v>16.892857142857142</v>
      </c>
      <c r="F24" s="82">
        <f>'مداولات 1'!L26</f>
        <v>18</v>
      </c>
      <c r="G24" s="69">
        <f>'مداولات 1'!Q26</f>
        <v>16.45</v>
      </c>
      <c r="H24" s="82">
        <f>'مداولات 1'!R26</f>
        <v>9</v>
      </c>
      <c r="I24" s="69">
        <f>'مداولات 1'!U26</f>
        <v>15.5</v>
      </c>
      <c r="J24" s="82">
        <f>'مداولات 1'!V26</f>
        <v>2</v>
      </c>
      <c r="K24" s="69">
        <f>'مداولات 1'!Y26</f>
        <v>12</v>
      </c>
      <c r="L24" s="82">
        <f>'مداولات 1'!Z26</f>
        <v>1</v>
      </c>
      <c r="M24" s="69">
        <f>'مداولات 1'!AA26</f>
        <v>16.217857142857145</v>
      </c>
      <c r="N24" s="84">
        <f>'مداولات 1'!AB26</f>
        <v>30</v>
      </c>
      <c r="O24" s="69">
        <f>'مداولات 2'!G26</f>
        <v>0</v>
      </c>
      <c r="P24" s="82">
        <f>'مداولات 2'!H26</f>
        <v>0</v>
      </c>
      <c r="Q24" s="69">
        <f t="shared" si="2"/>
        <v>0</v>
      </c>
      <c r="R24" s="84">
        <f t="shared" si="3"/>
        <v>0</v>
      </c>
      <c r="S24" s="293">
        <f t="shared" si="0"/>
        <v>8.108928571428573</v>
      </c>
      <c r="T24" s="294">
        <f t="shared" si="1"/>
        <v>30</v>
      </c>
      <c r="U24" s="182" t="str">
        <f t="shared" si="4"/>
        <v>مؤجل</v>
      </c>
    </row>
    <row r="25" spans="1:21" ht="13.5" customHeight="1">
      <c r="A25" s="38">
        <v>18</v>
      </c>
      <c r="B25" s="142" t="str">
        <f>IF('كشف النقاط'!B25&gt;0,'كشف النقاط'!B25," ")</f>
        <v>محفوظ </v>
      </c>
      <c r="C25" s="142" t="str">
        <f>IF('كشف النقاط'!C25&gt;0,'كشف النقاط'!C25," ")</f>
        <v>بشرى</v>
      </c>
      <c r="D25" s="244" t="str">
        <f>IF('كشف النقاط'!D25&gt;0,'كشف النقاط'!D25," ")</f>
        <v> </v>
      </c>
      <c r="E25" s="69">
        <f>'مداولات 1'!K27</f>
        <v>16.892857142857142</v>
      </c>
      <c r="F25" s="82">
        <f>'مداولات 1'!L27</f>
        <v>18</v>
      </c>
      <c r="G25" s="69">
        <f>'مداولات 1'!Q27</f>
        <v>15.825</v>
      </c>
      <c r="H25" s="82">
        <f>'مداولات 1'!R27</f>
        <v>9</v>
      </c>
      <c r="I25" s="69">
        <f>'مداولات 1'!U27</f>
        <v>15.5</v>
      </c>
      <c r="J25" s="82">
        <f>'مداولات 1'!V27</f>
        <v>2</v>
      </c>
      <c r="K25" s="69">
        <f>'مداولات 1'!Y27</f>
        <v>11.75</v>
      </c>
      <c r="L25" s="82">
        <f>'مداولات 1'!Z27</f>
        <v>1</v>
      </c>
      <c r="M25" s="69">
        <f>'مداولات 1'!AA27</f>
        <v>16.021428571428572</v>
      </c>
      <c r="N25" s="84">
        <f>'مداولات 1'!AB27</f>
        <v>30</v>
      </c>
      <c r="O25" s="69">
        <f>'مداولات 2'!G27</f>
        <v>0</v>
      </c>
      <c r="P25" s="82">
        <f>'مداولات 2'!H27</f>
        <v>0</v>
      </c>
      <c r="Q25" s="69">
        <f t="shared" si="2"/>
        <v>0</v>
      </c>
      <c r="R25" s="84">
        <f t="shared" si="3"/>
        <v>0</v>
      </c>
      <c r="S25" s="293">
        <f t="shared" si="0"/>
        <v>8.010714285714286</v>
      </c>
      <c r="T25" s="294">
        <f t="shared" si="1"/>
        <v>30</v>
      </c>
      <c r="U25" s="182" t="str">
        <f t="shared" si="4"/>
        <v>مؤجل</v>
      </c>
    </row>
    <row r="26" spans="1:21" ht="13.5" customHeight="1">
      <c r="A26" s="38">
        <v>19</v>
      </c>
      <c r="B26" s="142" t="str">
        <f>IF('كشف النقاط'!B26&gt;0,'كشف النقاط'!B26," ")</f>
        <v>مسطوري </v>
      </c>
      <c r="C26" s="142" t="str">
        <f>IF('كشف النقاط'!C26&gt;0,'كشف النقاط'!C26," ")</f>
        <v>سارة</v>
      </c>
      <c r="D26" s="244" t="str">
        <f>IF('كشف النقاط'!D26&gt;0,'كشف النقاط'!D26," ")</f>
        <v> </v>
      </c>
      <c r="E26" s="69">
        <f>'مداولات 1'!K28</f>
        <v>9.071428571428571</v>
      </c>
      <c r="F26" s="82">
        <f>'مداولات 1'!L28</f>
        <v>7</v>
      </c>
      <c r="G26" s="69">
        <f>'مداولات 1'!Q28</f>
        <v>11.25</v>
      </c>
      <c r="H26" s="82">
        <f>'مداولات 1'!R28</f>
        <v>9</v>
      </c>
      <c r="I26" s="69">
        <f>'مداولات 1'!U28</f>
        <v>14.5</v>
      </c>
      <c r="J26" s="82">
        <f>'مداولات 1'!V28</f>
        <v>2</v>
      </c>
      <c r="K26" s="69">
        <f>'مداولات 1'!Y28</f>
        <v>5.5</v>
      </c>
      <c r="L26" s="82">
        <f>'مداولات 1'!Z28</f>
        <v>0</v>
      </c>
      <c r="M26" s="69">
        <f>'مداولات 1'!AA28</f>
        <v>10.214285714285714</v>
      </c>
      <c r="N26" s="84">
        <f>'مداولات 1'!AB28</f>
        <v>30</v>
      </c>
      <c r="O26" s="69">
        <f>'مداولات 2'!G28</f>
        <v>0</v>
      </c>
      <c r="P26" s="82">
        <f>'مداولات 2'!H28</f>
        <v>0</v>
      </c>
      <c r="Q26" s="69">
        <f t="shared" si="2"/>
        <v>0</v>
      </c>
      <c r="R26" s="84">
        <f t="shared" si="3"/>
        <v>0</v>
      </c>
      <c r="S26" s="293">
        <f t="shared" si="0"/>
        <v>5.107142857142857</v>
      </c>
      <c r="T26" s="294">
        <f t="shared" si="1"/>
        <v>30</v>
      </c>
      <c r="U26" s="182" t="str">
        <f t="shared" si="4"/>
        <v>مؤجل</v>
      </c>
    </row>
    <row r="27" spans="1:21" ht="13.5" customHeight="1">
      <c r="A27" s="38">
        <v>20</v>
      </c>
      <c r="B27" s="142" t="str">
        <f>IF('كشف النقاط'!B27&gt;0,'كشف النقاط'!B27," ")</f>
        <v>هداف </v>
      </c>
      <c r="C27" s="142" t="str">
        <f>IF('كشف النقاط'!C27&gt;0,'كشف النقاط'!C27," ")</f>
        <v>حياة</v>
      </c>
      <c r="D27" s="244" t="str">
        <f>IF('كشف النقاط'!D27&gt;0,'كشف النقاط'!D27," ")</f>
        <v> </v>
      </c>
      <c r="E27" s="69">
        <f>'مداولات 1'!K29</f>
        <v>12.321428571428571</v>
      </c>
      <c r="F27" s="82">
        <f>'مداولات 1'!L29</f>
        <v>18</v>
      </c>
      <c r="G27" s="69">
        <f>'مداولات 1'!Q29</f>
        <v>11.425</v>
      </c>
      <c r="H27" s="82">
        <f>'مداولات 1'!R29</f>
        <v>9</v>
      </c>
      <c r="I27" s="69">
        <f>'مداولات 1'!U29</f>
        <v>12.5</v>
      </c>
      <c r="J27" s="82">
        <f>'مداولات 1'!V29</f>
        <v>2</v>
      </c>
      <c r="K27" s="69">
        <f>'مداولات 1'!Y29</f>
        <v>8.75</v>
      </c>
      <c r="L27" s="82">
        <f>'مداولات 1'!Z29</f>
        <v>0</v>
      </c>
      <c r="M27" s="69">
        <f>'مداولات 1'!AA29</f>
        <v>11.835714285714285</v>
      </c>
      <c r="N27" s="84">
        <f>'مداولات 1'!AB29</f>
        <v>30</v>
      </c>
      <c r="O27" s="69">
        <f>'مداولات 2'!G29</f>
        <v>0</v>
      </c>
      <c r="P27" s="82">
        <f>'مداولات 2'!H29</f>
        <v>0</v>
      </c>
      <c r="Q27" s="69">
        <f t="shared" si="2"/>
        <v>0</v>
      </c>
      <c r="R27" s="84">
        <f t="shared" si="3"/>
        <v>0</v>
      </c>
      <c r="S27" s="293">
        <f t="shared" si="0"/>
        <v>5.917857142857143</v>
      </c>
      <c r="T27" s="294">
        <f t="shared" si="1"/>
        <v>30</v>
      </c>
      <c r="U27" s="182" t="str">
        <f t="shared" si="4"/>
        <v>مؤجل</v>
      </c>
    </row>
    <row r="28" spans="1:21" ht="13.5" customHeight="1">
      <c r="A28" s="38">
        <v>21</v>
      </c>
      <c r="B28" s="142" t="str">
        <f>IF('كشف النقاط'!B28&gt;0,'كشف النقاط'!B28," ")</f>
        <v> </v>
      </c>
      <c r="C28" s="142" t="str">
        <f>IF('كشف النقاط'!C28&gt;0,'كشف النقاط'!C28," ")</f>
        <v> </v>
      </c>
      <c r="D28" s="244" t="str">
        <f>IF('كشف النقاط'!D28&gt;0,'كشف النقاط'!D28," ")</f>
        <v> </v>
      </c>
      <c r="E28" s="69">
        <f>'مداولات 1'!K30</f>
        <v>0</v>
      </c>
      <c r="F28" s="82">
        <f>'مداولات 1'!L30</f>
        <v>0</v>
      </c>
      <c r="G28" s="69">
        <f>'مداولات 1'!Q30</f>
        <v>0</v>
      </c>
      <c r="H28" s="82">
        <f>'مداولات 1'!R30</f>
        <v>0</v>
      </c>
      <c r="I28" s="69">
        <f>'مداولات 1'!U30</f>
        <v>0</v>
      </c>
      <c r="J28" s="82">
        <f>'مداولات 1'!V30</f>
        <v>0</v>
      </c>
      <c r="K28" s="69">
        <f>'مداولات 1'!Y30</f>
        <v>0</v>
      </c>
      <c r="L28" s="82">
        <f>'مداولات 1'!Z30</f>
        <v>0</v>
      </c>
      <c r="M28" s="69">
        <f>'مداولات 1'!AA30</f>
        <v>0</v>
      </c>
      <c r="N28" s="84">
        <f>'مداولات 1'!AB30</f>
        <v>0</v>
      </c>
      <c r="O28" s="69">
        <f>'مداولات 2'!G30</f>
        <v>0</v>
      </c>
      <c r="P28" s="82">
        <f>'مداولات 2'!H30</f>
        <v>0</v>
      </c>
      <c r="Q28" s="69">
        <f t="shared" si="2"/>
        <v>0</v>
      </c>
      <c r="R28" s="84">
        <f t="shared" si="3"/>
        <v>0</v>
      </c>
      <c r="S28" s="293">
        <f t="shared" si="0"/>
        <v>0</v>
      </c>
      <c r="T28" s="294">
        <f t="shared" si="1"/>
        <v>0</v>
      </c>
      <c r="U28" s="182" t="str">
        <f t="shared" si="4"/>
        <v>مؤجل</v>
      </c>
    </row>
    <row r="29" spans="1:21" ht="13.5" customHeight="1">
      <c r="A29" s="38">
        <v>22</v>
      </c>
      <c r="B29" s="142" t="str">
        <f>IF('كشف النقاط'!B29&gt;0,'كشف النقاط'!B29," ")</f>
        <v> </v>
      </c>
      <c r="C29" s="142" t="str">
        <f>IF('كشف النقاط'!C29&gt;0,'كشف النقاط'!C29," ")</f>
        <v> </v>
      </c>
      <c r="D29" s="244" t="str">
        <f>IF('كشف النقاط'!D29&gt;0,'كشف النقاط'!D29," ")</f>
        <v> </v>
      </c>
      <c r="E29" s="69">
        <f>'مداولات 1'!K31</f>
        <v>0</v>
      </c>
      <c r="F29" s="82">
        <f>'مداولات 1'!L31</f>
        <v>0</v>
      </c>
      <c r="G29" s="69">
        <f>'مداولات 1'!Q31</f>
        <v>0</v>
      </c>
      <c r="H29" s="82">
        <f>'مداولات 1'!R31</f>
        <v>0</v>
      </c>
      <c r="I29" s="69">
        <f>'مداولات 1'!U31</f>
        <v>0</v>
      </c>
      <c r="J29" s="82">
        <f>'مداولات 1'!V31</f>
        <v>0</v>
      </c>
      <c r="K29" s="69">
        <f>'مداولات 1'!Y31</f>
        <v>0</v>
      </c>
      <c r="L29" s="82">
        <f>'مداولات 1'!Z31</f>
        <v>0</v>
      </c>
      <c r="M29" s="69">
        <f>'مداولات 1'!AA31</f>
        <v>0</v>
      </c>
      <c r="N29" s="84">
        <f>'مداولات 1'!AB31</f>
        <v>0</v>
      </c>
      <c r="O29" s="69">
        <f>'مداولات 2'!G31</f>
        <v>0</v>
      </c>
      <c r="P29" s="82">
        <f>'مداولات 2'!H31</f>
        <v>0</v>
      </c>
      <c r="Q29" s="69">
        <f t="shared" si="2"/>
        <v>0</v>
      </c>
      <c r="R29" s="84">
        <f t="shared" si="3"/>
        <v>0</v>
      </c>
      <c r="S29" s="293">
        <f t="shared" si="0"/>
        <v>0</v>
      </c>
      <c r="T29" s="294">
        <f t="shared" si="1"/>
        <v>0</v>
      </c>
      <c r="U29" s="182" t="str">
        <f t="shared" si="4"/>
        <v>مؤجل</v>
      </c>
    </row>
    <row r="30" spans="1:21" ht="13.5" customHeight="1">
      <c r="A30" s="38">
        <v>23</v>
      </c>
      <c r="B30" s="142" t="str">
        <f>IF('كشف النقاط'!B30&gt;0,'كشف النقاط'!B30," ")</f>
        <v> </v>
      </c>
      <c r="C30" s="142" t="str">
        <f>IF('كشف النقاط'!C30&gt;0,'كشف النقاط'!C30," ")</f>
        <v> </v>
      </c>
      <c r="D30" s="244" t="str">
        <f>IF('كشف النقاط'!D30&gt;0,'كشف النقاط'!D30," ")</f>
        <v> </v>
      </c>
      <c r="E30" s="69">
        <f>'مداولات 1'!K32</f>
        <v>0</v>
      </c>
      <c r="F30" s="82">
        <f>'مداولات 1'!L32</f>
        <v>0</v>
      </c>
      <c r="G30" s="69">
        <f>'مداولات 1'!Q32</f>
        <v>0</v>
      </c>
      <c r="H30" s="82">
        <f>'مداولات 1'!R32</f>
        <v>0</v>
      </c>
      <c r="I30" s="69">
        <f>'مداولات 1'!U32</f>
        <v>0</v>
      </c>
      <c r="J30" s="82">
        <f>'مداولات 1'!V32</f>
        <v>0</v>
      </c>
      <c r="K30" s="69">
        <f>'مداولات 1'!Y32</f>
        <v>0</v>
      </c>
      <c r="L30" s="82">
        <f>'مداولات 1'!Z32</f>
        <v>0</v>
      </c>
      <c r="M30" s="69">
        <f>'مداولات 1'!AA32</f>
        <v>0</v>
      </c>
      <c r="N30" s="84">
        <f>'مداولات 1'!AB32</f>
        <v>0</v>
      </c>
      <c r="O30" s="69">
        <f>'مداولات 2'!G32</f>
        <v>0</v>
      </c>
      <c r="P30" s="82">
        <f>'مداولات 2'!H32</f>
        <v>0</v>
      </c>
      <c r="Q30" s="69">
        <f t="shared" si="2"/>
        <v>0</v>
      </c>
      <c r="R30" s="84">
        <f t="shared" si="3"/>
        <v>0</v>
      </c>
      <c r="S30" s="293">
        <f t="shared" si="0"/>
        <v>0</v>
      </c>
      <c r="T30" s="294">
        <f t="shared" si="1"/>
        <v>0</v>
      </c>
      <c r="U30" s="182" t="str">
        <f t="shared" si="4"/>
        <v>مؤجل</v>
      </c>
    </row>
    <row r="31" spans="1:21" ht="13.5" customHeight="1">
      <c r="A31" s="38">
        <v>24</v>
      </c>
      <c r="B31" s="142" t="str">
        <f>IF('كشف النقاط'!B31&gt;0,'كشف النقاط'!B31," ")</f>
        <v> </v>
      </c>
      <c r="C31" s="142" t="str">
        <f>IF('كشف النقاط'!C31&gt;0,'كشف النقاط'!C31," ")</f>
        <v> </v>
      </c>
      <c r="D31" s="244" t="str">
        <f>IF('كشف النقاط'!D31&gt;0,'كشف النقاط'!D31," ")</f>
        <v> </v>
      </c>
      <c r="E31" s="69">
        <f>'مداولات 1'!K33</f>
        <v>0</v>
      </c>
      <c r="F31" s="82">
        <f>'مداولات 1'!L33</f>
        <v>0</v>
      </c>
      <c r="G31" s="69">
        <f>'مداولات 1'!Q33</f>
        <v>0</v>
      </c>
      <c r="H31" s="82">
        <f>'مداولات 1'!R33</f>
        <v>0</v>
      </c>
      <c r="I31" s="69">
        <f>'مداولات 1'!U33</f>
        <v>0</v>
      </c>
      <c r="J31" s="82">
        <f>'مداولات 1'!V33</f>
        <v>0</v>
      </c>
      <c r="K31" s="69">
        <f>'مداولات 1'!Y33</f>
        <v>0</v>
      </c>
      <c r="L31" s="82">
        <f>'مداولات 1'!Z33</f>
        <v>0</v>
      </c>
      <c r="M31" s="69">
        <f>'مداولات 1'!AA33</f>
        <v>0</v>
      </c>
      <c r="N31" s="84">
        <f>'مداولات 1'!AB33</f>
        <v>0</v>
      </c>
      <c r="O31" s="69">
        <f>'مداولات 2'!G33</f>
        <v>0</v>
      </c>
      <c r="P31" s="82">
        <f>'مداولات 2'!H33</f>
        <v>0</v>
      </c>
      <c r="Q31" s="69">
        <f t="shared" si="2"/>
        <v>0</v>
      </c>
      <c r="R31" s="84">
        <f t="shared" si="3"/>
        <v>0</v>
      </c>
      <c r="S31" s="293">
        <f t="shared" si="0"/>
        <v>0</v>
      </c>
      <c r="T31" s="294">
        <f t="shared" si="1"/>
        <v>0</v>
      </c>
      <c r="U31" s="182" t="str">
        <f t="shared" si="4"/>
        <v>مؤجل</v>
      </c>
    </row>
    <row r="32" spans="1:21" ht="13.5" customHeight="1">
      <c r="A32" s="38">
        <v>25</v>
      </c>
      <c r="B32" s="142" t="str">
        <f>IF('كشف النقاط'!B32&gt;0,'كشف النقاط'!B32," ")</f>
        <v> </v>
      </c>
      <c r="C32" s="142" t="str">
        <f>IF('كشف النقاط'!C32&gt;0,'كشف النقاط'!C32," ")</f>
        <v> </v>
      </c>
      <c r="D32" s="244" t="str">
        <f>IF('كشف النقاط'!D32&gt;0,'كشف النقاط'!D32," ")</f>
        <v> </v>
      </c>
      <c r="E32" s="69">
        <f>'مداولات 1'!K34</f>
        <v>0</v>
      </c>
      <c r="F32" s="82">
        <f>'مداولات 1'!L34</f>
        <v>0</v>
      </c>
      <c r="G32" s="69">
        <f>'مداولات 1'!Q34</f>
        <v>0</v>
      </c>
      <c r="H32" s="82">
        <f>'مداولات 1'!R34</f>
        <v>0</v>
      </c>
      <c r="I32" s="69">
        <f>'مداولات 1'!U34</f>
        <v>0</v>
      </c>
      <c r="J32" s="82">
        <f>'مداولات 1'!V34</f>
        <v>0</v>
      </c>
      <c r="K32" s="69">
        <f>'مداولات 1'!Y34</f>
        <v>0</v>
      </c>
      <c r="L32" s="82">
        <f>'مداولات 1'!Z34</f>
        <v>0</v>
      </c>
      <c r="M32" s="69">
        <f>'مداولات 1'!AA34</f>
        <v>0</v>
      </c>
      <c r="N32" s="84">
        <f>'مداولات 1'!AB34</f>
        <v>0</v>
      </c>
      <c r="O32" s="69">
        <f>'مداولات 2'!G34</f>
        <v>0</v>
      </c>
      <c r="P32" s="82">
        <f>'مداولات 2'!H34</f>
        <v>0</v>
      </c>
      <c r="Q32" s="69">
        <f t="shared" si="2"/>
        <v>0</v>
      </c>
      <c r="R32" s="84">
        <f t="shared" si="3"/>
        <v>0</v>
      </c>
      <c r="S32" s="293">
        <f t="shared" si="0"/>
        <v>0</v>
      </c>
      <c r="T32" s="294">
        <f t="shared" si="1"/>
        <v>0</v>
      </c>
      <c r="U32" s="182" t="str">
        <f t="shared" si="4"/>
        <v>مؤجل</v>
      </c>
    </row>
    <row r="33" spans="1:21" ht="13.5" customHeight="1">
      <c r="A33" s="38">
        <v>26</v>
      </c>
      <c r="B33" s="142" t="str">
        <f>IF('كشف النقاط'!B33&gt;0,'كشف النقاط'!B33," ")</f>
        <v> </v>
      </c>
      <c r="C33" s="142" t="str">
        <f>IF('كشف النقاط'!C33&gt;0,'كشف النقاط'!C33," ")</f>
        <v> </v>
      </c>
      <c r="D33" s="244" t="str">
        <f>IF('كشف النقاط'!D33&gt;0,'كشف النقاط'!D33," ")</f>
        <v> </v>
      </c>
      <c r="E33" s="69">
        <f>'مداولات 1'!K35</f>
        <v>0</v>
      </c>
      <c r="F33" s="82">
        <f>'مداولات 1'!L35</f>
        <v>0</v>
      </c>
      <c r="G33" s="69">
        <f>'مداولات 1'!Q35</f>
        <v>0</v>
      </c>
      <c r="H33" s="82">
        <f>'مداولات 1'!R35</f>
        <v>0</v>
      </c>
      <c r="I33" s="69">
        <f>'مداولات 1'!U35</f>
        <v>0</v>
      </c>
      <c r="J33" s="82">
        <f>'مداولات 1'!V35</f>
        <v>0</v>
      </c>
      <c r="K33" s="69">
        <f>'مداولات 1'!Y35</f>
        <v>0</v>
      </c>
      <c r="L33" s="82">
        <f>'مداولات 1'!Z35</f>
        <v>0</v>
      </c>
      <c r="M33" s="69">
        <f>'مداولات 1'!AA35</f>
        <v>0</v>
      </c>
      <c r="N33" s="84">
        <f>'مداولات 1'!AB35</f>
        <v>0</v>
      </c>
      <c r="O33" s="69">
        <f>'مداولات 2'!G35</f>
        <v>0</v>
      </c>
      <c r="P33" s="82">
        <f>'مداولات 2'!H35</f>
        <v>0</v>
      </c>
      <c r="Q33" s="69">
        <f t="shared" si="2"/>
        <v>0</v>
      </c>
      <c r="R33" s="84">
        <f t="shared" si="3"/>
        <v>0</v>
      </c>
      <c r="S33" s="293">
        <f t="shared" si="0"/>
        <v>0</v>
      </c>
      <c r="T33" s="294">
        <f t="shared" si="1"/>
        <v>0</v>
      </c>
      <c r="U33" s="182" t="str">
        <f t="shared" si="4"/>
        <v>مؤجل</v>
      </c>
    </row>
    <row r="34" spans="1:21" ht="13.5" customHeight="1">
      <c r="A34" s="38">
        <v>27</v>
      </c>
      <c r="B34" s="142" t="str">
        <f>IF('كشف النقاط'!B34&gt;0,'كشف النقاط'!B34," ")</f>
        <v> </v>
      </c>
      <c r="C34" s="142" t="str">
        <f>IF('كشف النقاط'!C34&gt;0,'كشف النقاط'!C34," ")</f>
        <v> </v>
      </c>
      <c r="D34" s="244" t="str">
        <f>IF('كشف النقاط'!D34&gt;0,'كشف النقاط'!D34," ")</f>
        <v> </v>
      </c>
      <c r="E34" s="69">
        <f>'مداولات 1'!K36</f>
        <v>0</v>
      </c>
      <c r="F34" s="82">
        <f>'مداولات 1'!L36</f>
        <v>0</v>
      </c>
      <c r="G34" s="69">
        <f>'مداولات 1'!Q36</f>
        <v>0</v>
      </c>
      <c r="H34" s="82">
        <f>'مداولات 1'!R36</f>
        <v>0</v>
      </c>
      <c r="I34" s="69">
        <f>'مداولات 1'!U36</f>
        <v>0</v>
      </c>
      <c r="J34" s="82">
        <f>'مداولات 1'!V36</f>
        <v>0</v>
      </c>
      <c r="K34" s="69">
        <f>'مداولات 1'!Y36</f>
        <v>0</v>
      </c>
      <c r="L34" s="82">
        <f>'مداولات 1'!Z36</f>
        <v>0</v>
      </c>
      <c r="M34" s="69">
        <f>'مداولات 1'!AA36</f>
        <v>0</v>
      </c>
      <c r="N34" s="84">
        <f>'مداولات 1'!AB36</f>
        <v>0</v>
      </c>
      <c r="O34" s="69">
        <f>'مداولات 2'!G36</f>
        <v>0</v>
      </c>
      <c r="P34" s="82">
        <f>'مداولات 2'!H36</f>
        <v>0</v>
      </c>
      <c r="Q34" s="69">
        <f t="shared" si="2"/>
        <v>0</v>
      </c>
      <c r="R34" s="84">
        <f t="shared" si="3"/>
        <v>0</v>
      </c>
      <c r="S34" s="293">
        <f t="shared" si="0"/>
        <v>0</v>
      </c>
      <c r="T34" s="294">
        <f t="shared" si="1"/>
        <v>0</v>
      </c>
      <c r="U34" s="182" t="str">
        <f t="shared" si="4"/>
        <v>مؤجل</v>
      </c>
    </row>
    <row r="35" spans="1:21" ht="13.5" customHeight="1">
      <c r="A35" s="38">
        <v>28</v>
      </c>
      <c r="B35" s="142" t="str">
        <f>IF('كشف النقاط'!B35&gt;0,'كشف النقاط'!B35," ")</f>
        <v> </v>
      </c>
      <c r="C35" s="142" t="str">
        <f>IF('كشف النقاط'!C35&gt;0,'كشف النقاط'!C35," ")</f>
        <v> </v>
      </c>
      <c r="D35" s="244" t="str">
        <f>IF('كشف النقاط'!D35&gt;0,'كشف النقاط'!D35," ")</f>
        <v> </v>
      </c>
      <c r="E35" s="69">
        <f>'مداولات 1'!K37</f>
        <v>0</v>
      </c>
      <c r="F35" s="82">
        <f>'مداولات 1'!L37</f>
        <v>0</v>
      </c>
      <c r="G35" s="69">
        <f>'مداولات 1'!Q37</f>
        <v>0</v>
      </c>
      <c r="H35" s="82">
        <f>'مداولات 1'!R37</f>
        <v>0</v>
      </c>
      <c r="I35" s="69">
        <f>'مداولات 1'!U37</f>
        <v>0</v>
      </c>
      <c r="J35" s="82">
        <f>'مداولات 1'!V37</f>
        <v>0</v>
      </c>
      <c r="K35" s="69">
        <f>'مداولات 1'!Y37</f>
        <v>0</v>
      </c>
      <c r="L35" s="82">
        <f>'مداولات 1'!Z37</f>
        <v>0</v>
      </c>
      <c r="M35" s="69">
        <f>'مداولات 1'!AA37</f>
        <v>0</v>
      </c>
      <c r="N35" s="84">
        <f>'مداولات 1'!AB37</f>
        <v>0</v>
      </c>
      <c r="O35" s="69">
        <f>'مداولات 2'!G37</f>
        <v>0</v>
      </c>
      <c r="P35" s="82">
        <f>'مداولات 2'!H37</f>
        <v>0</v>
      </c>
      <c r="Q35" s="69">
        <f t="shared" si="2"/>
        <v>0</v>
      </c>
      <c r="R35" s="84">
        <f t="shared" si="3"/>
        <v>0</v>
      </c>
      <c r="S35" s="293">
        <f t="shared" si="0"/>
        <v>0</v>
      </c>
      <c r="T35" s="294">
        <f t="shared" si="1"/>
        <v>0</v>
      </c>
      <c r="U35" s="182" t="str">
        <f t="shared" si="4"/>
        <v>مؤجل</v>
      </c>
    </row>
    <row r="36" spans="1:21" ht="13.5" customHeight="1">
      <c r="A36" s="38">
        <v>29</v>
      </c>
      <c r="B36" s="142" t="str">
        <f>IF('كشف النقاط'!B36&gt;0,'كشف النقاط'!B36," ")</f>
        <v> </v>
      </c>
      <c r="C36" s="142" t="str">
        <f>IF('كشف النقاط'!C36&gt;0,'كشف النقاط'!C36," ")</f>
        <v> </v>
      </c>
      <c r="D36" s="244" t="str">
        <f>IF('كشف النقاط'!D36&gt;0,'كشف النقاط'!D36," ")</f>
        <v> </v>
      </c>
      <c r="E36" s="69">
        <f>'مداولات 1'!K38</f>
        <v>0</v>
      </c>
      <c r="F36" s="82">
        <f>'مداولات 1'!L38</f>
        <v>0</v>
      </c>
      <c r="G36" s="69">
        <f>'مداولات 1'!Q38</f>
        <v>0</v>
      </c>
      <c r="H36" s="82">
        <f>'مداولات 1'!R38</f>
        <v>0</v>
      </c>
      <c r="I36" s="69">
        <f>'مداولات 1'!U38</f>
        <v>0</v>
      </c>
      <c r="J36" s="82">
        <f>'مداولات 1'!V38</f>
        <v>0</v>
      </c>
      <c r="K36" s="69">
        <f>'مداولات 1'!Y38</f>
        <v>0</v>
      </c>
      <c r="L36" s="82">
        <f>'مداولات 1'!Z38</f>
        <v>0</v>
      </c>
      <c r="M36" s="69">
        <f>'مداولات 1'!AA38</f>
        <v>0</v>
      </c>
      <c r="N36" s="84">
        <f>'مداولات 1'!AB38</f>
        <v>0</v>
      </c>
      <c r="O36" s="69">
        <f>'مداولات 2'!G38</f>
        <v>0</v>
      </c>
      <c r="P36" s="82">
        <f>'مداولات 2'!H38</f>
        <v>0</v>
      </c>
      <c r="Q36" s="69">
        <f t="shared" si="2"/>
        <v>0</v>
      </c>
      <c r="R36" s="84">
        <f t="shared" si="3"/>
        <v>0</v>
      </c>
      <c r="S36" s="293">
        <f t="shared" si="0"/>
        <v>0</v>
      </c>
      <c r="T36" s="294">
        <f t="shared" si="1"/>
        <v>0</v>
      </c>
      <c r="U36" s="182" t="str">
        <f t="shared" si="4"/>
        <v>مؤجل</v>
      </c>
    </row>
    <row r="37" spans="1:21" ht="13.5" customHeight="1">
      <c r="A37" s="38">
        <v>30</v>
      </c>
      <c r="B37" s="142" t="str">
        <f>IF('كشف النقاط'!B37&gt;0,'كشف النقاط'!B37," ")</f>
        <v> </v>
      </c>
      <c r="C37" s="142" t="str">
        <f>IF('كشف النقاط'!C37&gt;0,'كشف النقاط'!C37," ")</f>
        <v> </v>
      </c>
      <c r="D37" s="244" t="str">
        <f>IF('كشف النقاط'!D37&gt;0,'كشف النقاط'!D37," ")</f>
        <v> </v>
      </c>
      <c r="E37" s="69">
        <f>'مداولات 1'!K39</f>
        <v>0</v>
      </c>
      <c r="F37" s="82">
        <f>'مداولات 1'!L39</f>
        <v>0</v>
      </c>
      <c r="G37" s="69">
        <f>'مداولات 1'!Q39</f>
        <v>0</v>
      </c>
      <c r="H37" s="82">
        <f>'مداولات 1'!R39</f>
        <v>0</v>
      </c>
      <c r="I37" s="69">
        <f>'مداولات 1'!U39</f>
        <v>0</v>
      </c>
      <c r="J37" s="82">
        <f>'مداولات 1'!V39</f>
        <v>0</v>
      </c>
      <c r="K37" s="69">
        <f>'مداولات 1'!Y39</f>
        <v>0</v>
      </c>
      <c r="L37" s="82">
        <f>'مداولات 1'!Z39</f>
        <v>0</v>
      </c>
      <c r="M37" s="69">
        <f>'مداولات 1'!AA39</f>
        <v>0</v>
      </c>
      <c r="N37" s="84">
        <f>'مداولات 1'!AB39</f>
        <v>0</v>
      </c>
      <c r="O37" s="69">
        <f>'مداولات 2'!G39</f>
        <v>0</v>
      </c>
      <c r="P37" s="82">
        <f>'مداولات 2'!H39</f>
        <v>0</v>
      </c>
      <c r="Q37" s="69">
        <f t="shared" si="2"/>
        <v>0</v>
      </c>
      <c r="R37" s="84">
        <f t="shared" si="3"/>
        <v>0</v>
      </c>
      <c r="S37" s="293">
        <f t="shared" si="0"/>
        <v>0</v>
      </c>
      <c r="T37" s="294">
        <f t="shared" si="1"/>
        <v>0</v>
      </c>
      <c r="U37" s="182" t="str">
        <f t="shared" si="4"/>
        <v>مؤجل</v>
      </c>
    </row>
    <row r="38" spans="1:21" ht="13.5" customHeight="1" hidden="1">
      <c r="A38" s="38">
        <v>31</v>
      </c>
      <c r="B38" s="142" t="str">
        <f>IF('كشف النقاط'!B38&gt;0,'كشف النقاط'!B38," ")</f>
        <v> </v>
      </c>
      <c r="C38" s="142" t="str">
        <f>IF('كشف النقاط'!C38&gt;0,'كشف النقاط'!C38," ")</f>
        <v> </v>
      </c>
      <c r="D38" s="244" t="str">
        <f>IF('كشف النقاط'!D38&gt;0,'كشف النقاط'!D38," ")</f>
        <v> </v>
      </c>
      <c r="E38" s="69">
        <f>'مداولات 1'!K40</f>
        <v>0</v>
      </c>
      <c r="F38" s="82">
        <f>'مداولات 1'!L40</f>
        <v>0</v>
      </c>
      <c r="G38" s="69">
        <f>'مداولات 1'!Q40</f>
        <v>0</v>
      </c>
      <c r="H38" s="82">
        <f>'مداولات 1'!R40</f>
        <v>0</v>
      </c>
      <c r="I38" s="69">
        <f>'مداولات 1'!U40</f>
        <v>0</v>
      </c>
      <c r="J38" s="82">
        <f>'مداولات 1'!V40</f>
        <v>0</v>
      </c>
      <c r="K38" s="69">
        <f>'مداولات 1'!Y40</f>
        <v>0</v>
      </c>
      <c r="L38" s="82">
        <f>'مداولات 1'!Z40</f>
        <v>0</v>
      </c>
      <c r="M38" s="69">
        <f>'مداولات 1'!AA40</f>
        <v>0</v>
      </c>
      <c r="N38" s="84">
        <f>'مداولات 1'!AB40</f>
        <v>0</v>
      </c>
      <c r="O38" s="69" t="e">
        <f>'مداولات 2'!G40</f>
        <v>#REF!</v>
      </c>
      <c r="P38" s="82" t="e">
        <f>'مداولات 2'!H40</f>
        <v>#REF!</v>
      </c>
      <c r="Q38" s="69" t="e">
        <f t="shared" si="2"/>
        <v>#REF!</v>
      </c>
      <c r="R38" s="84" t="e">
        <f t="shared" si="3"/>
        <v>#REF!</v>
      </c>
      <c r="S38" s="293" t="e">
        <f t="shared" si="0"/>
        <v>#REF!</v>
      </c>
      <c r="T38" s="294" t="e">
        <f t="shared" si="1"/>
        <v>#REF!</v>
      </c>
      <c r="U38" s="182" t="e">
        <f t="shared" si="4"/>
        <v>#REF!</v>
      </c>
    </row>
    <row r="39" spans="1:21" ht="13.5" customHeight="1" hidden="1">
      <c r="A39" s="38">
        <v>32</v>
      </c>
      <c r="B39" s="142" t="str">
        <f>IF('كشف النقاط'!B39&gt;0,'كشف النقاط'!B39," ")</f>
        <v> </v>
      </c>
      <c r="C39" s="142" t="str">
        <f>IF('كشف النقاط'!C39&gt;0,'كشف النقاط'!C39," ")</f>
        <v> </v>
      </c>
      <c r="D39" s="244" t="str">
        <f>IF('كشف النقاط'!D39&gt;0,'كشف النقاط'!D39," ")</f>
        <v> </v>
      </c>
      <c r="E39" s="69">
        <f>'مداولات 1'!K41</f>
        <v>0</v>
      </c>
      <c r="F39" s="82">
        <f>'مداولات 1'!L41</f>
        <v>0</v>
      </c>
      <c r="G39" s="69">
        <f>'مداولات 1'!Q41</f>
        <v>0</v>
      </c>
      <c r="H39" s="82">
        <f>'مداولات 1'!R41</f>
        <v>0</v>
      </c>
      <c r="I39" s="69">
        <f>'مداولات 1'!U41</f>
        <v>0</v>
      </c>
      <c r="J39" s="82">
        <f>'مداولات 1'!V41</f>
        <v>0</v>
      </c>
      <c r="K39" s="69">
        <f>'مداولات 1'!Y41</f>
        <v>0</v>
      </c>
      <c r="L39" s="82">
        <f>'مداولات 1'!Z41</f>
        <v>0</v>
      </c>
      <c r="M39" s="69">
        <f>'مداولات 1'!AA41</f>
        <v>0</v>
      </c>
      <c r="N39" s="84">
        <f>'مداولات 1'!AB41</f>
        <v>0</v>
      </c>
      <c r="O39" s="69" t="e">
        <f>'مداولات 2'!G41</f>
        <v>#REF!</v>
      </c>
      <c r="P39" s="82" t="e">
        <f>'مداولات 2'!H41</f>
        <v>#REF!</v>
      </c>
      <c r="Q39" s="69" t="e">
        <f t="shared" si="2"/>
        <v>#REF!</v>
      </c>
      <c r="R39" s="84" t="e">
        <f t="shared" si="3"/>
        <v>#REF!</v>
      </c>
      <c r="S39" s="293" t="e">
        <f t="shared" si="0"/>
        <v>#REF!</v>
      </c>
      <c r="T39" s="294" t="e">
        <f t="shared" si="1"/>
        <v>#REF!</v>
      </c>
      <c r="U39" s="182" t="e">
        <f t="shared" si="4"/>
        <v>#REF!</v>
      </c>
    </row>
    <row r="40" spans="2:19" ht="16.5" customHeight="1">
      <c r="B40" s="19"/>
      <c r="C40" s="19"/>
      <c r="D40" s="19"/>
      <c r="S40" s="252" t="s">
        <v>29</v>
      </c>
    </row>
    <row r="41" spans="1:20" ht="14.25" customHeight="1">
      <c r="A41" s="19" t="s">
        <v>19</v>
      </c>
      <c r="B41" s="19"/>
      <c r="C41" s="19"/>
      <c r="D41" s="19"/>
      <c r="Q41" s="10" t="s">
        <v>518</v>
      </c>
      <c r="R41" s="61"/>
      <c r="S41" s="61"/>
      <c r="T41" s="61"/>
    </row>
    <row r="42" spans="1:17" ht="14.25" customHeight="1">
      <c r="A42" s="19" t="s">
        <v>20</v>
      </c>
      <c r="B42" s="19"/>
      <c r="C42" s="19"/>
      <c r="D42" s="19"/>
      <c r="Q42" s="11" t="s">
        <v>28</v>
      </c>
    </row>
    <row r="43" spans="1:17" ht="14.25" customHeight="1">
      <c r="A43" s="19" t="s">
        <v>4</v>
      </c>
      <c r="B43" s="19"/>
      <c r="C43" s="19"/>
      <c r="D43" s="19"/>
      <c r="Q43" s="11" t="s">
        <v>21</v>
      </c>
    </row>
    <row r="44" spans="2:27" ht="25.5" customHeight="1">
      <c r="B44" s="19" t="s">
        <v>527</v>
      </c>
      <c r="C44" s="19"/>
      <c r="D44" s="19"/>
      <c r="J44" s="78" t="s">
        <v>118</v>
      </c>
      <c r="K44" s="78"/>
      <c r="L44" s="78"/>
      <c r="Q44" s="10" t="s">
        <v>79</v>
      </c>
      <c r="U44" s="4" t="s">
        <v>197</v>
      </c>
      <c r="W44" s="10"/>
      <c r="AA44" s="4"/>
    </row>
    <row r="45" spans="1:21" ht="18.75" customHeight="1">
      <c r="A45" s="12"/>
      <c r="B45" s="702" t="s">
        <v>163</v>
      </c>
      <c r="C45" s="702" t="s">
        <v>164</v>
      </c>
      <c r="D45" s="705" t="s">
        <v>84</v>
      </c>
      <c r="E45" s="754" t="s">
        <v>195</v>
      </c>
      <c r="F45" s="754"/>
      <c r="G45" s="754"/>
      <c r="H45" s="754"/>
      <c r="I45" s="754"/>
      <c r="J45" s="754"/>
      <c r="K45" s="754"/>
      <c r="L45" s="754"/>
      <c r="M45" s="754"/>
      <c r="N45" s="754"/>
      <c r="O45" s="754" t="s">
        <v>194</v>
      </c>
      <c r="P45" s="754"/>
      <c r="Q45" s="754"/>
      <c r="R45" s="754"/>
      <c r="S45" s="755" t="s">
        <v>44</v>
      </c>
      <c r="T45" s="756"/>
      <c r="U45" s="747" t="s">
        <v>24</v>
      </c>
    </row>
    <row r="46" spans="1:21" ht="12.75">
      <c r="A46" s="26" t="s">
        <v>9</v>
      </c>
      <c r="B46" s="703"/>
      <c r="C46" s="703"/>
      <c r="D46" s="706"/>
      <c r="E46" s="735" t="s">
        <v>40</v>
      </c>
      <c r="F46" s="735"/>
      <c r="G46" s="735" t="s">
        <v>41</v>
      </c>
      <c r="H46" s="735"/>
      <c r="I46" s="735" t="s">
        <v>42</v>
      </c>
      <c r="J46" s="735"/>
      <c r="K46" s="748" t="s">
        <v>91</v>
      </c>
      <c r="L46" s="749"/>
      <c r="M46" s="743" t="s">
        <v>43</v>
      </c>
      <c r="N46" s="743"/>
      <c r="O46" s="735" t="s">
        <v>40</v>
      </c>
      <c r="P46" s="735"/>
      <c r="Q46" s="743" t="s">
        <v>43</v>
      </c>
      <c r="R46" s="743"/>
      <c r="S46" s="757"/>
      <c r="T46" s="758"/>
      <c r="U46" s="747"/>
    </row>
    <row r="47" spans="1:21" ht="12.75">
      <c r="A47" s="53"/>
      <c r="B47" s="704"/>
      <c r="C47" s="704"/>
      <c r="D47" s="707"/>
      <c r="E47" s="7" t="s">
        <v>23</v>
      </c>
      <c r="F47" s="7" t="s">
        <v>26</v>
      </c>
      <c r="G47" s="7" t="s">
        <v>23</v>
      </c>
      <c r="H47" s="7" t="s">
        <v>26</v>
      </c>
      <c r="I47" s="7" t="s">
        <v>23</v>
      </c>
      <c r="J47" s="7" t="s">
        <v>26</v>
      </c>
      <c r="K47" s="7" t="s">
        <v>23</v>
      </c>
      <c r="L47" s="7" t="s">
        <v>26</v>
      </c>
      <c r="M47" s="83" t="s">
        <v>23</v>
      </c>
      <c r="N47" s="83" t="s">
        <v>26</v>
      </c>
      <c r="O47" s="7" t="s">
        <v>23</v>
      </c>
      <c r="P47" s="7" t="s">
        <v>26</v>
      </c>
      <c r="Q47" s="83" t="s">
        <v>23</v>
      </c>
      <c r="R47" s="83" t="s">
        <v>26</v>
      </c>
      <c r="S47" s="83" t="s">
        <v>23</v>
      </c>
      <c r="T47" s="83" t="s">
        <v>39</v>
      </c>
      <c r="U47" s="747"/>
    </row>
    <row r="48" spans="1:21" ht="14.25" customHeight="1">
      <c r="A48" s="179">
        <v>1</v>
      </c>
      <c r="B48" s="142" t="str">
        <f>IF('كشف النقاط'!B8&gt;0,'كشف النقاط'!B8," ")</f>
        <v>الحاج </v>
      </c>
      <c r="C48" s="142" t="str">
        <f>IF('كشف النقاط'!C8&gt;0,'كشف النقاط'!C8," ")</f>
        <v>مروة</v>
      </c>
      <c r="D48" s="244" t="str">
        <f>IF('كشف النقاط'!D8&gt;0,'كشف النقاط'!D8," ")</f>
        <v> </v>
      </c>
      <c r="E48" s="72">
        <f>'استدراك 1'!K10</f>
        <v>16.75</v>
      </c>
      <c r="F48" s="180">
        <f>'استدراك 1'!L10</f>
        <v>18</v>
      </c>
      <c r="G48" s="72">
        <f>'استدراك 1'!Q10</f>
        <v>14.725</v>
      </c>
      <c r="H48" s="180">
        <f>'استدراك 1'!R10</f>
        <v>9</v>
      </c>
      <c r="I48" s="72">
        <f>'استدراك 1'!Q10</f>
        <v>14.725</v>
      </c>
      <c r="J48" s="180">
        <f>'استدراك 1'!R10</f>
        <v>9</v>
      </c>
      <c r="K48" s="72">
        <f>'استدراك 1'!AA10</f>
        <v>15.6</v>
      </c>
      <c r="L48" s="180">
        <f>'استدراك 1'!AB10</f>
        <v>30</v>
      </c>
      <c r="M48" s="72">
        <f>'استدراك 1'!AA10</f>
        <v>15.6</v>
      </c>
      <c r="N48" s="84">
        <f>'استدراك 1'!AB10</f>
        <v>30</v>
      </c>
      <c r="O48" s="72">
        <f>'استدراك 2'!G10</f>
        <v>0</v>
      </c>
      <c r="P48" s="180">
        <f>'استدراك 2'!H10</f>
        <v>0</v>
      </c>
      <c r="Q48" s="72">
        <f>O48</f>
        <v>0</v>
      </c>
      <c r="R48" s="84">
        <f>P48</f>
        <v>0</v>
      </c>
      <c r="S48" s="72">
        <f aca="true" t="shared" si="5" ref="S48:S79">(Q48+M48)/2</f>
        <v>7.8</v>
      </c>
      <c r="T48" s="84">
        <f aca="true" t="shared" si="6" ref="T48:T79">N48+R48</f>
        <v>30</v>
      </c>
      <c r="U48" s="38" t="str">
        <f>IF(T48=60,"ناجح(ة)",IF(T48&gt;=45,"منتقل(ة)","راسب(ة)"))</f>
        <v>راسب(ة)</v>
      </c>
    </row>
    <row r="49" spans="1:21" ht="14.25" customHeight="1">
      <c r="A49" s="179">
        <v>2</v>
      </c>
      <c r="B49" s="142" t="str">
        <f>IF('كشف النقاط'!B9&gt;0,'كشف النقاط'!B9," ")</f>
        <v>العياشي </v>
      </c>
      <c r="C49" s="142" t="str">
        <f>IF('كشف النقاط'!C9&gt;0,'كشف النقاط'!C9," ")</f>
        <v>نوار</v>
      </c>
      <c r="D49" s="244" t="str">
        <f>IF('كشف النقاط'!D9&gt;0,'كشف النقاط'!D9," ")</f>
        <v> </v>
      </c>
      <c r="E49" s="72">
        <f>'استدراك 1'!K11</f>
        <v>5.678571428571429</v>
      </c>
      <c r="F49" s="180">
        <f>'استدراك 1'!L11</f>
        <v>0</v>
      </c>
      <c r="G49" s="72">
        <f>'استدراك 1'!Q11</f>
        <v>6.85</v>
      </c>
      <c r="H49" s="180">
        <f>'استدراك 1'!R11</f>
        <v>0</v>
      </c>
      <c r="I49" s="72">
        <f>'استدراك 1'!Q11</f>
        <v>6.85</v>
      </c>
      <c r="J49" s="180">
        <f>'استدراك 1'!R11</f>
        <v>0</v>
      </c>
      <c r="K49" s="72">
        <f>'استدراك 1'!AA11</f>
        <v>5.992857142857143</v>
      </c>
      <c r="L49" s="180">
        <f>'استدراك 1'!AB11</f>
        <v>0</v>
      </c>
      <c r="M49" s="72">
        <f>'استدراك 1'!AA11</f>
        <v>5.992857142857143</v>
      </c>
      <c r="N49" s="84">
        <f>'استدراك 1'!AB11</f>
        <v>0</v>
      </c>
      <c r="O49" s="72">
        <f>'استدراك 2'!G11</f>
        <v>0</v>
      </c>
      <c r="P49" s="180">
        <f>'استدراك 2'!H11</f>
        <v>0</v>
      </c>
      <c r="Q49" s="72">
        <f aca="true" t="shared" si="7" ref="Q49:Q77">O49</f>
        <v>0</v>
      </c>
      <c r="R49" s="84">
        <f aca="true" t="shared" si="8" ref="R49:R77">P49</f>
        <v>0</v>
      </c>
      <c r="S49" s="72">
        <f t="shared" si="5"/>
        <v>2.9964285714285714</v>
      </c>
      <c r="T49" s="84">
        <f t="shared" si="6"/>
        <v>0</v>
      </c>
      <c r="U49" s="38" t="str">
        <f aca="true" t="shared" si="9" ref="U49:U79">IF(T49=60,"ناجح(ة)",IF(T49&gt;=45,"منتقل(ة)","راسب(ة)"))</f>
        <v>راسب(ة)</v>
      </c>
    </row>
    <row r="50" spans="1:21" ht="14.25" customHeight="1">
      <c r="A50" s="179">
        <v>3</v>
      </c>
      <c r="B50" s="142" t="str">
        <f>IF('كشف النقاط'!B10&gt;0,'كشف النقاط'!B10," ")</f>
        <v>باطح </v>
      </c>
      <c r="C50" s="142" t="str">
        <f>IF('كشف النقاط'!C10&gt;0,'كشف النقاط'!C10," ")</f>
        <v>محمد لمين</v>
      </c>
      <c r="D50" s="244" t="str">
        <f>IF('كشف النقاط'!D10&gt;0,'كشف النقاط'!D10," ")</f>
        <v> </v>
      </c>
      <c r="E50" s="72">
        <f>'استدراك 1'!K12</f>
        <v>14.321428571428571</v>
      </c>
      <c r="F50" s="180">
        <f>'استدراك 1'!L12</f>
        <v>18</v>
      </c>
      <c r="G50" s="72">
        <f>'استدراك 1'!Q12</f>
        <v>11.475</v>
      </c>
      <c r="H50" s="180">
        <f>'استدراك 1'!R12</f>
        <v>9</v>
      </c>
      <c r="I50" s="72">
        <f>'استدراك 1'!Q12</f>
        <v>11.475</v>
      </c>
      <c r="J50" s="180">
        <f>'استدراك 1'!R12</f>
        <v>9</v>
      </c>
      <c r="K50" s="72">
        <f>'استدراك 1'!AA12</f>
        <v>12.921428571428573</v>
      </c>
      <c r="L50" s="180">
        <f>'استدراك 1'!AB12</f>
        <v>30</v>
      </c>
      <c r="M50" s="72">
        <f>'استدراك 1'!AA12</f>
        <v>12.921428571428573</v>
      </c>
      <c r="N50" s="84">
        <f>'استدراك 1'!AB12</f>
        <v>30</v>
      </c>
      <c r="O50" s="72">
        <f>'استدراك 2'!G12</f>
        <v>0</v>
      </c>
      <c r="P50" s="180">
        <f>'استدراك 2'!H12</f>
        <v>0</v>
      </c>
      <c r="Q50" s="72">
        <f t="shared" si="7"/>
        <v>0</v>
      </c>
      <c r="R50" s="84">
        <f t="shared" si="8"/>
        <v>0</v>
      </c>
      <c r="S50" s="72">
        <f t="shared" si="5"/>
        <v>6.460714285714286</v>
      </c>
      <c r="T50" s="84">
        <f t="shared" si="6"/>
        <v>30</v>
      </c>
      <c r="U50" s="38" t="str">
        <f t="shared" si="9"/>
        <v>راسب(ة)</v>
      </c>
    </row>
    <row r="51" spans="1:21" s="52" customFormat="1" ht="14.25" customHeight="1">
      <c r="A51" s="179">
        <v>4</v>
      </c>
      <c r="B51" s="142" t="str">
        <f>IF('كشف النقاط'!B11&gt;0,'كشف النقاط'!B11," ")</f>
        <v>بوساحة </v>
      </c>
      <c r="C51" s="142" t="str">
        <f>IF('كشف النقاط'!C11&gt;0,'كشف النقاط'!C11," ")</f>
        <v>حسام الدين</v>
      </c>
      <c r="D51" s="244" t="str">
        <f>IF('كشف النقاط'!D11&gt;0,'كشف النقاط'!D11," ")</f>
        <v> </v>
      </c>
      <c r="E51" s="72">
        <f>'استدراك 1'!K13</f>
        <v>8.535714285714286</v>
      </c>
      <c r="F51" s="180">
        <f>'استدراك 1'!L13</f>
        <v>7</v>
      </c>
      <c r="G51" s="72">
        <f>'استدراك 1'!Q13</f>
        <v>12.375</v>
      </c>
      <c r="H51" s="180">
        <f>'استدراك 1'!R13</f>
        <v>9</v>
      </c>
      <c r="I51" s="72">
        <f>'استدراك 1'!Q13</f>
        <v>12.375</v>
      </c>
      <c r="J51" s="180">
        <f>'استدراك 1'!R13</f>
        <v>9</v>
      </c>
      <c r="K51" s="72">
        <f>'استدراك 1'!AA13</f>
        <v>10.428571428571429</v>
      </c>
      <c r="L51" s="180">
        <f>'استدراك 1'!AB13</f>
        <v>30</v>
      </c>
      <c r="M51" s="72">
        <f>'استدراك 1'!AA13</f>
        <v>10.428571428571429</v>
      </c>
      <c r="N51" s="84">
        <f>'استدراك 1'!AB13</f>
        <v>30</v>
      </c>
      <c r="O51" s="72">
        <f>'استدراك 2'!G13</f>
        <v>0</v>
      </c>
      <c r="P51" s="180">
        <f>'استدراك 2'!H13</f>
        <v>0</v>
      </c>
      <c r="Q51" s="72">
        <f t="shared" si="7"/>
        <v>0</v>
      </c>
      <c r="R51" s="84">
        <f t="shared" si="8"/>
        <v>0</v>
      </c>
      <c r="S51" s="72">
        <f t="shared" si="5"/>
        <v>5.214285714285714</v>
      </c>
      <c r="T51" s="84">
        <f t="shared" si="6"/>
        <v>30</v>
      </c>
      <c r="U51" s="38" t="str">
        <f t="shared" si="9"/>
        <v>راسب(ة)</v>
      </c>
    </row>
    <row r="52" spans="1:21" s="52" customFormat="1" ht="14.25" customHeight="1">
      <c r="A52" s="179">
        <v>5</v>
      </c>
      <c r="B52" s="142" t="str">
        <f>IF('كشف النقاط'!B12&gt;0,'كشف النقاط'!B12," ")</f>
        <v>بوسالم </v>
      </c>
      <c r="C52" s="142" t="str">
        <f>IF('كشف النقاط'!C12&gt;0,'كشف النقاط'!C12," ")</f>
        <v>محمد وليد</v>
      </c>
      <c r="D52" s="244" t="str">
        <f>IF('كشف النقاط'!D12&gt;0,'كشف النقاط'!D12," ")</f>
        <v> </v>
      </c>
      <c r="E52" s="72">
        <f>'استدراك 1'!K14</f>
        <v>11.214285714285714</v>
      </c>
      <c r="F52" s="180">
        <f>'استدراك 1'!L14</f>
        <v>18</v>
      </c>
      <c r="G52" s="72">
        <f>'استدراك 1'!Q14</f>
        <v>11.9</v>
      </c>
      <c r="H52" s="180">
        <f>'استدراك 1'!R14</f>
        <v>9</v>
      </c>
      <c r="I52" s="72">
        <f>'استدراك 1'!Q14</f>
        <v>11.9</v>
      </c>
      <c r="J52" s="180">
        <f>'استدراك 1'!R14</f>
        <v>9</v>
      </c>
      <c r="K52" s="72">
        <f>'استدراك 1'!AA14</f>
        <v>10.953571428571427</v>
      </c>
      <c r="L52" s="180">
        <f>'استدراك 1'!AB14</f>
        <v>30</v>
      </c>
      <c r="M52" s="72">
        <f>'استدراك 1'!AA14</f>
        <v>10.953571428571427</v>
      </c>
      <c r="N52" s="84">
        <f>'استدراك 1'!AB14</f>
        <v>30</v>
      </c>
      <c r="O52" s="72">
        <f>'استدراك 2'!G14</f>
        <v>0</v>
      </c>
      <c r="P52" s="180">
        <f>'استدراك 2'!H14</f>
        <v>0</v>
      </c>
      <c r="Q52" s="72">
        <f t="shared" si="7"/>
        <v>0</v>
      </c>
      <c r="R52" s="84">
        <f t="shared" si="8"/>
        <v>0</v>
      </c>
      <c r="S52" s="72">
        <f t="shared" si="5"/>
        <v>5.476785714285714</v>
      </c>
      <c r="T52" s="84">
        <f t="shared" si="6"/>
        <v>30</v>
      </c>
      <c r="U52" s="38" t="str">
        <f t="shared" si="9"/>
        <v>راسب(ة)</v>
      </c>
    </row>
    <row r="53" spans="1:21" ht="14.25" customHeight="1">
      <c r="A53" s="179">
        <v>6</v>
      </c>
      <c r="B53" s="142" t="str">
        <f>IF('كشف النقاط'!B13&gt;0,'كشف النقاط'!B13," ")</f>
        <v>بوعروج </v>
      </c>
      <c r="C53" s="142" t="str">
        <f>IF('كشف النقاط'!C13&gt;0,'كشف النقاط'!C13," ")</f>
        <v>نسيمة</v>
      </c>
      <c r="D53" s="244" t="str">
        <f>IF('كشف النقاط'!D13&gt;0,'كشف النقاط'!D13," ")</f>
        <v> </v>
      </c>
      <c r="E53" s="72">
        <f>'استدراك 1'!K15</f>
        <v>10.928571428571429</v>
      </c>
      <c r="F53" s="180">
        <f>'استدراك 1'!L15</f>
        <v>18</v>
      </c>
      <c r="G53" s="72">
        <f>'استدراك 1'!Q15</f>
        <v>10.35</v>
      </c>
      <c r="H53" s="180">
        <f>'استدراك 1'!R15</f>
        <v>9</v>
      </c>
      <c r="I53" s="72">
        <f>'استدراك 1'!Q15</f>
        <v>10.35</v>
      </c>
      <c r="J53" s="180">
        <f>'استدراك 1'!R15</f>
        <v>9</v>
      </c>
      <c r="K53" s="72">
        <f>'استدراك 1'!AA15</f>
        <v>10.885714285714286</v>
      </c>
      <c r="L53" s="180">
        <f>'استدراك 1'!AB15</f>
        <v>30</v>
      </c>
      <c r="M53" s="72">
        <f>'استدراك 1'!AA15</f>
        <v>10.885714285714286</v>
      </c>
      <c r="N53" s="84">
        <f>'استدراك 1'!AB15</f>
        <v>30</v>
      </c>
      <c r="O53" s="72">
        <f>'استدراك 2'!G15</f>
        <v>0</v>
      </c>
      <c r="P53" s="180">
        <f>'استدراك 2'!H15</f>
        <v>0</v>
      </c>
      <c r="Q53" s="72">
        <f t="shared" si="7"/>
        <v>0</v>
      </c>
      <c r="R53" s="84">
        <f t="shared" si="8"/>
        <v>0</v>
      </c>
      <c r="S53" s="72">
        <f t="shared" si="5"/>
        <v>5.442857142857143</v>
      </c>
      <c r="T53" s="84">
        <f t="shared" si="6"/>
        <v>30</v>
      </c>
      <c r="U53" s="38" t="str">
        <f t="shared" si="9"/>
        <v>راسب(ة)</v>
      </c>
    </row>
    <row r="54" spans="1:21" ht="14.25" customHeight="1">
      <c r="A54" s="179">
        <v>7</v>
      </c>
      <c r="B54" s="142" t="str">
        <f>IF('كشف النقاط'!B14&gt;0,'كشف النقاط'!B14," ")</f>
        <v>بولعيد </v>
      </c>
      <c r="C54" s="142" t="str">
        <f>IF('كشف النقاط'!C14&gt;0,'كشف النقاط'!C14," ")</f>
        <v>مريم</v>
      </c>
      <c r="D54" s="244" t="str">
        <f>IF('كشف النقاط'!D14&gt;0,'كشف النقاط'!D14," ")</f>
        <v> </v>
      </c>
      <c r="E54" s="72">
        <f>'استدراك 1'!K16</f>
        <v>9.464285714285714</v>
      </c>
      <c r="F54" s="180">
        <f>'استدراك 1'!L16</f>
        <v>7</v>
      </c>
      <c r="G54" s="72">
        <f>'استدراك 1'!Q16</f>
        <v>7.125</v>
      </c>
      <c r="H54" s="180">
        <f>'استدراك 1'!R16</f>
        <v>0</v>
      </c>
      <c r="I54" s="72">
        <f>'استدراك 1'!Q16</f>
        <v>7.125</v>
      </c>
      <c r="J54" s="180">
        <f>'استدراك 1'!R16</f>
        <v>0</v>
      </c>
      <c r="K54" s="72">
        <f>'استدراك 1'!AA16</f>
        <v>9.160714285714286</v>
      </c>
      <c r="L54" s="180">
        <f>'استدراك 1'!AB16</f>
        <v>9</v>
      </c>
      <c r="M54" s="72">
        <f>'استدراك 1'!AA16</f>
        <v>9.160714285714286</v>
      </c>
      <c r="N54" s="84">
        <f>'استدراك 1'!AB16</f>
        <v>9</v>
      </c>
      <c r="O54" s="72">
        <f>'استدراك 2'!G16</f>
        <v>0</v>
      </c>
      <c r="P54" s="180">
        <f>'استدراك 2'!H16</f>
        <v>0</v>
      </c>
      <c r="Q54" s="72">
        <f t="shared" si="7"/>
        <v>0</v>
      </c>
      <c r="R54" s="84">
        <f t="shared" si="8"/>
        <v>0</v>
      </c>
      <c r="S54" s="72">
        <f t="shared" si="5"/>
        <v>4.580357142857143</v>
      </c>
      <c r="T54" s="84">
        <f t="shared" si="6"/>
        <v>9</v>
      </c>
      <c r="U54" s="38" t="str">
        <f t="shared" si="9"/>
        <v>راسب(ة)</v>
      </c>
    </row>
    <row r="55" spans="1:21" ht="14.25" customHeight="1">
      <c r="A55" s="179">
        <v>8</v>
      </c>
      <c r="B55" s="142" t="str">
        <f>IF('كشف النقاط'!B15&gt;0,'كشف النقاط'!B15," ")</f>
        <v>خاوة </v>
      </c>
      <c r="C55" s="142" t="str">
        <f>IF('كشف النقاط'!C15&gt;0,'كشف النقاط'!C15," ")</f>
        <v>أسماء</v>
      </c>
      <c r="D55" s="244" t="str">
        <f>IF('كشف النقاط'!D15&gt;0,'كشف النقاط'!D15," ")</f>
        <v> </v>
      </c>
      <c r="E55" s="72">
        <f>'استدراك 1'!K17</f>
        <v>10.892857142857142</v>
      </c>
      <c r="F55" s="180">
        <f>'استدراك 1'!L17</f>
        <v>18</v>
      </c>
      <c r="G55" s="72">
        <f>'استدراك 1'!Q17</f>
        <v>10.25</v>
      </c>
      <c r="H55" s="180">
        <f>'استدراك 1'!R17</f>
        <v>9</v>
      </c>
      <c r="I55" s="72">
        <f>'استدراك 1'!Q17</f>
        <v>10.25</v>
      </c>
      <c r="J55" s="180">
        <f>'استدراك 1'!R17</f>
        <v>9</v>
      </c>
      <c r="K55" s="72">
        <f>'استدراك 1'!AA17</f>
        <v>10.803571428571429</v>
      </c>
      <c r="L55" s="180">
        <f>'استدراك 1'!AB17</f>
        <v>30</v>
      </c>
      <c r="M55" s="72">
        <f>'استدراك 1'!AA17</f>
        <v>10.803571428571429</v>
      </c>
      <c r="N55" s="84">
        <f>'استدراك 1'!AB17</f>
        <v>30</v>
      </c>
      <c r="O55" s="72">
        <f>'استدراك 2'!G17</f>
        <v>0</v>
      </c>
      <c r="P55" s="180">
        <f>'استدراك 2'!H17</f>
        <v>0</v>
      </c>
      <c r="Q55" s="72">
        <f t="shared" si="7"/>
        <v>0</v>
      </c>
      <c r="R55" s="84">
        <f t="shared" si="8"/>
        <v>0</v>
      </c>
      <c r="S55" s="72">
        <f t="shared" si="5"/>
        <v>5.401785714285714</v>
      </c>
      <c r="T55" s="84">
        <f t="shared" si="6"/>
        <v>30</v>
      </c>
      <c r="U55" s="38" t="str">
        <f t="shared" si="9"/>
        <v>راسب(ة)</v>
      </c>
    </row>
    <row r="56" spans="1:21" ht="14.25" customHeight="1">
      <c r="A56" s="179">
        <v>9</v>
      </c>
      <c r="B56" s="142" t="str">
        <f>IF('كشف النقاط'!B16&gt;0,'كشف النقاط'!B16," ")</f>
        <v>زغلاني </v>
      </c>
      <c r="C56" s="142" t="str">
        <f>IF('كشف النقاط'!C16&gt;0,'كشف النقاط'!C16," ")</f>
        <v>ساعد</v>
      </c>
      <c r="D56" s="244" t="str">
        <f>IF('كشف النقاط'!D16&gt;0,'كشف النقاط'!D16," ")</f>
        <v> </v>
      </c>
      <c r="E56" s="72">
        <f>'استدراك 1'!K18</f>
        <v>9.5</v>
      </c>
      <c r="F56" s="180">
        <f>'استدراك 1'!L18</f>
        <v>12</v>
      </c>
      <c r="G56" s="72">
        <f>'استدراك 1'!Q18</f>
        <v>9.5</v>
      </c>
      <c r="H56" s="180">
        <f>'استدراك 1'!R18</f>
        <v>4</v>
      </c>
      <c r="I56" s="72">
        <f>'استدراك 1'!Q18</f>
        <v>9.5</v>
      </c>
      <c r="J56" s="180">
        <f>'استدراك 1'!R18</f>
        <v>4</v>
      </c>
      <c r="K56" s="72">
        <f>'استدراك 1'!AA18</f>
        <v>9.857142857142858</v>
      </c>
      <c r="L56" s="180">
        <f>'استدراك 1'!AB18</f>
        <v>18</v>
      </c>
      <c r="M56" s="72">
        <f>'استدراك 1'!AA18</f>
        <v>9.857142857142858</v>
      </c>
      <c r="N56" s="84">
        <f>'استدراك 1'!AB18</f>
        <v>18</v>
      </c>
      <c r="O56" s="72">
        <f>'استدراك 2'!G18</f>
        <v>0</v>
      </c>
      <c r="P56" s="180">
        <f>'استدراك 2'!H18</f>
        <v>0</v>
      </c>
      <c r="Q56" s="72">
        <f t="shared" si="7"/>
        <v>0</v>
      </c>
      <c r="R56" s="84">
        <f t="shared" si="8"/>
        <v>0</v>
      </c>
      <c r="S56" s="72">
        <f t="shared" si="5"/>
        <v>4.928571428571429</v>
      </c>
      <c r="T56" s="84">
        <f t="shared" si="6"/>
        <v>18</v>
      </c>
      <c r="U56" s="38" t="str">
        <f t="shared" si="9"/>
        <v>راسب(ة)</v>
      </c>
    </row>
    <row r="57" spans="1:21" ht="14.25" customHeight="1">
      <c r="A57" s="179">
        <v>10</v>
      </c>
      <c r="B57" s="142" t="str">
        <f>IF('كشف النقاط'!B17&gt;0,'كشف النقاط'!B17," ")</f>
        <v>زياني </v>
      </c>
      <c r="C57" s="142" t="str">
        <f>IF('كشف النقاط'!C17&gt;0,'كشف النقاط'!C17," ")</f>
        <v>أميرة</v>
      </c>
      <c r="D57" s="244" t="str">
        <f>IF('كشف النقاط'!D17&gt;0,'كشف النقاط'!D17," ")</f>
        <v> </v>
      </c>
      <c r="E57" s="72">
        <f>'استدراك 1'!K19</f>
        <v>11.357142857142858</v>
      </c>
      <c r="F57" s="180">
        <f>'استدراك 1'!L19</f>
        <v>18</v>
      </c>
      <c r="G57" s="72">
        <f>'استدراك 1'!Q19</f>
        <v>10.25</v>
      </c>
      <c r="H57" s="180">
        <f>'استدراك 1'!R19</f>
        <v>9</v>
      </c>
      <c r="I57" s="72">
        <f>'استدراك 1'!Q19</f>
        <v>10.25</v>
      </c>
      <c r="J57" s="180">
        <f>'استدراك 1'!R19</f>
        <v>9</v>
      </c>
      <c r="K57" s="72">
        <f>'استدراك 1'!AA19</f>
        <v>11.232142857142858</v>
      </c>
      <c r="L57" s="180">
        <f>'استدراك 1'!AB19</f>
        <v>30</v>
      </c>
      <c r="M57" s="72">
        <f>'استدراك 1'!AA19</f>
        <v>11.232142857142858</v>
      </c>
      <c r="N57" s="84">
        <f>'استدراك 1'!AB19</f>
        <v>30</v>
      </c>
      <c r="O57" s="72">
        <f>'استدراك 2'!G19</f>
        <v>0</v>
      </c>
      <c r="P57" s="180">
        <f>'استدراك 2'!H19</f>
        <v>0</v>
      </c>
      <c r="Q57" s="72">
        <f t="shared" si="7"/>
        <v>0</v>
      </c>
      <c r="R57" s="84">
        <f t="shared" si="8"/>
        <v>0</v>
      </c>
      <c r="S57" s="72">
        <f t="shared" si="5"/>
        <v>5.616071428571429</v>
      </c>
      <c r="T57" s="84">
        <f t="shared" si="6"/>
        <v>30</v>
      </c>
      <c r="U57" s="38" t="str">
        <f t="shared" si="9"/>
        <v>راسب(ة)</v>
      </c>
    </row>
    <row r="58" spans="1:21" ht="14.25" customHeight="1">
      <c r="A58" s="179">
        <v>11</v>
      </c>
      <c r="B58" s="142" t="str">
        <f>IF('كشف النقاط'!B18&gt;0,'كشف النقاط'!B18," ")</f>
        <v>شلابي </v>
      </c>
      <c r="C58" s="142" t="str">
        <f>IF('كشف النقاط'!C18&gt;0,'كشف النقاط'!C18," ")</f>
        <v>هاجر</v>
      </c>
      <c r="D58" s="244" t="str">
        <f>IF('كشف النقاط'!D18&gt;0,'كشف النقاط'!D18," ")</f>
        <v> </v>
      </c>
      <c r="E58" s="72">
        <f>'استدراك 1'!K20</f>
        <v>12.285714285714286</v>
      </c>
      <c r="F58" s="180">
        <f>'استدراك 1'!L20</f>
        <v>18</v>
      </c>
      <c r="G58" s="72">
        <f>'استدراك 1'!Q20</f>
        <v>10.3</v>
      </c>
      <c r="H58" s="180">
        <f>'استدراك 1'!R20</f>
        <v>9</v>
      </c>
      <c r="I58" s="72">
        <f>'استدراك 1'!Q20</f>
        <v>10.3</v>
      </c>
      <c r="J58" s="180">
        <f>'استدراك 1'!R20</f>
        <v>9</v>
      </c>
      <c r="K58" s="72">
        <f>'استدراك 1'!AA20</f>
        <v>11.228571428571428</v>
      </c>
      <c r="L58" s="180">
        <f>'استدراك 1'!AB20</f>
        <v>30</v>
      </c>
      <c r="M58" s="72">
        <f>'استدراك 1'!AA20</f>
        <v>11.228571428571428</v>
      </c>
      <c r="N58" s="84">
        <f>'استدراك 1'!AB20</f>
        <v>30</v>
      </c>
      <c r="O58" s="72">
        <f>'استدراك 2'!G20</f>
        <v>0</v>
      </c>
      <c r="P58" s="180">
        <f>'استدراك 2'!H20</f>
        <v>0</v>
      </c>
      <c r="Q58" s="72">
        <f t="shared" si="7"/>
        <v>0</v>
      </c>
      <c r="R58" s="84">
        <f t="shared" si="8"/>
        <v>0</v>
      </c>
      <c r="S58" s="72">
        <f t="shared" si="5"/>
        <v>5.614285714285714</v>
      </c>
      <c r="T58" s="84">
        <f t="shared" si="6"/>
        <v>30</v>
      </c>
      <c r="U58" s="38" t="str">
        <f t="shared" si="9"/>
        <v>راسب(ة)</v>
      </c>
    </row>
    <row r="59" spans="1:21" ht="14.25" customHeight="1">
      <c r="A59" s="179">
        <v>12</v>
      </c>
      <c r="B59" s="142" t="str">
        <f>IF('كشف النقاط'!B19&gt;0,'كشف النقاط'!B19," ")</f>
        <v>صولي </v>
      </c>
      <c r="C59" s="142" t="str">
        <f>IF('كشف النقاط'!C19&gt;0,'كشف النقاط'!C19," ")</f>
        <v>هشام</v>
      </c>
      <c r="D59" s="244" t="str">
        <f>IF('كشف النقاط'!D19&gt;0,'كشف النقاط'!D19," ")</f>
        <v> </v>
      </c>
      <c r="E59" s="72">
        <f>'استدراك 1'!K21</f>
        <v>11.5</v>
      </c>
      <c r="F59" s="180">
        <f>'استدراك 1'!L21</f>
        <v>18</v>
      </c>
      <c r="G59" s="72">
        <f>'استدراك 1'!Q21</f>
        <v>9.25</v>
      </c>
      <c r="H59" s="180">
        <f>'استدراك 1'!R21</f>
        <v>4</v>
      </c>
      <c r="I59" s="72">
        <f>'استدراك 1'!Q21</f>
        <v>9.25</v>
      </c>
      <c r="J59" s="180">
        <f>'استدراك 1'!R21</f>
        <v>4</v>
      </c>
      <c r="K59" s="72">
        <f>'استدراك 1'!AA21</f>
        <v>10.714285714285714</v>
      </c>
      <c r="L59" s="180">
        <f>'استدراك 1'!AB21</f>
        <v>30</v>
      </c>
      <c r="M59" s="72">
        <f>'استدراك 1'!AA21</f>
        <v>10.714285714285714</v>
      </c>
      <c r="N59" s="84">
        <f>'استدراك 1'!AB21</f>
        <v>30</v>
      </c>
      <c r="O59" s="72">
        <f>'استدراك 2'!G21</f>
        <v>0</v>
      </c>
      <c r="P59" s="180">
        <f>'استدراك 2'!H21</f>
        <v>0</v>
      </c>
      <c r="Q59" s="72">
        <f t="shared" si="7"/>
        <v>0</v>
      </c>
      <c r="R59" s="84">
        <f t="shared" si="8"/>
        <v>0</v>
      </c>
      <c r="S59" s="72">
        <f t="shared" si="5"/>
        <v>5.357142857142857</v>
      </c>
      <c r="T59" s="84">
        <f t="shared" si="6"/>
        <v>30</v>
      </c>
      <c r="U59" s="38" t="str">
        <f t="shared" si="9"/>
        <v>راسب(ة)</v>
      </c>
    </row>
    <row r="60" spans="1:21" ht="14.25" customHeight="1">
      <c r="A60" s="179">
        <v>13</v>
      </c>
      <c r="B60" s="142" t="str">
        <f>IF('كشف النقاط'!B20&gt;0,'كشف النقاط'!B20," ")</f>
        <v>عطيل</v>
      </c>
      <c r="C60" s="142" t="str">
        <f>IF('كشف النقاط'!C20&gt;0,'كشف النقاط'!C20," ")</f>
        <v>آسيا</v>
      </c>
      <c r="D60" s="244" t="str">
        <f>IF('كشف النقاط'!D20&gt;0,'كشف النقاط'!D20," ")</f>
        <v> </v>
      </c>
      <c r="E60" s="72">
        <f>'استدراك 1'!K22</f>
        <v>16.071428571428573</v>
      </c>
      <c r="F60" s="180">
        <f>'استدراك 1'!L22</f>
        <v>18</v>
      </c>
      <c r="G60" s="72">
        <f>'استدراك 1'!Q22</f>
        <v>15.725</v>
      </c>
      <c r="H60" s="180">
        <f>'استدراك 1'!R22</f>
        <v>9</v>
      </c>
      <c r="I60" s="72">
        <f>'استدراك 1'!Q22</f>
        <v>15.725</v>
      </c>
      <c r="J60" s="180">
        <f>'استدراك 1'!R22</f>
        <v>9</v>
      </c>
      <c r="K60" s="72">
        <f>'استدراك 1'!AA22</f>
        <v>15.510714285714286</v>
      </c>
      <c r="L60" s="180">
        <f>'استدراك 1'!AB22</f>
        <v>30</v>
      </c>
      <c r="M60" s="72">
        <f>'استدراك 1'!AA22</f>
        <v>15.510714285714286</v>
      </c>
      <c r="N60" s="84">
        <f>'استدراك 1'!AB22</f>
        <v>30</v>
      </c>
      <c r="O60" s="72">
        <f>'استدراك 2'!G22</f>
        <v>0</v>
      </c>
      <c r="P60" s="180">
        <f>'استدراك 2'!H22</f>
        <v>0</v>
      </c>
      <c r="Q60" s="72">
        <f t="shared" si="7"/>
        <v>0</v>
      </c>
      <c r="R60" s="84">
        <f t="shared" si="8"/>
        <v>0</v>
      </c>
      <c r="S60" s="72">
        <f t="shared" si="5"/>
        <v>7.755357142857143</v>
      </c>
      <c r="T60" s="84">
        <f t="shared" si="6"/>
        <v>30</v>
      </c>
      <c r="U60" s="38" t="str">
        <f t="shared" si="9"/>
        <v>راسب(ة)</v>
      </c>
    </row>
    <row r="61" spans="1:21" ht="14.25" customHeight="1">
      <c r="A61" s="179">
        <v>14</v>
      </c>
      <c r="B61" s="142" t="str">
        <f>IF('كشف النقاط'!B21&gt;0,'كشف النقاط'!B21," ")</f>
        <v>عيدود </v>
      </c>
      <c r="C61" s="142" t="str">
        <f>IF('كشف النقاط'!C21&gt;0,'كشف النقاط'!C21," ")</f>
        <v>صبرينة</v>
      </c>
      <c r="D61" s="244" t="str">
        <f>IF('كشف النقاط'!D21&gt;0,'كشف النقاط'!D21," ")</f>
        <v> </v>
      </c>
      <c r="E61" s="72">
        <f>'استدراك 1'!K23</f>
        <v>9.321428571428571</v>
      </c>
      <c r="F61" s="180">
        <f>'استدراك 1'!L23</f>
        <v>7</v>
      </c>
      <c r="G61" s="72">
        <f>'استدراك 1'!Q23</f>
        <v>9.6</v>
      </c>
      <c r="H61" s="180">
        <f>'استدراك 1'!R23</f>
        <v>4</v>
      </c>
      <c r="I61" s="72">
        <f>'استدراك 1'!Q23</f>
        <v>9.6</v>
      </c>
      <c r="J61" s="180">
        <f>'استدراك 1'!R23</f>
        <v>4</v>
      </c>
      <c r="K61" s="72">
        <f>'استدراك 1'!AA23</f>
        <v>9.492857142857144</v>
      </c>
      <c r="L61" s="180">
        <f>'استدراك 1'!AB23</f>
        <v>13</v>
      </c>
      <c r="M61" s="72">
        <f>'استدراك 1'!AA23</f>
        <v>9.492857142857144</v>
      </c>
      <c r="N61" s="84">
        <f>'استدراك 1'!AB23</f>
        <v>13</v>
      </c>
      <c r="O61" s="72">
        <f>'استدراك 2'!G23</f>
        <v>0</v>
      </c>
      <c r="P61" s="180">
        <f>'استدراك 2'!H23</f>
        <v>0</v>
      </c>
      <c r="Q61" s="72">
        <f t="shared" si="7"/>
        <v>0</v>
      </c>
      <c r="R61" s="84">
        <f t="shared" si="8"/>
        <v>0</v>
      </c>
      <c r="S61" s="72">
        <f t="shared" si="5"/>
        <v>4.746428571428572</v>
      </c>
      <c r="T61" s="84">
        <f t="shared" si="6"/>
        <v>13</v>
      </c>
      <c r="U61" s="38" t="str">
        <f t="shared" si="9"/>
        <v>راسب(ة)</v>
      </c>
    </row>
    <row r="62" spans="1:21" s="52" customFormat="1" ht="14.25" customHeight="1">
      <c r="A62" s="179">
        <v>15</v>
      </c>
      <c r="B62" s="142" t="str">
        <f>IF('كشف النقاط'!B22&gt;0,'كشف النقاط'!B22," ")</f>
        <v>قايدي </v>
      </c>
      <c r="C62" s="142" t="str">
        <f>IF('كشف النقاط'!C22&gt;0,'كشف النقاط'!C22," ")</f>
        <v>مريم</v>
      </c>
      <c r="D62" s="244" t="str">
        <f>IF('كشف النقاط'!D22&gt;0,'كشف النقاط'!D22," ")</f>
        <v> </v>
      </c>
      <c r="E62" s="72">
        <f>'استدراك 1'!K24</f>
        <v>12.464285714285714</v>
      </c>
      <c r="F62" s="180">
        <f>'استدراك 1'!L24</f>
        <v>18</v>
      </c>
      <c r="G62" s="72">
        <f>'استدراك 1'!Q24</f>
        <v>11.625</v>
      </c>
      <c r="H62" s="180">
        <f>'استدراك 1'!R24</f>
        <v>9</v>
      </c>
      <c r="I62" s="72">
        <f>'استدراك 1'!Q24</f>
        <v>11.625</v>
      </c>
      <c r="J62" s="180">
        <f>'استدراك 1'!R24</f>
        <v>9</v>
      </c>
      <c r="K62" s="72">
        <f>'استدراك 1'!AA24</f>
        <v>11.5</v>
      </c>
      <c r="L62" s="180">
        <f>'استدراك 1'!AB24</f>
        <v>30</v>
      </c>
      <c r="M62" s="72">
        <f>'استدراك 1'!AA24</f>
        <v>11.5</v>
      </c>
      <c r="N62" s="84">
        <f>'استدراك 1'!AB24</f>
        <v>30</v>
      </c>
      <c r="O62" s="72">
        <f>'استدراك 2'!G24</f>
        <v>0</v>
      </c>
      <c r="P62" s="180">
        <f>'استدراك 2'!H24</f>
        <v>0</v>
      </c>
      <c r="Q62" s="72">
        <f t="shared" si="7"/>
        <v>0</v>
      </c>
      <c r="R62" s="84">
        <f t="shared" si="8"/>
        <v>0</v>
      </c>
      <c r="S62" s="72">
        <f t="shared" si="5"/>
        <v>5.75</v>
      </c>
      <c r="T62" s="84">
        <f t="shared" si="6"/>
        <v>30</v>
      </c>
      <c r="U62" s="38" t="str">
        <f t="shared" si="9"/>
        <v>راسب(ة)</v>
      </c>
    </row>
    <row r="63" spans="1:21" s="52" customFormat="1" ht="14.25" customHeight="1">
      <c r="A63" s="179">
        <v>16</v>
      </c>
      <c r="B63" s="142" t="str">
        <f>IF('كشف النقاط'!B23&gt;0,'كشف النقاط'!B23," ")</f>
        <v>قرايفية </v>
      </c>
      <c r="C63" s="142" t="str">
        <f>IF('كشف النقاط'!C23&gt;0,'كشف النقاط'!C23," ")</f>
        <v>فؤاد</v>
      </c>
      <c r="D63" s="244" t="str">
        <f>IF('كشف النقاط'!D23&gt;0,'كشف النقاط'!D23," ")</f>
        <v> </v>
      </c>
      <c r="E63" s="72">
        <f>'استدراك 1'!K25</f>
        <v>11.392857142857142</v>
      </c>
      <c r="F63" s="180">
        <f>'استدراك 1'!L25</f>
        <v>18</v>
      </c>
      <c r="G63" s="72">
        <f>'استدراك 1'!Q25</f>
        <v>12.425</v>
      </c>
      <c r="H63" s="180">
        <f>'استدراك 1'!R25</f>
        <v>9</v>
      </c>
      <c r="I63" s="72">
        <f>'استدراك 1'!Q25</f>
        <v>12.425</v>
      </c>
      <c r="J63" s="180">
        <f>'استدراك 1'!R25</f>
        <v>9</v>
      </c>
      <c r="K63" s="72">
        <f>'استدراك 1'!AA25</f>
        <v>11.532142857142857</v>
      </c>
      <c r="L63" s="180">
        <f>'استدراك 1'!AB25</f>
        <v>30</v>
      </c>
      <c r="M63" s="72">
        <f>'استدراك 1'!AA25</f>
        <v>11.532142857142857</v>
      </c>
      <c r="N63" s="84">
        <f>'استدراك 1'!AB25</f>
        <v>30</v>
      </c>
      <c r="O63" s="72">
        <f>'استدراك 2'!G25</f>
        <v>0</v>
      </c>
      <c r="P63" s="180">
        <f>'استدراك 2'!H25</f>
        <v>0</v>
      </c>
      <c r="Q63" s="72">
        <f t="shared" si="7"/>
        <v>0</v>
      </c>
      <c r="R63" s="84">
        <f t="shared" si="8"/>
        <v>0</v>
      </c>
      <c r="S63" s="72">
        <f t="shared" si="5"/>
        <v>5.766071428571428</v>
      </c>
      <c r="T63" s="84">
        <f t="shared" si="6"/>
        <v>30</v>
      </c>
      <c r="U63" s="38" t="str">
        <f t="shared" si="9"/>
        <v>راسب(ة)</v>
      </c>
    </row>
    <row r="64" spans="1:21" s="52" customFormat="1" ht="14.25" customHeight="1">
      <c r="A64" s="179">
        <v>17</v>
      </c>
      <c r="B64" s="142" t="str">
        <f>IF('كشف النقاط'!B24&gt;0,'كشف النقاط'!B24," ")</f>
        <v>قوادرية</v>
      </c>
      <c r="C64" s="142" t="str">
        <f>IF('كشف النقاط'!C24&gt;0,'كشف النقاط'!C24," ")</f>
        <v>مريم</v>
      </c>
      <c r="D64" s="244" t="str">
        <f>IF('كشف النقاط'!D24&gt;0,'كشف النقاط'!D24," ")</f>
        <v> </v>
      </c>
      <c r="E64" s="72">
        <f>'استدراك 1'!K26</f>
        <v>16.892857142857142</v>
      </c>
      <c r="F64" s="180">
        <f>'استدراك 1'!L26</f>
        <v>18</v>
      </c>
      <c r="G64" s="72">
        <f>'استدراك 1'!Q26</f>
        <v>16.45</v>
      </c>
      <c r="H64" s="180">
        <f>'استدراك 1'!R26</f>
        <v>9</v>
      </c>
      <c r="I64" s="72">
        <f>'استدراك 1'!Q26</f>
        <v>16.45</v>
      </c>
      <c r="J64" s="180">
        <f>'استدراك 1'!R26</f>
        <v>9</v>
      </c>
      <c r="K64" s="72">
        <f>'استدراك 1'!AA26</f>
        <v>16.217857142857145</v>
      </c>
      <c r="L64" s="180">
        <f>'استدراك 1'!AB26</f>
        <v>30</v>
      </c>
      <c r="M64" s="72">
        <f>'استدراك 1'!AA26</f>
        <v>16.217857142857145</v>
      </c>
      <c r="N64" s="84">
        <f>'استدراك 1'!AB26</f>
        <v>30</v>
      </c>
      <c r="O64" s="72">
        <f>'استدراك 2'!G26</f>
        <v>0</v>
      </c>
      <c r="P64" s="180">
        <f>'استدراك 2'!H26</f>
        <v>0</v>
      </c>
      <c r="Q64" s="72">
        <f t="shared" si="7"/>
        <v>0</v>
      </c>
      <c r="R64" s="84">
        <f t="shared" si="8"/>
        <v>0</v>
      </c>
      <c r="S64" s="72">
        <f t="shared" si="5"/>
        <v>8.108928571428573</v>
      </c>
      <c r="T64" s="84">
        <f t="shared" si="6"/>
        <v>30</v>
      </c>
      <c r="U64" s="38" t="str">
        <f t="shared" si="9"/>
        <v>راسب(ة)</v>
      </c>
    </row>
    <row r="65" spans="1:21" s="52" customFormat="1" ht="14.25" customHeight="1">
      <c r="A65" s="179">
        <v>18</v>
      </c>
      <c r="B65" s="142" t="str">
        <f>IF('كشف النقاط'!B25&gt;0,'كشف النقاط'!B25," ")</f>
        <v>محفوظ </v>
      </c>
      <c r="C65" s="142" t="str">
        <f>IF('كشف النقاط'!C25&gt;0,'كشف النقاط'!C25," ")</f>
        <v>بشرى</v>
      </c>
      <c r="D65" s="244" t="str">
        <f>IF('كشف النقاط'!D25&gt;0,'كشف النقاط'!D25," ")</f>
        <v> </v>
      </c>
      <c r="E65" s="72">
        <f>'استدراك 1'!K27</f>
        <v>16.892857142857142</v>
      </c>
      <c r="F65" s="180">
        <f>'استدراك 1'!L27</f>
        <v>18</v>
      </c>
      <c r="G65" s="72">
        <f>'استدراك 1'!Q27</f>
        <v>15.825</v>
      </c>
      <c r="H65" s="180">
        <f>'استدراك 1'!R27</f>
        <v>9</v>
      </c>
      <c r="I65" s="72">
        <f>'استدراك 1'!Q27</f>
        <v>15.825</v>
      </c>
      <c r="J65" s="180">
        <f>'استدراك 1'!R27</f>
        <v>9</v>
      </c>
      <c r="K65" s="72">
        <f>'استدراك 1'!AA27</f>
        <v>16.021428571428572</v>
      </c>
      <c r="L65" s="180">
        <f>'استدراك 1'!AB27</f>
        <v>30</v>
      </c>
      <c r="M65" s="72">
        <f>'استدراك 1'!AA27</f>
        <v>16.021428571428572</v>
      </c>
      <c r="N65" s="84">
        <f>'استدراك 1'!AB27</f>
        <v>30</v>
      </c>
      <c r="O65" s="72">
        <f>'استدراك 2'!G27</f>
        <v>0</v>
      </c>
      <c r="P65" s="180">
        <f>'استدراك 2'!H27</f>
        <v>0</v>
      </c>
      <c r="Q65" s="72">
        <f t="shared" si="7"/>
        <v>0</v>
      </c>
      <c r="R65" s="84">
        <f t="shared" si="8"/>
        <v>0</v>
      </c>
      <c r="S65" s="72">
        <f t="shared" si="5"/>
        <v>8.010714285714286</v>
      </c>
      <c r="T65" s="84">
        <f t="shared" si="6"/>
        <v>30</v>
      </c>
      <c r="U65" s="38" t="str">
        <f t="shared" si="9"/>
        <v>راسب(ة)</v>
      </c>
    </row>
    <row r="66" spans="1:21" s="52" customFormat="1" ht="14.25" customHeight="1">
      <c r="A66" s="179">
        <v>19</v>
      </c>
      <c r="B66" s="142" t="str">
        <f>IF('كشف النقاط'!B26&gt;0,'كشف النقاط'!B26," ")</f>
        <v>مسطوري </v>
      </c>
      <c r="C66" s="142" t="str">
        <f>IF('كشف النقاط'!C26&gt;0,'كشف النقاط'!C26," ")</f>
        <v>سارة</v>
      </c>
      <c r="D66" s="244" t="str">
        <f>IF('كشف النقاط'!D26&gt;0,'كشف النقاط'!D26," ")</f>
        <v> </v>
      </c>
      <c r="E66" s="72">
        <f>'استدراك 1'!K28</f>
        <v>9.071428571428571</v>
      </c>
      <c r="F66" s="180">
        <f>'استدراك 1'!L28</f>
        <v>7</v>
      </c>
      <c r="G66" s="72">
        <f>'استدراك 1'!Q28</f>
        <v>11.25</v>
      </c>
      <c r="H66" s="180">
        <f>'استدراك 1'!R28</f>
        <v>9</v>
      </c>
      <c r="I66" s="72">
        <f>'استدراك 1'!Q28</f>
        <v>11.25</v>
      </c>
      <c r="J66" s="180">
        <f>'استدراك 1'!R28</f>
        <v>9</v>
      </c>
      <c r="K66" s="72">
        <f>'استدراك 1'!AA28</f>
        <v>10.214285714285714</v>
      </c>
      <c r="L66" s="180">
        <f>'استدراك 1'!AB28</f>
        <v>30</v>
      </c>
      <c r="M66" s="72">
        <f>'استدراك 1'!AA28</f>
        <v>10.214285714285714</v>
      </c>
      <c r="N66" s="84">
        <f>'استدراك 1'!AB28</f>
        <v>30</v>
      </c>
      <c r="O66" s="72">
        <f>'استدراك 2'!G28</f>
        <v>0</v>
      </c>
      <c r="P66" s="180">
        <f>'استدراك 2'!H28</f>
        <v>0</v>
      </c>
      <c r="Q66" s="72">
        <f t="shared" si="7"/>
        <v>0</v>
      </c>
      <c r="R66" s="84">
        <f t="shared" si="8"/>
        <v>0</v>
      </c>
      <c r="S66" s="72">
        <f t="shared" si="5"/>
        <v>5.107142857142857</v>
      </c>
      <c r="T66" s="84">
        <f t="shared" si="6"/>
        <v>30</v>
      </c>
      <c r="U66" s="38" t="str">
        <f t="shared" si="9"/>
        <v>راسب(ة)</v>
      </c>
    </row>
    <row r="67" spans="1:21" ht="14.25" customHeight="1">
      <c r="A67" s="179">
        <v>20</v>
      </c>
      <c r="B67" s="142" t="str">
        <f>IF('كشف النقاط'!B27&gt;0,'كشف النقاط'!B27," ")</f>
        <v>هداف </v>
      </c>
      <c r="C67" s="142" t="str">
        <f>IF('كشف النقاط'!C27&gt;0,'كشف النقاط'!C27," ")</f>
        <v>حياة</v>
      </c>
      <c r="D67" s="244" t="str">
        <f>IF('كشف النقاط'!D27&gt;0,'كشف النقاط'!D27," ")</f>
        <v> </v>
      </c>
      <c r="E67" s="72">
        <f>'استدراك 1'!K29</f>
        <v>12.321428571428571</v>
      </c>
      <c r="F67" s="180">
        <f>'استدراك 1'!L29</f>
        <v>18</v>
      </c>
      <c r="G67" s="72">
        <f>'استدراك 1'!Q29</f>
        <v>11.425</v>
      </c>
      <c r="H67" s="180">
        <f>'استدراك 1'!R29</f>
        <v>9</v>
      </c>
      <c r="I67" s="72">
        <f>'استدراك 1'!Q29</f>
        <v>11.425</v>
      </c>
      <c r="J67" s="180">
        <f>'استدراك 1'!R29</f>
        <v>9</v>
      </c>
      <c r="K67" s="72">
        <f>'استدراك 1'!AA29</f>
        <v>11.835714285714285</v>
      </c>
      <c r="L67" s="180">
        <f>'استدراك 1'!AB29</f>
        <v>30</v>
      </c>
      <c r="M67" s="72">
        <f>'استدراك 1'!AA29</f>
        <v>11.835714285714285</v>
      </c>
      <c r="N67" s="84">
        <f>'استدراك 1'!AB29</f>
        <v>30</v>
      </c>
      <c r="O67" s="72">
        <f>'استدراك 2'!G29</f>
        <v>0</v>
      </c>
      <c r="P67" s="180">
        <f>'استدراك 2'!H29</f>
        <v>0</v>
      </c>
      <c r="Q67" s="72">
        <f t="shared" si="7"/>
        <v>0</v>
      </c>
      <c r="R67" s="84">
        <f t="shared" si="8"/>
        <v>0</v>
      </c>
      <c r="S67" s="72">
        <f t="shared" si="5"/>
        <v>5.917857142857143</v>
      </c>
      <c r="T67" s="84">
        <f t="shared" si="6"/>
        <v>30</v>
      </c>
      <c r="U67" s="38" t="str">
        <f t="shared" si="9"/>
        <v>راسب(ة)</v>
      </c>
    </row>
    <row r="68" spans="1:21" ht="14.25" customHeight="1">
      <c r="A68" s="179">
        <v>21</v>
      </c>
      <c r="B68" s="142" t="str">
        <f>IF('كشف النقاط'!B28&gt;0,'كشف النقاط'!B28," ")</f>
        <v> </v>
      </c>
      <c r="C68" s="142" t="str">
        <f>IF('كشف النقاط'!C28&gt;0,'كشف النقاط'!C28," ")</f>
        <v> </v>
      </c>
      <c r="D68" s="244" t="str">
        <f>IF('كشف النقاط'!D28&gt;0,'كشف النقاط'!D28," ")</f>
        <v> </v>
      </c>
      <c r="E68" s="72">
        <f>'استدراك 1'!K30</f>
        <v>0</v>
      </c>
      <c r="F68" s="180">
        <f>'استدراك 1'!L30</f>
        <v>0</v>
      </c>
      <c r="G68" s="72">
        <f>'استدراك 1'!Q30</f>
        <v>0</v>
      </c>
      <c r="H68" s="180">
        <f>'استدراك 1'!R30</f>
        <v>0</v>
      </c>
      <c r="I68" s="72">
        <f>'استدراك 1'!Q30</f>
        <v>0</v>
      </c>
      <c r="J68" s="180">
        <f>'استدراك 1'!R30</f>
        <v>0</v>
      </c>
      <c r="K68" s="72">
        <f>'استدراك 1'!AA30</f>
        <v>0</v>
      </c>
      <c r="L68" s="180">
        <f>'استدراك 1'!AB30</f>
        <v>0</v>
      </c>
      <c r="M68" s="72">
        <f>'استدراك 1'!AA30</f>
        <v>0</v>
      </c>
      <c r="N68" s="84">
        <f>'استدراك 1'!AB30</f>
        <v>0</v>
      </c>
      <c r="O68" s="72">
        <f>'استدراك 2'!G30</f>
        <v>0</v>
      </c>
      <c r="P68" s="180">
        <f>'استدراك 2'!H30</f>
        <v>0</v>
      </c>
      <c r="Q68" s="72">
        <f t="shared" si="7"/>
        <v>0</v>
      </c>
      <c r="R68" s="84">
        <f t="shared" si="8"/>
        <v>0</v>
      </c>
      <c r="S68" s="72">
        <f t="shared" si="5"/>
        <v>0</v>
      </c>
      <c r="T68" s="84">
        <f t="shared" si="6"/>
        <v>0</v>
      </c>
      <c r="U68" s="38" t="str">
        <f t="shared" si="9"/>
        <v>راسب(ة)</v>
      </c>
    </row>
    <row r="69" spans="1:21" ht="14.25" customHeight="1">
      <c r="A69" s="179">
        <v>22</v>
      </c>
      <c r="B69" s="142" t="str">
        <f>IF('كشف النقاط'!B29&gt;0,'كشف النقاط'!B29," ")</f>
        <v> </v>
      </c>
      <c r="C69" s="142" t="str">
        <f>IF('كشف النقاط'!C29&gt;0,'كشف النقاط'!C29," ")</f>
        <v> </v>
      </c>
      <c r="D69" s="244" t="str">
        <f>IF('كشف النقاط'!D29&gt;0,'كشف النقاط'!D29," ")</f>
        <v> </v>
      </c>
      <c r="E69" s="72">
        <f>'استدراك 1'!K31</f>
        <v>0</v>
      </c>
      <c r="F69" s="180">
        <f>'استدراك 1'!L31</f>
        <v>0</v>
      </c>
      <c r="G69" s="72">
        <f>'استدراك 1'!Q31</f>
        <v>0</v>
      </c>
      <c r="H69" s="180">
        <f>'استدراك 1'!R31</f>
        <v>0</v>
      </c>
      <c r="I69" s="72">
        <f>'استدراك 1'!Q31</f>
        <v>0</v>
      </c>
      <c r="J69" s="180">
        <f>'استدراك 1'!R31</f>
        <v>0</v>
      </c>
      <c r="K69" s="72">
        <f>'استدراك 1'!AA31</f>
        <v>0</v>
      </c>
      <c r="L69" s="180">
        <f>'استدراك 1'!AB31</f>
        <v>0</v>
      </c>
      <c r="M69" s="72">
        <f>'استدراك 1'!AA31</f>
        <v>0</v>
      </c>
      <c r="N69" s="84">
        <f>'استدراك 1'!AB31</f>
        <v>0</v>
      </c>
      <c r="O69" s="72">
        <f>'استدراك 2'!G31</f>
        <v>0</v>
      </c>
      <c r="P69" s="180">
        <f>'استدراك 2'!H31</f>
        <v>0</v>
      </c>
      <c r="Q69" s="72">
        <f t="shared" si="7"/>
        <v>0</v>
      </c>
      <c r="R69" s="84">
        <f t="shared" si="8"/>
        <v>0</v>
      </c>
      <c r="S69" s="72">
        <f t="shared" si="5"/>
        <v>0</v>
      </c>
      <c r="T69" s="84">
        <f t="shared" si="6"/>
        <v>0</v>
      </c>
      <c r="U69" s="38" t="str">
        <f t="shared" si="9"/>
        <v>راسب(ة)</v>
      </c>
    </row>
    <row r="70" spans="1:21" ht="14.25" customHeight="1">
      <c r="A70" s="179">
        <v>23</v>
      </c>
      <c r="B70" s="142" t="str">
        <f>IF('كشف النقاط'!B30&gt;0,'كشف النقاط'!B30," ")</f>
        <v> </v>
      </c>
      <c r="C70" s="142" t="str">
        <f>IF('كشف النقاط'!C30&gt;0,'كشف النقاط'!C30," ")</f>
        <v> </v>
      </c>
      <c r="D70" s="244" t="str">
        <f>IF('كشف النقاط'!D30&gt;0,'كشف النقاط'!D30," ")</f>
        <v> </v>
      </c>
      <c r="E70" s="72">
        <f>'استدراك 1'!K32</f>
        <v>0</v>
      </c>
      <c r="F70" s="180">
        <f>'استدراك 1'!L32</f>
        <v>0</v>
      </c>
      <c r="G70" s="72">
        <f>'استدراك 1'!Q32</f>
        <v>0</v>
      </c>
      <c r="H70" s="180">
        <f>'استدراك 1'!R32</f>
        <v>0</v>
      </c>
      <c r="I70" s="72">
        <f>'استدراك 1'!Q32</f>
        <v>0</v>
      </c>
      <c r="J70" s="180">
        <f>'استدراك 1'!R32</f>
        <v>0</v>
      </c>
      <c r="K70" s="72">
        <f>'استدراك 1'!AA32</f>
        <v>0</v>
      </c>
      <c r="L70" s="180">
        <f>'استدراك 1'!AB32</f>
        <v>0</v>
      </c>
      <c r="M70" s="72">
        <f>'استدراك 1'!AA32</f>
        <v>0</v>
      </c>
      <c r="N70" s="84">
        <f>'استدراك 1'!AB32</f>
        <v>0</v>
      </c>
      <c r="O70" s="72">
        <f>'استدراك 2'!G32</f>
        <v>0</v>
      </c>
      <c r="P70" s="180">
        <f>'استدراك 2'!H32</f>
        <v>0</v>
      </c>
      <c r="Q70" s="72">
        <f t="shared" si="7"/>
        <v>0</v>
      </c>
      <c r="R70" s="84">
        <f t="shared" si="8"/>
        <v>0</v>
      </c>
      <c r="S70" s="72">
        <f t="shared" si="5"/>
        <v>0</v>
      </c>
      <c r="T70" s="84">
        <f t="shared" si="6"/>
        <v>0</v>
      </c>
      <c r="U70" s="38" t="str">
        <f t="shared" si="9"/>
        <v>راسب(ة)</v>
      </c>
    </row>
    <row r="71" spans="1:21" ht="14.25" customHeight="1">
      <c r="A71" s="179">
        <v>24</v>
      </c>
      <c r="B71" s="142" t="str">
        <f>IF('كشف النقاط'!B31&gt;0,'كشف النقاط'!B31," ")</f>
        <v> </v>
      </c>
      <c r="C71" s="142" t="str">
        <f>IF('كشف النقاط'!C31&gt;0,'كشف النقاط'!C31," ")</f>
        <v> </v>
      </c>
      <c r="D71" s="244" t="str">
        <f>IF('كشف النقاط'!D31&gt;0,'كشف النقاط'!D31," ")</f>
        <v> </v>
      </c>
      <c r="E71" s="72">
        <f>'استدراك 1'!K33</f>
        <v>0</v>
      </c>
      <c r="F71" s="180">
        <f>'استدراك 1'!L33</f>
        <v>0</v>
      </c>
      <c r="G71" s="72">
        <f>'استدراك 1'!Q33</f>
        <v>0</v>
      </c>
      <c r="H71" s="180">
        <f>'استدراك 1'!R33</f>
        <v>0</v>
      </c>
      <c r="I71" s="72">
        <f>'استدراك 1'!Q33</f>
        <v>0</v>
      </c>
      <c r="J71" s="180">
        <f>'استدراك 1'!R33</f>
        <v>0</v>
      </c>
      <c r="K71" s="72">
        <f>'استدراك 1'!AA33</f>
        <v>0</v>
      </c>
      <c r="L71" s="180">
        <f>'استدراك 1'!AB33</f>
        <v>0</v>
      </c>
      <c r="M71" s="72">
        <f>'استدراك 1'!AA33</f>
        <v>0</v>
      </c>
      <c r="N71" s="84">
        <f>'استدراك 1'!AB33</f>
        <v>0</v>
      </c>
      <c r="O71" s="72">
        <f>'استدراك 2'!G33</f>
        <v>0</v>
      </c>
      <c r="P71" s="180">
        <f>'استدراك 2'!H33</f>
        <v>0</v>
      </c>
      <c r="Q71" s="72">
        <f t="shared" si="7"/>
        <v>0</v>
      </c>
      <c r="R71" s="84">
        <f t="shared" si="8"/>
        <v>0</v>
      </c>
      <c r="S71" s="72">
        <f t="shared" si="5"/>
        <v>0</v>
      </c>
      <c r="T71" s="84">
        <f t="shared" si="6"/>
        <v>0</v>
      </c>
      <c r="U71" s="38" t="str">
        <f t="shared" si="9"/>
        <v>راسب(ة)</v>
      </c>
    </row>
    <row r="72" spans="1:21" ht="14.25" customHeight="1">
      <c r="A72" s="179">
        <v>25</v>
      </c>
      <c r="B72" s="142" t="str">
        <f>IF('كشف النقاط'!B32&gt;0,'كشف النقاط'!B32," ")</f>
        <v> </v>
      </c>
      <c r="C72" s="142" t="str">
        <f>IF('كشف النقاط'!C32&gt;0,'كشف النقاط'!C32," ")</f>
        <v> </v>
      </c>
      <c r="D72" s="244" t="str">
        <f>IF('كشف النقاط'!D32&gt;0,'كشف النقاط'!D32," ")</f>
        <v> </v>
      </c>
      <c r="E72" s="72">
        <f>'استدراك 1'!K34</f>
        <v>0</v>
      </c>
      <c r="F72" s="180">
        <f>'استدراك 1'!L34</f>
        <v>0</v>
      </c>
      <c r="G72" s="72">
        <f>'استدراك 1'!Q34</f>
        <v>0</v>
      </c>
      <c r="H72" s="180">
        <f>'استدراك 1'!R34</f>
        <v>0</v>
      </c>
      <c r="I72" s="72">
        <f>'استدراك 1'!Q34</f>
        <v>0</v>
      </c>
      <c r="J72" s="180">
        <f>'استدراك 1'!R34</f>
        <v>0</v>
      </c>
      <c r="K72" s="72">
        <f>'استدراك 1'!AA34</f>
        <v>0</v>
      </c>
      <c r="L72" s="180">
        <f>'استدراك 1'!AB34</f>
        <v>0</v>
      </c>
      <c r="M72" s="72">
        <f>'استدراك 1'!AA34</f>
        <v>0</v>
      </c>
      <c r="N72" s="84">
        <f>'استدراك 1'!AB34</f>
        <v>0</v>
      </c>
      <c r="O72" s="72">
        <f>'استدراك 2'!G34</f>
        <v>0</v>
      </c>
      <c r="P72" s="180">
        <f>'استدراك 2'!H34</f>
        <v>0</v>
      </c>
      <c r="Q72" s="72">
        <f t="shared" si="7"/>
        <v>0</v>
      </c>
      <c r="R72" s="84">
        <f t="shared" si="8"/>
        <v>0</v>
      </c>
      <c r="S72" s="72">
        <f t="shared" si="5"/>
        <v>0</v>
      </c>
      <c r="T72" s="84">
        <f t="shared" si="6"/>
        <v>0</v>
      </c>
      <c r="U72" s="38" t="str">
        <f t="shared" si="9"/>
        <v>راسب(ة)</v>
      </c>
    </row>
    <row r="73" spans="1:21" ht="14.25" customHeight="1">
      <c r="A73" s="179">
        <v>26</v>
      </c>
      <c r="B73" s="142" t="str">
        <f>IF('كشف النقاط'!B33&gt;0,'كشف النقاط'!B33," ")</f>
        <v> </v>
      </c>
      <c r="C73" s="142" t="str">
        <f>IF('كشف النقاط'!C33&gt;0,'كشف النقاط'!C33," ")</f>
        <v> </v>
      </c>
      <c r="D73" s="244" t="str">
        <f>IF('كشف النقاط'!D33&gt;0,'كشف النقاط'!D33," ")</f>
        <v> </v>
      </c>
      <c r="E73" s="72">
        <f>'استدراك 1'!K35</f>
        <v>0</v>
      </c>
      <c r="F73" s="180">
        <f>'استدراك 1'!L35</f>
        <v>0</v>
      </c>
      <c r="G73" s="72">
        <f>'استدراك 1'!Q35</f>
        <v>0</v>
      </c>
      <c r="H73" s="180">
        <f>'استدراك 1'!R35</f>
        <v>0</v>
      </c>
      <c r="I73" s="72">
        <f>'استدراك 1'!Q35</f>
        <v>0</v>
      </c>
      <c r="J73" s="180">
        <f>'استدراك 1'!R35</f>
        <v>0</v>
      </c>
      <c r="K73" s="72">
        <f>'استدراك 1'!AA35</f>
        <v>0</v>
      </c>
      <c r="L73" s="180">
        <f>'استدراك 1'!AB35</f>
        <v>0</v>
      </c>
      <c r="M73" s="72">
        <f>'استدراك 1'!AA35</f>
        <v>0</v>
      </c>
      <c r="N73" s="84">
        <f>'استدراك 1'!AB35</f>
        <v>0</v>
      </c>
      <c r="O73" s="72">
        <f>'استدراك 2'!G35</f>
        <v>0</v>
      </c>
      <c r="P73" s="180">
        <f>'استدراك 2'!H35</f>
        <v>0</v>
      </c>
      <c r="Q73" s="72">
        <f t="shared" si="7"/>
        <v>0</v>
      </c>
      <c r="R73" s="84">
        <f t="shared" si="8"/>
        <v>0</v>
      </c>
      <c r="S73" s="72">
        <f t="shared" si="5"/>
        <v>0</v>
      </c>
      <c r="T73" s="84">
        <f t="shared" si="6"/>
        <v>0</v>
      </c>
      <c r="U73" s="38" t="str">
        <f t="shared" si="9"/>
        <v>راسب(ة)</v>
      </c>
    </row>
    <row r="74" spans="1:21" ht="14.25" customHeight="1">
      <c r="A74" s="179">
        <v>27</v>
      </c>
      <c r="B74" s="142" t="str">
        <f>IF('كشف النقاط'!B34&gt;0,'كشف النقاط'!B34," ")</f>
        <v> </v>
      </c>
      <c r="C74" s="142" t="str">
        <f>IF('كشف النقاط'!C34&gt;0,'كشف النقاط'!C34," ")</f>
        <v> </v>
      </c>
      <c r="D74" s="244" t="str">
        <f>IF('كشف النقاط'!D34&gt;0,'كشف النقاط'!D34," ")</f>
        <v> </v>
      </c>
      <c r="E74" s="72">
        <f>'استدراك 1'!K36</f>
        <v>0</v>
      </c>
      <c r="F74" s="180">
        <f>'استدراك 1'!L36</f>
        <v>0</v>
      </c>
      <c r="G74" s="72">
        <f>'استدراك 1'!Q36</f>
        <v>0</v>
      </c>
      <c r="H74" s="180">
        <f>'استدراك 1'!R36</f>
        <v>0</v>
      </c>
      <c r="I74" s="72">
        <f>'استدراك 1'!Q36</f>
        <v>0</v>
      </c>
      <c r="J74" s="180">
        <f>'استدراك 1'!R36</f>
        <v>0</v>
      </c>
      <c r="K74" s="72">
        <f>'استدراك 1'!AA36</f>
        <v>0</v>
      </c>
      <c r="L74" s="180">
        <f>'استدراك 1'!AB36</f>
        <v>0</v>
      </c>
      <c r="M74" s="72">
        <f>'استدراك 1'!AA36</f>
        <v>0</v>
      </c>
      <c r="N74" s="84">
        <f>'استدراك 1'!AB36</f>
        <v>0</v>
      </c>
      <c r="O74" s="72">
        <f>'استدراك 2'!G36</f>
        <v>0</v>
      </c>
      <c r="P74" s="180">
        <f>'استدراك 2'!H36</f>
        <v>0</v>
      </c>
      <c r="Q74" s="72">
        <f t="shared" si="7"/>
        <v>0</v>
      </c>
      <c r="R74" s="84">
        <f t="shared" si="8"/>
        <v>0</v>
      </c>
      <c r="S74" s="72">
        <f t="shared" si="5"/>
        <v>0</v>
      </c>
      <c r="T74" s="84">
        <f t="shared" si="6"/>
        <v>0</v>
      </c>
      <c r="U74" s="38" t="str">
        <f t="shared" si="9"/>
        <v>راسب(ة)</v>
      </c>
    </row>
    <row r="75" spans="1:21" ht="14.25" customHeight="1">
      <c r="A75" s="179">
        <v>28</v>
      </c>
      <c r="B75" s="142" t="str">
        <f>IF('كشف النقاط'!B35&gt;0,'كشف النقاط'!B35," ")</f>
        <v> </v>
      </c>
      <c r="C75" s="142" t="str">
        <f>IF('كشف النقاط'!C35&gt;0,'كشف النقاط'!C35," ")</f>
        <v> </v>
      </c>
      <c r="D75" s="244" t="str">
        <f>IF('كشف النقاط'!D35&gt;0,'كشف النقاط'!D35," ")</f>
        <v> </v>
      </c>
      <c r="E75" s="72">
        <f>'استدراك 1'!K37</f>
        <v>0</v>
      </c>
      <c r="F75" s="180">
        <f>'استدراك 1'!L37</f>
        <v>0</v>
      </c>
      <c r="G75" s="72">
        <f>'استدراك 1'!Q37</f>
        <v>0</v>
      </c>
      <c r="H75" s="180">
        <f>'استدراك 1'!R37</f>
        <v>0</v>
      </c>
      <c r="I75" s="72">
        <f>'استدراك 1'!Q37</f>
        <v>0</v>
      </c>
      <c r="J75" s="180">
        <f>'استدراك 1'!R37</f>
        <v>0</v>
      </c>
      <c r="K75" s="72">
        <f>'استدراك 1'!AA37</f>
        <v>0</v>
      </c>
      <c r="L75" s="180">
        <f>'استدراك 1'!AB37</f>
        <v>0</v>
      </c>
      <c r="M75" s="72">
        <f>'استدراك 1'!AA37</f>
        <v>0</v>
      </c>
      <c r="N75" s="84">
        <f>'استدراك 1'!AB37</f>
        <v>0</v>
      </c>
      <c r="O75" s="72">
        <f>'استدراك 2'!G37</f>
        <v>0</v>
      </c>
      <c r="P75" s="180">
        <f>'استدراك 2'!H37</f>
        <v>0</v>
      </c>
      <c r="Q75" s="72">
        <f t="shared" si="7"/>
        <v>0</v>
      </c>
      <c r="R75" s="84">
        <f t="shared" si="8"/>
        <v>0</v>
      </c>
      <c r="S75" s="72">
        <f t="shared" si="5"/>
        <v>0</v>
      </c>
      <c r="T75" s="84">
        <f t="shared" si="6"/>
        <v>0</v>
      </c>
      <c r="U75" s="38" t="str">
        <f t="shared" si="9"/>
        <v>راسب(ة)</v>
      </c>
    </row>
    <row r="76" spans="1:21" ht="14.25" customHeight="1">
      <c r="A76" s="179">
        <v>29</v>
      </c>
      <c r="B76" s="142" t="str">
        <f>IF('كشف النقاط'!B36&gt;0,'كشف النقاط'!B36," ")</f>
        <v> </v>
      </c>
      <c r="C76" s="142" t="str">
        <f>IF('كشف النقاط'!C36&gt;0,'كشف النقاط'!C36," ")</f>
        <v> </v>
      </c>
      <c r="D76" s="244" t="str">
        <f>IF('كشف النقاط'!D36&gt;0,'كشف النقاط'!D36," ")</f>
        <v> </v>
      </c>
      <c r="E76" s="72">
        <f>'استدراك 1'!K38</f>
        <v>0</v>
      </c>
      <c r="F76" s="180">
        <f>'استدراك 1'!L38</f>
        <v>0</v>
      </c>
      <c r="G76" s="72">
        <f>'استدراك 1'!Q38</f>
        <v>0</v>
      </c>
      <c r="H76" s="180">
        <f>'استدراك 1'!R38</f>
        <v>0</v>
      </c>
      <c r="I76" s="72">
        <f>'استدراك 1'!Q38</f>
        <v>0</v>
      </c>
      <c r="J76" s="180">
        <f>'استدراك 1'!R38</f>
        <v>0</v>
      </c>
      <c r="K76" s="72">
        <f>'استدراك 1'!AA38</f>
        <v>0</v>
      </c>
      <c r="L76" s="180">
        <f>'استدراك 1'!AB38</f>
        <v>0</v>
      </c>
      <c r="M76" s="72">
        <f>'استدراك 1'!AA38</f>
        <v>0</v>
      </c>
      <c r="N76" s="84">
        <f>'استدراك 1'!AB38</f>
        <v>0</v>
      </c>
      <c r="O76" s="72">
        <f>'استدراك 2'!G38</f>
        <v>0</v>
      </c>
      <c r="P76" s="180">
        <f>'استدراك 2'!H38</f>
        <v>0</v>
      </c>
      <c r="Q76" s="72">
        <f t="shared" si="7"/>
        <v>0</v>
      </c>
      <c r="R76" s="84">
        <f t="shared" si="8"/>
        <v>0</v>
      </c>
      <c r="S76" s="72">
        <f t="shared" si="5"/>
        <v>0</v>
      </c>
      <c r="T76" s="84">
        <f t="shared" si="6"/>
        <v>0</v>
      </c>
      <c r="U76" s="38" t="str">
        <f t="shared" si="9"/>
        <v>راسب(ة)</v>
      </c>
    </row>
    <row r="77" spans="1:21" ht="14.25" customHeight="1">
      <c r="A77" s="179">
        <v>30</v>
      </c>
      <c r="B77" s="142" t="str">
        <f>IF('كشف النقاط'!B37&gt;0,'كشف النقاط'!B37," ")</f>
        <v> </v>
      </c>
      <c r="C77" s="142" t="str">
        <f>IF('كشف النقاط'!C37&gt;0,'كشف النقاط'!C37," ")</f>
        <v> </v>
      </c>
      <c r="D77" s="244" t="str">
        <f>IF('كشف النقاط'!D37&gt;0,'كشف النقاط'!D37," ")</f>
        <v> </v>
      </c>
      <c r="E77" s="72">
        <f>'استدراك 1'!K39</f>
        <v>0</v>
      </c>
      <c r="F77" s="180">
        <f>'استدراك 1'!L39</f>
        <v>0</v>
      </c>
      <c r="G77" s="72">
        <f>'استدراك 1'!Q39</f>
        <v>0</v>
      </c>
      <c r="H77" s="180">
        <f>'استدراك 1'!R39</f>
        <v>0</v>
      </c>
      <c r="I77" s="72">
        <f>'استدراك 1'!Q39</f>
        <v>0</v>
      </c>
      <c r="J77" s="180">
        <f>'استدراك 1'!R39</f>
        <v>0</v>
      </c>
      <c r="K77" s="72">
        <f>'استدراك 1'!AA39</f>
        <v>0</v>
      </c>
      <c r="L77" s="180">
        <f>'استدراك 1'!AB39</f>
        <v>0</v>
      </c>
      <c r="M77" s="72">
        <f>'استدراك 1'!AA39</f>
        <v>0</v>
      </c>
      <c r="N77" s="84">
        <f>'استدراك 1'!AB39</f>
        <v>0</v>
      </c>
      <c r="O77" s="72">
        <f>'استدراك 2'!G39</f>
        <v>0</v>
      </c>
      <c r="P77" s="180">
        <f>'استدراك 2'!H39</f>
        <v>0</v>
      </c>
      <c r="Q77" s="72">
        <f t="shared" si="7"/>
        <v>0</v>
      </c>
      <c r="R77" s="84">
        <f t="shared" si="8"/>
        <v>0</v>
      </c>
      <c r="S77" s="72">
        <f t="shared" si="5"/>
        <v>0</v>
      </c>
      <c r="T77" s="84">
        <f t="shared" si="6"/>
        <v>0</v>
      </c>
      <c r="U77" s="38" t="str">
        <f t="shared" si="9"/>
        <v>راسب(ة)</v>
      </c>
    </row>
    <row r="78" spans="1:21" ht="14.25" customHeight="1" hidden="1">
      <c r="A78" s="179">
        <v>31</v>
      </c>
      <c r="B78" s="142" t="str">
        <f>IF('كشف النقاط'!B38&gt;0,'كشف النقاط'!B38," ")</f>
        <v> </v>
      </c>
      <c r="C78" s="142" t="str">
        <f>IF('كشف النقاط'!C38&gt;0,'كشف النقاط'!C38," ")</f>
        <v> </v>
      </c>
      <c r="D78" s="244" t="str">
        <f>IF('كشف النقاط'!D38&gt;0,'كشف النقاط'!D38," ")</f>
        <v> </v>
      </c>
      <c r="E78" s="72">
        <f>'استدراك 1'!K40</f>
        <v>0</v>
      </c>
      <c r="F78" s="180">
        <f>'استدراك 1'!L40</f>
        <v>0</v>
      </c>
      <c r="G78" s="72">
        <f>'استدراك 1'!Q40</f>
        <v>0</v>
      </c>
      <c r="H78" s="180">
        <f>'استدراك 1'!R40</f>
        <v>0</v>
      </c>
      <c r="I78" s="72">
        <f>'استدراك 1'!Q40</f>
        <v>0</v>
      </c>
      <c r="J78" s="180">
        <f>'استدراك 1'!R40</f>
        <v>0</v>
      </c>
      <c r="K78" s="72">
        <f>'استدراك 1'!AA40</f>
        <v>0</v>
      </c>
      <c r="L78" s="180">
        <f>'استدراك 1'!AB40</f>
        <v>0</v>
      </c>
      <c r="M78" s="72">
        <f>'استدراك 1'!AA40</f>
        <v>0</v>
      </c>
      <c r="N78" s="84">
        <f>'استدراك 1'!AB40</f>
        <v>0</v>
      </c>
      <c r="O78" s="72">
        <f>'استدراك 2'!Y40</f>
        <v>0</v>
      </c>
      <c r="P78" s="180">
        <f>'استدراك 2'!AB40</f>
        <v>0</v>
      </c>
      <c r="Q78" s="72">
        <f>'استدراك 2'!AA40</f>
        <v>0</v>
      </c>
      <c r="R78" s="84">
        <f>'استدراك 2'!AB40</f>
        <v>0</v>
      </c>
      <c r="S78" s="72">
        <f t="shared" si="5"/>
        <v>0</v>
      </c>
      <c r="T78" s="84">
        <f t="shared" si="6"/>
        <v>0</v>
      </c>
      <c r="U78" s="38" t="str">
        <f t="shared" si="9"/>
        <v>راسب(ة)</v>
      </c>
    </row>
    <row r="79" spans="1:21" ht="14.25" customHeight="1" hidden="1">
      <c r="A79" s="179">
        <v>32</v>
      </c>
      <c r="B79" s="142" t="str">
        <f>IF('كشف النقاط'!B39&gt;0,'كشف النقاط'!B39," ")</f>
        <v> </v>
      </c>
      <c r="C79" s="142" t="str">
        <f>IF('كشف النقاط'!C39&gt;0,'كشف النقاط'!C39," ")</f>
        <v> </v>
      </c>
      <c r="D79" s="244" t="str">
        <f>IF('كشف النقاط'!D39&gt;0,'كشف النقاط'!D39," ")</f>
        <v> </v>
      </c>
      <c r="E79" s="72">
        <f>'استدراك 1'!K41</f>
        <v>0</v>
      </c>
      <c r="F79" s="180">
        <f>'استدراك 1'!L41</f>
        <v>0</v>
      </c>
      <c r="G79" s="72">
        <f>'استدراك 1'!Q41</f>
        <v>0</v>
      </c>
      <c r="H79" s="180">
        <f>'استدراك 1'!R41</f>
        <v>0</v>
      </c>
      <c r="I79" s="72">
        <f>'استدراك 1'!Q41</f>
        <v>0</v>
      </c>
      <c r="J79" s="180">
        <f>'استدراك 1'!R41</f>
        <v>0</v>
      </c>
      <c r="K79" s="72">
        <f>'استدراك 1'!AA41</f>
        <v>0</v>
      </c>
      <c r="L79" s="180">
        <f>'استدراك 1'!AB41</f>
        <v>0</v>
      </c>
      <c r="M79" s="72">
        <f>'استدراك 1'!AA41</f>
        <v>0</v>
      </c>
      <c r="N79" s="84">
        <f>'استدراك 1'!AB41</f>
        <v>0</v>
      </c>
      <c r="O79" s="72">
        <f>'استدراك 2'!Y41</f>
        <v>0</v>
      </c>
      <c r="P79" s="180">
        <f>'استدراك 2'!AB41</f>
        <v>0</v>
      </c>
      <c r="Q79" s="72">
        <f>'استدراك 2'!AA41</f>
        <v>0</v>
      </c>
      <c r="R79" s="84">
        <f>'استدراك 2'!AB41</f>
        <v>0</v>
      </c>
      <c r="S79" s="72">
        <f t="shared" si="5"/>
        <v>0</v>
      </c>
      <c r="T79" s="84">
        <f t="shared" si="6"/>
        <v>0</v>
      </c>
      <c r="U79" s="38" t="str">
        <f t="shared" si="9"/>
        <v>راسب(ة)</v>
      </c>
    </row>
    <row r="80" spans="2:19" ht="13.5" customHeight="1">
      <c r="B80" s="19"/>
      <c r="C80" s="19"/>
      <c r="D80" s="19"/>
      <c r="S80" s="19" t="s">
        <v>29</v>
      </c>
    </row>
  </sheetData>
  <sheetProtection/>
  <mergeCells count="29">
    <mergeCell ref="S5:T6"/>
    <mergeCell ref="Q6:R6"/>
    <mergeCell ref="E5:N5"/>
    <mergeCell ref="O5:R5"/>
    <mergeCell ref="O45:R45"/>
    <mergeCell ref="S45:T46"/>
    <mergeCell ref="E46:F46"/>
    <mergeCell ref="G46:H46"/>
    <mergeCell ref="E45:N45"/>
    <mergeCell ref="A5:A7"/>
    <mergeCell ref="U45:U47"/>
    <mergeCell ref="B45:B47"/>
    <mergeCell ref="D45:D47"/>
    <mergeCell ref="Q46:R46"/>
    <mergeCell ref="K46:L46"/>
    <mergeCell ref="O6:P6"/>
    <mergeCell ref="B5:B7"/>
    <mergeCell ref="D5:D7"/>
    <mergeCell ref="I6:J6"/>
    <mergeCell ref="U5:U7"/>
    <mergeCell ref="I46:J46"/>
    <mergeCell ref="C45:C47"/>
    <mergeCell ref="O46:P46"/>
    <mergeCell ref="K6:L6"/>
    <mergeCell ref="C5:C7"/>
    <mergeCell ref="M6:N6"/>
    <mergeCell ref="E6:F6"/>
    <mergeCell ref="G6:H6"/>
    <mergeCell ref="M46:N46"/>
  </mergeCells>
  <printOptions/>
  <pageMargins left="0" right="0"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1"/>
  </sheetPr>
  <dimension ref="A1:U816"/>
  <sheetViews>
    <sheetView rightToLeft="1" view="pageBreakPreview" zoomScale="112" zoomScaleSheetLayoutView="112" zoomScalePageLayoutView="0" workbookViewId="0" topLeftCell="A1">
      <selection activeCell="A831" sqref="A831"/>
    </sheetView>
  </sheetViews>
  <sheetFormatPr defaultColWidth="11.421875" defaultRowHeight="12.75"/>
  <cols>
    <col min="1" max="1" width="11.7109375" style="25" customWidth="1"/>
    <col min="2" max="2" width="13.140625" style="25" customWidth="1"/>
    <col min="3" max="3" width="8.7109375" style="25" customWidth="1"/>
    <col min="4" max="4" width="10.7109375" style="25" customWidth="1"/>
    <col min="5" max="5" width="5.8515625" style="25" customWidth="1"/>
    <col min="6" max="6" width="24.00390625" style="25" customWidth="1"/>
    <col min="7" max="7" width="6.140625" style="25" customWidth="1"/>
    <col min="8" max="8" width="5.421875" style="25" customWidth="1"/>
    <col min="9" max="9" width="9.140625" style="25" customWidth="1"/>
    <col min="10" max="10" width="5.28125" style="25" customWidth="1"/>
    <col min="11" max="11" width="4.57421875" style="25" customWidth="1"/>
    <col min="12" max="12" width="8.7109375" style="25" customWidth="1"/>
    <col min="13" max="13" width="6.28125" style="25" customWidth="1"/>
    <col min="14" max="14" width="6.421875" style="25" customWidth="1"/>
    <col min="15" max="15" width="4.28125" style="25" hidden="1" customWidth="1"/>
    <col min="16" max="16" width="7.8515625" style="25" customWidth="1"/>
    <col min="17" max="17" width="6.7109375" style="25" customWidth="1"/>
    <col min="18" max="18" width="4.7109375" style="25" customWidth="1"/>
    <col min="19" max="16384" width="11.421875" style="25" customWidth="1"/>
  </cols>
  <sheetData>
    <row r="1" spans="1:17" ht="20.25">
      <c r="A1" s="187" t="s">
        <v>45</v>
      </c>
      <c r="B1" s="188"/>
      <c r="C1" s="188"/>
      <c r="D1" s="188"/>
      <c r="E1" s="188"/>
      <c r="F1" s="188"/>
      <c r="G1" s="188"/>
      <c r="H1" s="189"/>
      <c r="I1" s="189"/>
      <c r="J1" s="189"/>
      <c r="K1" s="189"/>
      <c r="L1" s="189"/>
      <c r="M1" s="78" t="s">
        <v>46</v>
      </c>
      <c r="N1" s="189"/>
      <c r="O1" s="78"/>
      <c r="P1" s="189"/>
      <c r="Q1" s="189"/>
    </row>
    <row r="2" spans="6:10" ht="15" customHeight="1">
      <c r="F2" s="191" t="s">
        <v>47</v>
      </c>
      <c r="G2" s="10" t="s">
        <v>19</v>
      </c>
      <c r="H2" s="10"/>
      <c r="I2" s="10"/>
      <c r="J2" s="10"/>
    </row>
    <row r="3" spans="6:10" ht="15" customHeight="1">
      <c r="F3" s="191" t="s">
        <v>48</v>
      </c>
      <c r="G3" s="10" t="s">
        <v>49</v>
      </c>
      <c r="H3" s="10"/>
      <c r="I3" s="10"/>
      <c r="J3" s="10"/>
    </row>
    <row r="4" spans="6:10" ht="15" customHeight="1">
      <c r="F4" s="191" t="s">
        <v>50</v>
      </c>
      <c r="G4" s="10" t="s">
        <v>51</v>
      </c>
      <c r="H4" s="10"/>
      <c r="I4" s="10"/>
      <c r="J4" s="10"/>
    </row>
    <row r="5" spans="4:11" ht="21" customHeight="1">
      <c r="D5" s="782" t="s">
        <v>99</v>
      </c>
      <c r="E5" s="782"/>
      <c r="F5" s="782"/>
      <c r="G5" s="782"/>
      <c r="H5" s="782"/>
      <c r="I5" s="782"/>
      <c r="J5" s="782"/>
      <c r="K5" s="782"/>
    </row>
    <row r="6" spans="1:18" ht="18">
      <c r="A6" s="2" t="s">
        <v>148</v>
      </c>
      <c r="B6" s="196" t="s">
        <v>199</v>
      </c>
      <c r="C6" s="62"/>
      <c r="E6" s="61"/>
      <c r="F6" s="62"/>
      <c r="G6" s="157"/>
      <c r="H6" s="62"/>
      <c r="I6" s="61"/>
      <c r="J6" s="61"/>
      <c r="K6" s="61"/>
      <c r="L6" s="151"/>
      <c r="M6" s="151"/>
      <c r="N6" s="151"/>
      <c r="O6" s="151"/>
      <c r="P6" s="61"/>
      <c r="Q6" s="61"/>
      <c r="R6" s="61"/>
    </row>
    <row r="7" spans="1:18" ht="15.75" customHeight="1">
      <c r="A7" s="62" t="s">
        <v>147</v>
      </c>
      <c r="B7" s="190" t="str">
        <f>INDEX('دورة1 دورة2'!B10:BJ30,MATCH("a",'دورة1 دورة2'!B10:B30,0),3)</f>
        <v>الحاج </v>
      </c>
      <c r="C7" s="158" t="s">
        <v>146</v>
      </c>
      <c r="D7" s="186" t="str">
        <f>INDEX('دورة1 دورة2'!B10:BJ30,MATCH("a",'دورة1 دورة2'!B10:B30,0),4)</f>
        <v>مروة</v>
      </c>
      <c r="E7" s="62"/>
      <c r="F7" s="158" t="s">
        <v>52</v>
      </c>
      <c r="G7" s="783">
        <f>INDEX('دورة1 دورة2'!B10:BJ30,MATCH("a",'دورة1 دورة2'!B10:B30,0),6)</f>
        <v>0</v>
      </c>
      <c r="H7" s="783"/>
      <c r="I7" s="783"/>
      <c r="J7" s="61"/>
      <c r="K7" s="132" t="s">
        <v>53</v>
      </c>
      <c r="L7" s="784">
        <f>INDEX('دورة1 دورة2'!B10:BJ30,MATCH("a",'دورة1 دورة2'!B10:B30,0),7)</f>
        <v>0</v>
      </c>
      <c r="M7" s="784"/>
      <c r="O7" s="186"/>
      <c r="P7" s="8" t="s">
        <v>54</v>
      </c>
      <c r="Q7" s="784">
        <f>INDEX('دورة1 دورة2'!B10:BJ30,MATCH("a",'دورة1 دورة2'!B10:B30,0),8)</f>
        <v>0</v>
      </c>
      <c r="R7" s="784"/>
    </row>
    <row r="8" spans="1:18" ht="15" customHeight="1">
      <c r="A8" s="2" t="s">
        <v>149</v>
      </c>
      <c r="B8" s="190">
        <f>INDEX('دورة1 دورة2'!B10:BJ30,MATCH("a",'دورة1 دورة2'!B10:B30,0),5)</f>
        <v>0</v>
      </c>
      <c r="C8" s="166"/>
      <c r="D8" s="62" t="s">
        <v>55</v>
      </c>
      <c r="E8" s="11" t="s">
        <v>459</v>
      </c>
      <c r="F8" s="11"/>
      <c r="G8" s="156"/>
      <c r="H8" s="11"/>
      <c r="I8" s="9"/>
      <c r="J8" s="9" t="s">
        <v>460</v>
      </c>
      <c r="K8" s="9"/>
      <c r="L8" s="11"/>
      <c r="N8" s="4" t="s">
        <v>98</v>
      </c>
      <c r="O8" s="2" t="s">
        <v>98</v>
      </c>
      <c r="P8" s="10" t="s">
        <v>519</v>
      </c>
      <c r="R8" s="61"/>
    </row>
    <row r="9" spans="1:16" ht="15.75" thickBot="1">
      <c r="A9" s="3" t="s">
        <v>58</v>
      </c>
      <c r="B9" s="139" t="s">
        <v>200</v>
      </c>
      <c r="C9" s="139"/>
      <c r="G9" s="129"/>
      <c r="J9" s="4"/>
      <c r="K9" s="4"/>
      <c r="M9" s="4"/>
      <c r="N9" s="4"/>
      <c r="O9" s="126"/>
      <c r="P9" s="126"/>
    </row>
    <row r="10" spans="1:18" ht="24.75" customHeight="1" thickBot="1" thickTop="1">
      <c r="A10" s="775" t="s">
        <v>25</v>
      </c>
      <c r="B10" s="802" t="s">
        <v>59</v>
      </c>
      <c r="C10" s="802"/>
      <c r="D10" s="805"/>
      <c r="E10" s="802"/>
      <c r="F10" s="777" t="s">
        <v>60</v>
      </c>
      <c r="G10" s="777"/>
      <c r="H10" s="777"/>
      <c r="I10" s="802" t="s">
        <v>61</v>
      </c>
      <c r="J10" s="802"/>
      <c r="K10" s="802"/>
      <c r="L10" s="802"/>
      <c r="M10" s="802"/>
      <c r="N10" s="802"/>
      <c r="O10" s="802"/>
      <c r="P10" s="802"/>
      <c r="Q10" s="802"/>
      <c r="R10" s="803"/>
    </row>
    <row r="11" spans="1:18" ht="16.5" thickBot="1">
      <c r="A11" s="776"/>
      <c r="B11" s="804" t="s">
        <v>63</v>
      </c>
      <c r="C11" s="769" t="s">
        <v>62</v>
      </c>
      <c r="D11" s="149" t="s">
        <v>64</v>
      </c>
      <c r="E11" s="781" t="s">
        <v>65</v>
      </c>
      <c r="F11" s="769" t="s">
        <v>66</v>
      </c>
      <c r="G11" s="138" t="s">
        <v>64</v>
      </c>
      <c r="H11" s="771" t="s">
        <v>65</v>
      </c>
      <c r="I11" s="769" t="s">
        <v>67</v>
      </c>
      <c r="J11" s="769"/>
      <c r="K11" s="769"/>
      <c r="L11" s="769" t="s">
        <v>68</v>
      </c>
      <c r="M11" s="769"/>
      <c r="N11" s="769"/>
      <c r="O11" s="769"/>
      <c r="P11" s="769" t="s">
        <v>25</v>
      </c>
      <c r="Q11" s="769"/>
      <c r="R11" s="806"/>
    </row>
    <row r="12" spans="1:21" ht="15.75" thickBot="1">
      <c r="A12" s="776"/>
      <c r="B12" s="804"/>
      <c r="C12" s="769"/>
      <c r="D12" s="150" t="s">
        <v>69</v>
      </c>
      <c r="E12" s="781"/>
      <c r="F12" s="769"/>
      <c r="G12" s="138" t="s">
        <v>69</v>
      </c>
      <c r="H12" s="771"/>
      <c r="I12" s="133" t="s">
        <v>70</v>
      </c>
      <c r="J12" s="133" t="s">
        <v>100</v>
      </c>
      <c r="K12" s="133" t="s">
        <v>96</v>
      </c>
      <c r="L12" s="133" t="s">
        <v>70</v>
      </c>
      <c r="M12" s="133" t="s">
        <v>100</v>
      </c>
      <c r="N12" s="133" t="s">
        <v>96</v>
      </c>
      <c r="O12" s="133" t="s">
        <v>93</v>
      </c>
      <c r="P12" s="133" t="s">
        <v>70</v>
      </c>
      <c r="Q12" s="133" t="s">
        <v>100</v>
      </c>
      <c r="R12" s="140" t="s">
        <v>96</v>
      </c>
      <c r="U12" s="134"/>
    </row>
    <row r="13" spans="1:21" ht="18" customHeight="1" thickBot="1">
      <c r="A13" s="773" t="s">
        <v>457</v>
      </c>
      <c r="B13" s="769" t="s">
        <v>126</v>
      </c>
      <c r="C13" s="769" t="s">
        <v>122</v>
      </c>
      <c r="D13" s="774">
        <v>18</v>
      </c>
      <c r="E13" s="769">
        <v>7</v>
      </c>
      <c r="F13" s="588" t="s">
        <v>205</v>
      </c>
      <c r="G13" s="137">
        <v>7</v>
      </c>
      <c r="H13" s="144">
        <v>3</v>
      </c>
      <c r="I13" s="145">
        <f>INDEX('دورة1 دورة2'!B10:BJ30,MATCH("a",'دورة1 دورة2'!B10:B30,0),9)</f>
        <v>48.75</v>
      </c>
      <c r="J13" s="146">
        <f>IF(I13&lt;30,0,7)</f>
        <v>7</v>
      </c>
      <c r="K13" s="199" t="str">
        <f>INDEX('دورة1 دورة2'!B10:BJ30,MATCH("a",'دورة1 دورة2'!B10:B30,0),11)</f>
        <v>د1</v>
      </c>
      <c r="L13" s="770">
        <f>(I13+I14+I15)/7</f>
        <v>16.75</v>
      </c>
      <c r="M13" s="763">
        <f>IF(L13&lt;10,J13+J14+J15,18)</f>
        <v>18</v>
      </c>
      <c r="N13" s="763" t="str">
        <f>INDEX('دورة1 دورة2'!B10:BJ30,MATCH("a",'دورة1 دورة2'!B10:B30,0),20)</f>
        <v>د1</v>
      </c>
      <c r="O13" s="763">
        <f>LOOKUP("r",'دورة1 دورة2'!B:B,'دورة1 دورة2'!AG:AG)</f>
        <v>2018</v>
      </c>
      <c r="P13" s="765">
        <f>(I13+I14+I15+I16+I17+I18+I19)/14</f>
        <v>15.6</v>
      </c>
      <c r="Q13" s="766">
        <f>IF(P13&lt;10,M13+M16+M18+M19,30)</f>
        <v>30</v>
      </c>
      <c r="R13" s="767" t="str">
        <f>INDEX('دورة1 دورة2'!B10:BJ30,MATCH("a",'دورة1 دورة2'!B10:B30,0),51)</f>
        <v>د1</v>
      </c>
      <c r="S13" s="201"/>
      <c r="U13" s="134"/>
    </row>
    <row r="14" spans="1:19" ht="18" customHeight="1" thickBot="1">
      <c r="A14" s="773"/>
      <c r="B14" s="769"/>
      <c r="C14" s="769"/>
      <c r="D14" s="769"/>
      <c r="E14" s="769"/>
      <c r="F14" s="589" t="s">
        <v>206</v>
      </c>
      <c r="G14" s="137">
        <v>6</v>
      </c>
      <c r="H14" s="144">
        <v>2</v>
      </c>
      <c r="I14" s="145">
        <f>INDEX('دورة1 دورة2'!B10:BJ30,MATCH("a",'دورة1 دورة2'!B10:B30,0),12)</f>
        <v>37.5</v>
      </c>
      <c r="J14" s="146">
        <f>IF(I14&lt;20,0,6)</f>
        <v>6</v>
      </c>
      <c r="K14" s="199" t="str">
        <f>INDEX('دورة1 دورة2'!B10:BJ30,MATCH("a",'دورة1 دورة2'!B10:B30,0),14)</f>
        <v>د1</v>
      </c>
      <c r="L14" s="770"/>
      <c r="M14" s="763"/>
      <c r="N14" s="763"/>
      <c r="O14" s="763"/>
      <c r="P14" s="765"/>
      <c r="Q14" s="766"/>
      <c r="R14" s="767"/>
      <c r="S14" s="201"/>
    </row>
    <row r="15" spans="1:19" ht="18" customHeight="1" thickBot="1">
      <c r="A15" s="773"/>
      <c r="B15" s="769"/>
      <c r="C15" s="769"/>
      <c r="D15" s="769"/>
      <c r="E15" s="769"/>
      <c r="F15" s="589" t="s">
        <v>207</v>
      </c>
      <c r="G15" s="137">
        <v>5</v>
      </c>
      <c r="H15" s="144">
        <v>2</v>
      </c>
      <c r="I15" s="145">
        <f>INDEX('دورة1 دورة2'!B10:BJ30,MATCH("a",'دورة1 دورة2'!B10:B30,0),15)</f>
        <v>31</v>
      </c>
      <c r="J15" s="146">
        <f>IF(I15&lt;20,0,5)</f>
        <v>5</v>
      </c>
      <c r="K15" s="199" t="str">
        <f>INDEX('دورة1 دورة2'!B10:BJ30,MATCH("a",'دورة1 دورة2'!B10:B30,0),17)</f>
        <v>د1</v>
      </c>
      <c r="L15" s="770"/>
      <c r="M15" s="763"/>
      <c r="N15" s="763"/>
      <c r="O15" s="763"/>
      <c r="P15" s="765"/>
      <c r="Q15" s="766"/>
      <c r="R15" s="767"/>
      <c r="S15" s="201"/>
    </row>
    <row r="16" spans="1:19" ht="18" customHeight="1" thickBot="1">
      <c r="A16" s="773"/>
      <c r="B16" s="769" t="s">
        <v>127</v>
      </c>
      <c r="C16" s="769" t="s">
        <v>123</v>
      </c>
      <c r="D16" s="769">
        <v>9</v>
      </c>
      <c r="E16" s="769">
        <v>4</v>
      </c>
      <c r="F16" s="590" t="s">
        <v>208</v>
      </c>
      <c r="G16" s="137">
        <v>5</v>
      </c>
      <c r="H16" s="144">
        <v>2</v>
      </c>
      <c r="I16" s="145">
        <f>INDEX('دورة1 دورة2'!B10:BJ30,MATCH("a",'دورة1 دورة2'!B10:B30,0),23)</f>
        <v>35.4</v>
      </c>
      <c r="J16" s="146">
        <f>IF(I16&lt;20,0,5)</f>
        <v>5</v>
      </c>
      <c r="K16" s="199" t="str">
        <f>INDEX('دورة1 دورة2'!B10:BJ30,MATCH("a",'دورة1 دورة2'!B10:B30,0),25)</f>
        <v>د1</v>
      </c>
      <c r="L16" s="770">
        <f>(I17+I16)/4</f>
        <v>14.725</v>
      </c>
      <c r="M16" s="763">
        <f>IF(L16&lt;10,J17+J16,9)</f>
        <v>9</v>
      </c>
      <c r="N16" s="763" t="str">
        <f>INDEX('دورة1 دورة2'!B10:BJ30,MATCH("a",'دورة1 دورة2'!B10:B30,0),31)</f>
        <v>د1</v>
      </c>
      <c r="O16" s="763">
        <f>LOOKUP("r",'دورة1 دورة2'!B:B,'دورة1 دورة2'!AN:AN)</f>
        <v>2018</v>
      </c>
      <c r="P16" s="765"/>
      <c r="Q16" s="766"/>
      <c r="R16" s="767"/>
      <c r="S16" s="201"/>
    </row>
    <row r="17" spans="1:19" ht="18" customHeight="1" thickBot="1">
      <c r="A17" s="773"/>
      <c r="B17" s="769"/>
      <c r="C17" s="769"/>
      <c r="D17" s="769"/>
      <c r="E17" s="769"/>
      <c r="F17" s="589" t="s">
        <v>209</v>
      </c>
      <c r="G17" s="137">
        <v>4</v>
      </c>
      <c r="H17" s="144">
        <v>2</v>
      </c>
      <c r="I17" s="145">
        <f>INDEX('دورة1 دورة2'!B10:BJ30,MATCH("a",'دورة1 دورة2'!B10:B30,0),26)</f>
        <v>23.5</v>
      </c>
      <c r="J17" s="146">
        <f>IF(I17&lt;20,0,4)</f>
        <v>4</v>
      </c>
      <c r="K17" s="199" t="str">
        <f>INDEX('دورة1 دورة2'!B10:BJ30,MATCH("a",'دورة1 دورة2'!B10:B30,0),28)</f>
        <v>د1</v>
      </c>
      <c r="L17" s="770"/>
      <c r="M17" s="763"/>
      <c r="N17" s="763"/>
      <c r="O17" s="763"/>
      <c r="P17" s="765"/>
      <c r="Q17" s="766"/>
      <c r="R17" s="767"/>
      <c r="S17" s="201"/>
    </row>
    <row r="18" spans="1:19" ht="18" customHeight="1" thickBot="1">
      <c r="A18" s="773"/>
      <c r="B18" s="137" t="s">
        <v>128</v>
      </c>
      <c r="C18" s="137" t="s">
        <v>124</v>
      </c>
      <c r="D18" s="137">
        <v>2</v>
      </c>
      <c r="E18" s="137">
        <v>2</v>
      </c>
      <c r="F18" s="589" t="s">
        <v>211</v>
      </c>
      <c r="G18" s="137">
        <v>2</v>
      </c>
      <c r="H18" s="144">
        <v>2</v>
      </c>
      <c r="I18" s="145">
        <f>INDEX('دورة1 دورة2'!B10:BJ30,MATCH("a",'دورة1 دورة2'!B10:B30,0),34)</f>
        <v>29.5</v>
      </c>
      <c r="J18" s="146">
        <f>IF(I18&lt;20,0,2)</f>
        <v>2</v>
      </c>
      <c r="K18" s="199" t="str">
        <f>INDEX('دورة1 دورة2'!B10:BJ30,MATCH("a",'دورة1 دورة2'!B10:B30,0),36)</f>
        <v>د1</v>
      </c>
      <c r="L18" s="147">
        <f>I18/2</f>
        <v>14.75</v>
      </c>
      <c r="M18" s="148">
        <f>J18</f>
        <v>2</v>
      </c>
      <c r="N18" s="199" t="str">
        <f>INDEX('دورة1 دورة2'!B10:BJ30,MATCH("a",'دورة1 دورة2'!B10:B30,0),36)</f>
        <v>د1</v>
      </c>
      <c r="O18" s="146">
        <f>LOOKUP("r",'دورة1 دورة2'!B:B,'دورة1 دورة2'!AU:AU)</f>
        <v>2018</v>
      </c>
      <c r="P18" s="765"/>
      <c r="Q18" s="766"/>
      <c r="R18" s="767"/>
      <c r="S18" s="131"/>
    </row>
    <row r="19" spans="1:19" ht="18" customHeight="1" thickBot="1">
      <c r="A19" s="773"/>
      <c r="B19" s="137" t="s">
        <v>129</v>
      </c>
      <c r="C19" s="137" t="s">
        <v>125</v>
      </c>
      <c r="D19" s="137">
        <v>1</v>
      </c>
      <c r="E19" s="137">
        <v>1</v>
      </c>
      <c r="F19" s="591" t="s">
        <v>191</v>
      </c>
      <c r="G19" s="137">
        <v>1</v>
      </c>
      <c r="H19" s="144">
        <v>1</v>
      </c>
      <c r="I19" s="145">
        <f>INDEX('دورة1 دورة2'!B10:BJ30,MATCH("a",'دورة1 دورة2'!B10:B30,0),41)</f>
        <v>12.75</v>
      </c>
      <c r="J19" s="146">
        <f>IF(I19&lt;10,0,1)</f>
        <v>1</v>
      </c>
      <c r="K19" s="199" t="str">
        <f>INDEX('دورة1 دورة2'!B10:BJ30,MATCH("a",'دورة1 دورة2'!B10:B30,0),43)</f>
        <v>د1</v>
      </c>
      <c r="L19" s="147">
        <f>I19</f>
        <v>12.75</v>
      </c>
      <c r="M19" s="148">
        <f>J19</f>
        <v>1</v>
      </c>
      <c r="N19" s="199" t="str">
        <f>INDEX('دورة1 دورة2'!B10:BJ30,MATCH("a",'دورة1 دورة2'!B10:B30,0),43)</f>
        <v>د1</v>
      </c>
      <c r="O19" s="146">
        <f>LOOKUP("r",'دورة1 دورة2'!B:B,'دورة1 دورة2'!AU:AU)</f>
        <v>2018</v>
      </c>
      <c r="P19" s="765"/>
      <c r="Q19" s="766"/>
      <c r="R19" s="768"/>
      <c r="S19" s="131"/>
    </row>
    <row r="20" spans="1:19" ht="72" customHeight="1" thickBot="1">
      <c r="A20" s="342" t="s">
        <v>458</v>
      </c>
      <c r="B20" s="137" t="s">
        <v>126</v>
      </c>
      <c r="C20" s="137" t="s">
        <v>122</v>
      </c>
      <c r="D20" s="137">
        <v>18</v>
      </c>
      <c r="E20" s="137">
        <v>7</v>
      </c>
      <c r="F20" s="592" t="s">
        <v>213</v>
      </c>
      <c r="G20" s="137">
        <v>7</v>
      </c>
      <c r="H20" s="144">
        <v>2</v>
      </c>
      <c r="I20" s="145">
        <f>INDEX('دورة1 دورة2'!B10:BJ30,MATCH("a",'دورة1 دورة2'!B10:B30,0),54)</f>
        <v>0</v>
      </c>
      <c r="J20" s="146">
        <f>IF(I20&lt;300,0,30)</f>
        <v>0</v>
      </c>
      <c r="K20" s="199" t="str">
        <f>INDEX('دورة1 دورة2'!B10:BJ30,MATCH("a",'دورة1 دورة2'!B10:B30,0),56)</f>
        <v>د1</v>
      </c>
      <c r="L20" s="147">
        <f>(I20)/30</f>
        <v>0</v>
      </c>
      <c r="M20" s="148">
        <f>IF(L20&lt;10,J20,30)</f>
        <v>0</v>
      </c>
      <c r="N20" s="148" t="str">
        <f>INDEX('دورة1 دورة2'!B10:BJ30,MATCH("a",'دورة1 دورة2'!B10:B30,0),60)</f>
        <v>د1</v>
      </c>
      <c r="O20" s="148" t="e">
        <f>LOOKUP("r",'دورة1 دورة2'!B:B,'دورة1 دورة2'!#REF!)</f>
        <v>#REF!</v>
      </c>
      <c r="P20" s="341">
        <f>(I20)/30</f>
        <v>0</v>
      </c>
      <c r="Q20" s="146">
        <f>IF(P20&lt;300,M20,30)</f>
        <v>0</v>
      </c>
      <c r="R20" s="343" t="str">
        <f>INDEX('دورة1 دورة2'!B10:BJ30,MATCH("a",'دورة1 دورة2'!B10:B30,0),60)</f>
        <v>د1</v>
      </c>
      <c r="S20" s="201"/>
    </row>
    <row r="21" spans="1:18" ht="20.25" customHeight="1" thickBot="1">
      <c r="A21" s="62" t="s">
        <v>150</v>
      </c>
      <c r="B21" s="135">
        <f>(P13+P20)/2</f>
        <v>7.8</v>
      </c>
      <c r="C21" s="759" t="s">
        <v>461</v>
      </c>
      <c r="D21" s="760"/>
      <c r="E21" s="760"/>
      <c r="F21" s="761"/>
      <c r="G21" s="136">
        <f>Q13+Q20</f>
        <v>30</v>
      </c>
      <c r="H21" s="6"/>
      <c r="I21" s="6"/>
      <c r="J21" s="200" t="s">
        <v>72</v>
      </c>
      <c r="K21" s="6"/>
      <c r="L21" s="6"/>
      <c r="M21" s="6"/>
      <c r="N21" s="6"/>
      <c r="O21" s="6"/>
      <c r="Q21" s="579">
        <v>120</v>
      </c>
      <c r="R21" s="130"/>
    </row>
    <row r="22" spans="1:18" ht="20.25" customHeight="1" thickBot="1">
      <c r="A22" s="62" t="s">
        <v>121</v>
      </c>
      <c r="B22" s="75" t="str">
        <f>IF(B21&lt;10,"راسب(ة)","ناجح(ة)")</f>
        <v>راسب(ة)</v>
      </c>
      <c r="G22" s="129"/>
      <c r="I22" s="80"/>
      <c r="J22" s="200" t="s">
        <v>73</v>
      </c>
      <c r="K22" s="6"/>
      <c r="L22" s="6"/>
      <c r="M22" s="6"/>
      <c r="N22" s="6"/>
      <c r="O22" s="6"/>
      <c r="Q22" s="133">
        <v>120</v>
      </c>
      <c r="R22" s="5"/>
    </row>
    <row r="23" spans="1:7" ht="20.25" customHeight="1">
      <c r="A23" s="62" t="s">
        <v>120</v>
      </c>
      <c r="B23" s="77">
        <f ca="1">TODAY()</f>
        <v>43188</v>
      </c>
      <c r="G23" s="129"/>
    </row>
    <row r="24" spans="1:14" ht="20.25" customHeight="1">
      <c r="A24" s="62" t="s">
        <v>74</v>
      </c>
      <c r="B24" s="8" t="s">
        <v>119</v>
      </c>
      <c r="L24" s="762" t="s">
        <v>29</v>
      </c>
      <c r="M24" s="762"/>
      <c r="N24" s="75"/>
    </row>
    <row r="25" spans="1:17" ht="20.25">
      <c r="A25" s="187" t="s">
        <v>45</v>
      </c>
      <c r="B25" s="188"/>
      <c r="C25" s="188"/>
      <c r="D25" s="188"/>
      <c r="E25" s="188"/>
      <c r="F25" s="188"/>
      <c r="G25" s="188"/>
      <c r="H25" s="189"/>
      <c r="I25" s="189"/>
      <c r="J25" s="189"/>
      <c r="K25" s="189"/>
      <c r="L25" s="189"/>
      <c r="M25" s="78" t="s">
        <v>46</v>
      </c>
      <c r="N25" s="189"/>
      <c r="O25" s="78"/>
      <c r="P25" s="189"/>
      <c r="Q25" s="189"/>
    </row>
    <row r="26" spans="6:10" ht="15" customHeight="1">
      <c r="F26" s="191" t="s">
        <v>47</v>
      </c>
      <c r="G26" s="10" t="s">
        <v>19</v>
      </c>
      <c r="H26" s="10"/>
      <c r="I26" s="10"/>
      <c r="J26" s="10"/>
    </row>
    <row r="27" spans="6:10" ht="15" customHeight="1">
      <c r="F27" s="191" t="s">
        <v>48</v>
      </c>
      <c r="G27" s="10" t="s">
        <v>49</v>
      </c>
      <c r="H27" s="10"/>
      <c r="I27" s="10"/>
      <c r="J27" s="10"/>
    </row>
    <row r="28" spans="6:10" ht="15" customHeight="1">
      <c r="F28" s="191" t="s">
        <v>50</v>
      </c>
      <c r="G28" s="10" t="s">
        <v>51</v>
      </c>
      <c r="H28" s="10"/>
      <c r="I28" s="10"/>
      <c r="J28" s="10"/>
    </row>
    <row r="29" spans="4:11" ht="21" customHeight="1">
      <c r="D29" s="782" t="s">
        <v>99</v>
      </c>
      <c r="E29" s="782"/>
      <c r="F29" s="782"/>
      <c r="G29" s="782"/>
      <c r="H29" s="782"/>
      <c r="I29" s="782"/>
      <c r="J29" s="782"/>
      <c r="K29" s="782"/>
    </row>
    <row r="30" spans="1:18" ht="18">
      <c r="A30" s="2" t="s">
        <v>148</v>
      </c>
      <c r="B30" s="196" t="str">
        <f>B6</f>
        <v>2017/2018</v>
      </c>
      <c r="C30" s="62"/>
      <c r="E30" s="61"/>
      <c r="F30" s="62"/>
      <c r="G30" s="157"/>
      <c r="H30" s="62"/>
      <c r="I30" s="61"/>
      <c r="J30" s="61"/>
      <c r="K30" s="61"/>
      <c r="L30" s="151"/>
      <c r="M30" s="151"/>
      <c r="N30" s="151"/>
      <c r="O30" s="151"/>
      <c r="P30" s="61"/>
      <c r="Q30" s="61"/>
      <c r="R30" s="61"/>
    </row>
    <row r="31" spans="1:18" ht="15.75" customHeight="1">
      <c r="A31" s="62" t="s">
        <v>147</v>
      </c>
      <c r="B31" s="190" t="str">
        <f>INDEX('دورة1 دورة2'!B10:BJ30,MATCH("b",'دورة1 دورة2'!B10:B30,0),3)</f>
        <v>العياشي </v>
      </c>
      <c r="C31" s="158" t="s">
        <v>146</v>
      </c>
      <c r="D31" s="186" t="str">
        <f>INDEX('دورة1 دورة2'!B10:BJ30,MATCH("b",'دورة1 دورة2'!B10:B30,0),4)</f>
        <v>نوار</v>
      </c>
      <c r="E31" s="62"/>
      <c r="F31" s="158" t="s">
        <v>52</v>
      </c>
      <c r="G31" s="783">
        <f>INDEX('دورة1 دورة2'!B10:BJ30,MATCH("b",'دورة1 دورة2'!B10:B30,0),6)</f>
        <v>0</v>
      </c>
      <c r="H31" s="783"/>
      <c r="I31" s="783"/>
      <c r="J31" s="61"/>
      <c r="K31" s="132" t="s">
        <v>53</v>
      </c>
      <c r="L31" s="784">
        <f>INDEX('دورة1 دورة2'!B10:BJ30,MATCH("b",'دورة1 دورة2'!B10:B30,0),7)</f>
        <v>0</v>
      </c>
      <c r="M31" s="784"/>
      <c r="O31" s="186"/>
      <c r="P31" s="8" t="s">
        <v>54</v>
      </c>
      <c r="Q31" s="784">
        <f>INDEX('دورة1 دورة2'!B10:BJ30,MATCH("b",'دورة1 دورة2'!B10:B30,0),8)</f>
        <v>0</v>
      </c>
      <c r="R31" s="784"/>
    </row>
    <row r="32" spans="1:18" ht="15" customHeight="1">
      <c r="A32" s="2" t="s">
        <v>149</v>
      </c>
      <c r="B32" s="190">
        <f>INDEX('دورة1 دورة2'!B10:BJ30,MATCH("b",'دورة1 دورة2'!B10:B30,0),5)</f>
        <v>0</v>
      </c>
      <c r="C32" s="166"/>
      <c r="D32" s="9" t="s">
        <v>55</v>
      </c>
      <c r="E32" s="11" t="s">
        <v>56</v>
      </c>
      <c r="F32" s="11"/>
      <c r="G32" s="156"/>
      <c r="H32" s="11"/>
      <c r="I32" s="9"/>
      <c r="J32" s="9" t="s">
        <v>57</v>
      </c>
      <c r="K32" s="9"/>
      <c r="L32" s="11"/>
      <c r="N32" s="4" t="s">
        <v>98</v>
      </c>
      <c r="O32" s="2" t="s">
        <v>98</v>
      </c>
      <c r="P32" s="10" t="s">
        <v>97</v>
      </c>
      <c r="R32" s="61"/>
    </row>
    <row r="33" spans="1:16" ht="15.75" thickBot="1">
      <c r="A33" s="3" t="s">
        <v>58</v>
      </c>
      <c r="B33" s="139" t="str">
        <f>B9</f>
        <v>ماستر: (أكـــاديمية)</v>
      </c>
      <c r="C33" s="139"/>
      <c r="G33" s="129"/>
      <c r="J33" s="4"/>
      <c r="K33" s="4"/>
      <c r="M33" s="4"/>
      <c r="N33" s="4"/>
      <c r="O33" s="126"/>
      <c r="P33" s="126"/>
    </row>
    <row r="34" spans="1:18" ht="30.75" customHeight="1" thickBot="1" thickTop="1">
      <c r="A34" s="790" t="s">
        <v>25</v>
      </c>
      <c r="B34" s="787" t="s">
        <v>59</v>
      </c>
      <c r="C34" s="788"/>
      <c r="D34" s="788"/>
      <c r="E34" s="789"/>
      <c r="F34" s="787" t="s">
        <v>60</v>
      </c>
      <c r="G34" s="788"/>
      <c r="H34" s="789"/>
      <c r="I34" s="787" t="s">
        <v>61</v>
      </c>
      <c r="J34" s="788"/>
      <c r="K34" s="788"/>
      <c r="L34" s="788"/>
      <c r="M34" s="788"/>
      <c r="N34" s="788"/>
      <c r="O34" s="788"/>
      <c r="P34" s="788"/>
      <c r="Q34" s="788"/>
      <c r="R34" s="793"/>
    </row>
    <row r="35" spans="1:18" ht="15.75" customHeight="1" thickBot="1">
      <c r="A35" s="791"/>
      <c r="B35" s="807" t="s">
        <v>63</v>
      </c>
      <c r="C35" s="807" t="s">
        <v>62</v>
      </c>
      <c r="D35" s="149" t="s">
        <v>64</v>
      </c>
      <c r="E35" s="807" t="s">
        <v>65</v>
      </c>
      <c r="F35" s="807" t="s">
        <v>66</v>
      </c>
      <c r="G35" s="138" t="s">
        <v>64</v>
      </c>
      <c r="H35" s="807" t="s">
        <v>65</v>
      </c>
      <c r="I35" s="780" t="s">
        <v>67</v>
      </c>
      <c r="J35" s="794"/>
      <c r="K35" s="781"/>
      <c r="L35" s="780" t="s">
        <v>68</v>
      </c>
      <c r="M35" s="794"/>
      <c r="N35" s="794"/>
      <c r="O35" s="781"/>
      <c r="P35" s="780" t="s">
        <v>25</v>
      </c>
      <c r="Q35" s="794"/>
      <c r="R35" s="795"/>
    </row>
    <row r="36" spans="1:21" ht="15.75" customHeight="1" thickBot="1">
      <c r="A36" s="792"/>
      <c r="B36" s="808"/>
      <c r="C36" s="808"/>
      <c r="D36" s="150" t="s">
        <v>69</v>
      </c>
      <c r="E36" s="808"/>
      <c r="F36" s="808"/>
      <c r="G36" s="138" t="s">
        <v>69</v>
      </c>
      <c r="H36" s="808"/>
      <c r="I36" s="133" t="s">
        <v>70</v>
      </c>
      <c r="J36" s="133" t="s">
        <v>100</v>
      </c>
      <c r="K36" s="133" t="s">
        <v>96</v>
      </c>
      <c r="L36" s="133" t="s">
        <v>70</v>
      </c>
      <c r="M36" s="133" t="s">
        <v>100</v>
      </c>
      <c r="N36" s="133" t="s">
        <v>96</v>
      </c>
      <c r="O36" s="133" t="s">
        <v>93</v>
      </c>
      <c r="P36" s="133" t="s">
        <v>70</v>
      </c>
      <c r="Q36" s="133" t="s">
        <v>100</v>
      </c>
      <c r="R36" s="140" t="s">
        <v>96</v>
      </c>
      <c r="U36" s="134"/>
    </row>
    <row r="37" spans="1:21" ht="20.25" customHeight="1" thickBot="1">
      <c r="A37" s="773" t="s">
        <v>457</v>
      </c>
      <c r="B37" s="785" t="s">
        <v>126</v>
      </c>
      <c r="C37" s="785" t="s">
        <v>122</v>
      </c>
      <c r="D37" s="785">
        <v>18</v>
      </c>
      <c r="E37" s="785">
        <v>7</v>
      </c>
      <c r="F37" s="588" t="s">
        <v>205</v>
      </c>
      <c r="G37" s="137">
        <v>7</v>
      </c>
      <c r="H37" s="144">
        <v>3</v>
      </c>
      <c r="I37" s="145">
        <f>INDEX('دورة1 دورة2'!B10:BJ30,MATCH("b",'دورة1 دورة2'!B10:B30,0),9)</f>
        <v>17.25</v>
      </c>
      <c r="J37" s="146">
        <f>IF(I37&lt;30,0,7)</f>
        <v>0</v>
      </c>
      <c r="K37" s="199" t="str">
        <f>INDEX('دورة1 دورة2'!B10:BJ30,MATCH("b",'دورة1 دورة2'!B10:B30,0),11)</f>
        <v>د1</v>
      </c>
      <c r="L37" s="813">
        <f>(I37+I38+I39)/7</f>
        <v>5.678571428571429</v>
      </c>
      <c r="M37" s="796">
        <f>IF(L37&lt;10,J37+J38+J39,18)</f>
        <v>0</v>
      </c>
      <c r="N37" s="796" t="str">
        <f>INDEX('دورة1 دورة2'!B10:BJ30,MATCH("b",'دورة1 دورة2'!B10:B30,0),20)</f>
        <v>د1</v>
      </c>
      <c r="O37" s="796">
        <f>LOOKUP("r",'دورة1 دورة2'!B:B,'دورة1 دورة2'!AG:AG)</f>
        <v>2018</v>
      </c>
      <c r="P37" s="799">
        <f>(I37+I38+I39+I40+I41+I42+I43)/14</f>
        <v>5.992857142857143</v>
      </c>
      <c r="Q37" s="809">
        <f>IF(P37&lt;10,M37+M40+M42+M43,30)</f>
        <v>0</v>
      </c>
      <c r="R37" s="809" t="str">
        <f>INDEX('دورة1 دورة2'!B10:BJ30,MATCH("b",'دورة1 دورة2'!B10:B30,0),51)</f>
        <v>د1</v>
      </c>
      <c r="S37" s="764"/>
      <c r="U37" s="134"/>
    </row>
    <row r="38" spans="1:19" ht="20.25" customHeight="1" thickBot="1">
      <c r="A38" s="773"/>
      <c r="B38" s="786"/>
      <c r="C38" s="786"/>
      <c r="D38" s="786"/>
      <c r="E38" s="786"/>
      <c r="F38" s="589" t="s">
        <v>206</v>
      </c>
      <c r="G38" s="137">
        <v>6</v>
      </c>
      <c r="H38" s="144">
        <v>2</v>
      </c>
      <c r="I38" s="145">
        <f>INDEX('دورة1 دورة2'!B10:BJ30,MATCH("b",'دورة1 دورة2'!B10:B30,0),12)</f>
        <v>10.5</v>
      </c>
      <c r="J38" s="146">
        <f>IF(I38&lt;20,0,6)</f>
        <v>0</v>
      </c>
      <c r="K38" s="199" t="str">
        <f>INDEX('دورة1 دورة2'!B10:BJ30,MATCH("b",'دورة1 دورة2'!B10:B30,0),14)</f>
        <v>د1</v>
      </c>
      <c r="L38" s="815"/>
      <c r="M38" s="798"/>
      <c r="N38" s="798"/>
      <c r="O38" s="798"/>
      <c r="P38" s="800"/>
      <c r="Q38" s="810"/>
      <c r="R38" s="810"/>
      <c r="S38" s="764"/>
    </row>
    <row r="39" spans="1:19" ht="20.25" customHeight="1" thickBot="1">
      <c r="A39" s="773"/>
      <c r="B39" s="774"/>
      <c r="C39" s="774"/>
      <c r="D39" s="774"/>
      <c r="E39" s="774"/>
      <c r="F39" s="589" t="s">
        <v>207</v>
      </c>
      <c r="G39" s="137">
        <v>5</v>
      </c>
      <c r="H39" s="144">
        <v>2</v>
      </c>
      <c r="I39" s="145">
        <f>INDEX('دورة1 دورة2'!B10:BJ30,MATCH("b",'دورة1 دورة2'!B10:B30,0),15)</f>
        <v>12</v>
      </c>
      <c r="J39" s="146">
        <f>IF(I39&lt;20,0,5)</f>
        <v>0</v>
      </c>
      <c r="K39" s="199" t="str">
        <f>INDEX('دورة1 دورة2'!B10:BJ30,MATCH("b",'دورة1 دورة2'!B10:B30,0),17)</f>
        <v>د1</v>
      </c>
      <c r="L39" s="814"/>
      <c r="M39" s="797"/>
      <c r="N39" s="797"/>
      <c r="O39" s="797"/>
      <c r="P39" s="800"/>
      <c r="Q39" s="810"/>
      <c r="R39" s="810"/>
      <c r="S39" s="764"/>
    </row>
    <row r="40" spans="1:19" ht="20.25" customHeight="1" thickBot="1">
      <c r="A40" s="773"/>
      <c r="B40" s="785" t="s">
        <v>127</v>
      </c>
      <c r="C40" s="785" t="s">
        <v>123</v>
      </c>
      <c r="D40" s="785">
        <v>9</v>
      </c>
      <c r="E40" s="785">
        <v>4</v>
      </c>
      <c r="F40" s="590" t="s">
        <v>208</v>
      </c>
      <c r="G40" s="137">
        <v>5</v>
      </c>
      <c r="H40" s="144">
        <v>2</v>
      </c>
      <c r="I40" s="145">
        <f>INDEX('دورة1 دورة2'!B10:BJ30,MATCH("b",'دورة1 دورة2'!B10:B30,0),23)</f>
        <v>12.4</v>
      </c>
      <c r="J40" s="146">
        <f>IF(I40&lt;20,0,5)</f>
        <v>0</v>
      </c>
      <c r="K40" s="199" t="str">
        <f>INDEX('دورة1 دورة2'!B10:BJ30,MATCH("b",'دورة1 دورة2'!B10:B30,0),25)</f>
        <v>د1</v>
      </c>
      <c r="L40" s="813">
        <f>(I41+I40)/4</f>
        <v>6.85</v>
      </c>
      <c r="M40" s="796">
        <f>IF(L40&lt;10,J41+J40,9)</f>
        <v>0</v>
      </c>
      <c r="N40" s="796" t="str">
        <f>INDEX('دورة1 دورة2'!B10:BJ30,MATCH("b",'دورة1 دورة2'!B10:B30,0),31)</f>
        <v>د1</v>
      </c>
      <c r="O40" s="796">
        <f>LOOKUP("r",'دورة1 دورة2'!B:B,'دورة1 دورة2'!AN:AN)</f>
        <v>2018</v>
      </c>
      <c r="P40" s="800"/>
      <c r="Q40" s="810"/>
      <c r="R40" s="810"/>
      <c r="S40" s="764"/>
    </row>
    <row r="41" spans="1:19" ht="20.25" customHeight="1" thickBot="1">
      <c r="A41" s="773"/>
      <c r="B41" s="774"/>
      <c r="C41" s="774"/>
      <c r="D41" s="774"/>
      <c r="E41" s="774"/>
      <c r="F41" s="589" t="s">
        <v>209</v>
      </c>
      <c r="G41" s="137">
        <v>4</v>
      </c>
      <c r="H41" s="144">
        <v>2</v>
      </c>
      <c r="I41" s="145">
        <f>INDEX('دورة1 دورة2'!B10:BJ30,MATCH("b",'دورة1 دورة2'!B10:B30,0),26)</f>
        <v>15</v>
      </c>
      <c r="J41" s="146">
        <f>IF(I41&lt;20,0,4)</f>
        <v>0</v>
      </c>
      <c r="K41" s="199" t="str">
        <f>INDEX('دورة1 دورة2'!B10:BJ30,MATCH("b",'دورة1 دورة2'!B10:B30,0),28)</f>
        <v>د1</v>
      </c>
      <c r="L41" s="814"/>
      <c r="M41" s="797"/>
      <c r="N41" s="797"/>
      <c r="O41" s="797"/>
      <c r="P41" s="800"/>
      <c r="Q41" s="810"/>
      <c r="R41" s="810"/>
      <c r="S41" s="764"/>
    </row>
    <row r="42" spans="1:19" ht="20.25" customHeight="1" thickBot="1">
      <c r="A42" s="773"/>
      <c r="B42" s="137" t="s">
        <v>128</v>
      </c>
      <c r="C42" s="137" t="s">
        <v>124</v>
      </c>
      <c r="D42" s="137">
        <v>2</v>
      </c>
      <c r="E42" s="137">
        <v>2</v>
      </c>
      <c r="F42" s="589" t="s">
        <v>211</v>
      </c>
      <c r="G42" s="137">
        <v>2</v>
      </c>
      <c r="H42" s="144">
        <v>2</v>
      </c>
      <c r="I42" s="145">
        <f>INDEX('دورة1 دورة2'!B10:BJ30,MATCH("b",'دورة1 دورة2'!B10:B30,0),34)</f>
        <v>12</v>
      </c>
      <c r="J42" s="146">
        <f>IF(I42&lt;20,0,2)</f>
        <v>0</v>
      </c>
      <c r="K42" s="199" t="str">
        <f>INDEX('دورة1 دورة2'!B10:BJ30,MATCH("b",'دورة1 دورة2'!B10:B30,0),36)</f>
        <v>د1</v>
      </c>
      <c r="L42" s="147">
        <f>I42/2</f>
        <v>6</v>
      </c>
      <c r="M42" s="148">
        <f>J42</f>
        <v>0</v>
      </c>
      <c r="N42" s="199" t="str">
        <f>K42</f>
        <v>د1</v>
      </c>
      <c r="O42" s="146">
        <f>LOOKUP("r",'دورة1 دورة2'!B:B,'دورة1 دورة2'!AU:AU)</f>
        <v>2018</v>
      </c>
      <c r="P42" s="800"/>
      <c r="Q42" s="810"/>
      <c r="R42" s="810"/>
      <c r="S42" s="131"/>
    </row>
    <row r="43" spans="1:19" ht="20.25" customHeight="1" thickBot="1">
      <c r="A43" s="773"/>
      <c r="B43" s="137" t="s">
        <v>129</v>
      </c>
      <c r="C43" s="137" t="s">
        <v>125</v>
      </c>
      <c r="D43" s="137">
        <v>1</v>
      </c>
      <c r="E43" s="137">
        <v>1</v>
      </c>
      <c r="F43" s="591" t="s">
        <v>191</v>
      </c>
      <c r="G43" s="137">
        <v>1</v>
      </c>
      <c r="H43" s="144">
        <v>1</v>
      </c>
      <c r="I43" s="145">
        <f>INDEX('دورة1 دورة2'!B10:BJ30,MATCH("b",'دورة1 دورة2'!B10:B30,0),41)</f>
        <v>4.75</v>
      </c>
      <c r="J43" s="146">
        <f>IF(I43&lt;10,0,1)</f>
        <v>0</v>
      </c>
      <c r="K43" s="199" t="str">
        <f>INDEX('دورة1 دورة2'!B10:BJ30,MATCH("b",'دورة1 دورة2'!B10:B30,0),43)</f>
        <v>د1</v>
      </c>
      <c r="L43" s="147">
        <f>I43</f>
        <v>4.75</v>
      </c>
      <c r="M43" s="148">
        <f>J43</f>
        <v>0</v>
      </c>
      <c r="N43" s="199" t="str">
        <f>K43</f>
        <v>د1</v>
      </c>
      <c r="O43" s="146">
        <f>LOOKUP("r",'دورة1 دورة2'!B:B,'دورة1 دورة2'!AU:AU)</f>
        <v>2018</v>
      </c>
      <c r="P43" s="801"/>
      <c r="Q43" s="811"/>
      <c r="R43" s="812"/>
      <c r="S43" s="131"/>
    </row>
    <row r="44" spans="1:19" ht="67.5" customHeight="1" thickBot="1" thickTop="1">
      <c r="A44" s="342" t="s">
        <v>458</v>
      </c>
      <c r="B44" s="137" t="s">
        <v>126</v>
      </c>
      <c r="C44" s="137" t="s">
        <v>122</v>
      </c>
      <c r="D44" s="137">
        <v>18</v>
      </c>
      <c r="E44" s="137">
        <v>7</v>
      </c>
      <c r="F44" s="592" t="s">
        <v>213</v>
      </c>
      <c r="G44" s="137">
        <v>7</v>
      </c>
      <c r="H44" s="144">
        <v>2</v>
      </c>
      <c r="I44" s="145">
        <f>INDEX('دورة1 دورة2'!B10:BJ30,MATCH("b",'دورة1 دورة2'!B10:B30,0),54)</f>
        <v>0</v>
      </c>
      <c r="J44" s="146">
        <f>IF(I44&lt;300,0,30)</f>
        <v>0</v>
      </c>
      <c r="K44" s="199" t="str">
        <f>INDEX('دورة1 دورة2'!B10:BJ30,MATCH("b",'دورة1 دورة2'!B10:B30,0),56)</f>
        <v>د1</v>
      </c>
      <c r="L44" s="147">
        <f>(I44)/30</f>
        <v>0</v>
      </c>
      <c r="M44" s="148">
        <f>IF(L44&lt;300,J44,30)</f>
        <v>0</v>
      </c>
      <c r="N44" s="148" t="str">
        <f>INDEX('دورة1 دورة2'!B10:BJ30,MATCH("b",'دورة1 دورة2'!B10:B30,0),60)</f>
        <v>د1</v>
      </c>
      <c r="O44" s="148" t="e">
        <f>LOOKUP("r",'دورة1 دورة2'!B:B,'دورة1 دورة2'!#REF!)</f>
        <v>#REF!</v>
      </c>
      <c r="P44" s="341">
        <f>(I44)/30</f>
        <v>0</v>
      </c>
      <c r="Q44" s="148">
        <f>M44</f>
        <v>0</v>
      </c>
      <c r="R44" s="584" t="str">
        <f>INDEX('دورة1 دورة2'!B10:BJ30,MATCH("b",'دورة1 دورة2'!B10:B30,0),60)</f>
        <v>د1</v>
      </c>
      <c r="S44" s="131"/>
    </row>
    <row r="45" spans="1:18" ht="17.25" customHeight="1" thickBot="1">
      <c r="A45" s="62" t="s">
        <v>150</v>
      </c>
      <c r="B45" s="581">
        <f>(P37+P44)/2</f>
        <v>2.9964285714285714</v>
      </c>
      <c r="C45" s="759" t="s">
        <v>461</v>
      </c>
      <c r="D45" s="760"/>
      <c r="E45" s="760"/>
      <c r="F45" s="761"/>
      <c r="G45" s="582">
        <f>Q37+Q44</f>
        <v>0</v>
      </c>
      <c r="H45" s="6"/>
      <c r="I45" s="6"/>
      <c r="J45" s="134" t="s">
        <v>72</v>
      </c>
      <c r="K45" s="6"/>
      <c r="L45" s="6"/>
      <c r="M45" s="6"/>
      <c r="N45" s="6"/>
      <c r="O45" s="6"/>
      <c r="P45" s="583">
        <v>120</v>
      </c>
      <c r="Q45" s="130"/>
      <c r="R45" s="130"/>
    </row>
    <row r="46" spans="1:18" ht="16.5" customHeight="1" thickBot="1">
      <c r="A46" s="62" t="s">
        <v>121</v>
      </c>
      <c r="B46" s="75" t="str">
        <f>IF(B45&lt;10,"راسب(ة)","ناجح(ة)")</f>
        <v>راسب(ة)</v>
      </c>
      <c r="G46" s="129"/>
      <c r="I46" s="80"/>
      <c r="J46" s="134" t="s">
        <v>73</v>
      </c>
      <c r="K46" s="6"/>
      <c r="L46" s="6"/>
      <c r="M46" s="6"/>
      <c r="N46" s="6"/>
      <c r="O46" s="6"/>
      <c r="P46" s="133">
        <v>120</v>
      </c>
      <c r="Q46" s="5"/>
      <c r="R46" s="5"/>
    </row>
    <row r="47" spans="1:7" ht="16.5" customHeight="1">
      <c r="A47" s="62" t="s">
        <v>120</v>
      </c>
      <c r="B47" s="77">
        <f ca="1">TODAY()</f>
        <v>43188</v>
      </c>
      <c r="G47" s="129"/>
    </row>
    <row r="48" spans="1:14" ht="16.5" customHeight="1">
      <c r="A48" s="62" t="s">
        <v>74</v>
      </c>
      <c r="B48" s="8" t="s">
        <v>119</v>
      </c>
      <c r="L48" s="762" t="s">
        <v>29</v>
      </c>
      <c r="M48" s="762"/>
      <c r="N48" s="75"/>
    </row>
    <row r="49" spans="1:17" ht="20.25">
      <c r="A49" s="187" t="s">
        <v>45</v>
      </c>
      <c r="B49" s="188"/>
      <c r="C49" s="188"/>
      <c r="D49" s="188"/>
      <c r="E49" s="188"/>
      <c r="F49" s="188"/>
      <c r="G49" s="188"/>
      <c r="H49" s="189"/>
      <c r="I49" s="189"/>
      <c r="J49" s="189"/>
      <c r="K49" s="189"/>
      <c r="L49" s="189"/>
      <c r="M49" s="78" t="s">
        <v>46</v>
      </c>
      <c r="N49" s="189"/>
      <c r="O49" s="78"/>
      <c r="P49" s="189"/>
      <c r="Q49" s="189"/>
    </row>
    <row r="50" spans="6:10" ht="15" customHeight="1">
      <c r="F50" s="191" t="s">
        <v>47</v>
      </c>
      <c r="G50" s="10" t="s">
        <v>19</v>
      </c>
      <c r="H50" s="10"/>
      <c r="I50" s="10"/>
      <c r="J50" s="10"/>
    </row>
    <row r="51" spans="6:10" ht="15" customHeight="1">
      <c r="F51" s="191" t="s">
        <v>48</v>
      </c>
      <c r="G51" s="10" t="s">
        <v>49</v>
      </c>
      <c r="H51" s="10"/>
      <c r="I51" s="10"/>
      <c r="J51" s="10"/>
    </row>
    <row r="52" spans="6:10" ht="15" customHeight="1">
      <c r="F52" s="191" t="s">
        <v>50</v>
      </c>
      <c r="G52" s="10" t="s">
        <v>51</v>
      </c>
      <c r="H52" s="10"/>
      <c r="I52" s="10"/>
      <c r="J52" s="10"/>
    </row>
    <row r="53" spans="4:11" ht="21" customHeight="1">
      <c r="D53" s="782" t="s">
        <v>99</v>
      </c>
      <c r="E53" s="782"/>
      <c r="F53" s="782"/>
      <c r="G53" s="782"/>
      <c r="H53" s="782"/>
      <c r="I53" s="782"/>
      <c r="J53" s="782"/>
      <c r="K53" s="782"/>
    </row>
    <row r="54" spans="1:18" ht="18">
      <c r="A54" s="2" t="s">
        <v>148</v>
      </c>
      <c r="B54" s="196" t="str">
        <f>B6</f>
        <v>2017/2018</v>
      </c>
      <c r="C54" s="62"/>
      <c r="E54" s="61"/>
      <c r="F54" s="62"/>
      <c r="G54" s="157"/>
      <c r="H54" s="62"/>
      <c r="I54" s="61"/>
      <c r="J54" s="61"/>
      <c r="K54" s="61"/>
      <c r="L54" s="151"/>
      <c r="M54" s="151"/>
      <c r="N54" s="151"/>
      <c r="O54" s="151"/>
      <c r="P54" s="61"/>
      <c r="Q54" s="61"/>
      <c r="R54" s="61"/>
    </row>
    <row r="55" spans="1:18" ht="15.75" customHeight="1">
      <c r="A55" s="62" t="s">
        <v>147</v>
      </c>
      <c r="B55" s="190" t="str">
        <f>INDEX('دورة1 دورة2'!B10:BJ30,MATCH("c",'دورة1 دورة2'!B10:B30,0),3)</f>
        <v>باطح </v>
      </c>
      <c r="C55" s="158" t="s">
        <v>146</v>
      </c>
      <c r="D55" s="186" t="str">
        <f>INDEX('دورة1 دورة2'!B10:BJ30,MATCH("c",'دورة1 دورة2'!B10:B30,0),4)</f>
        <v>محمد لمين</v>
      </c>
      <c r="E55" s="62"/>
      <c r="F55" s="158" t="s">
        <v>52</v>
      </c>
      <c r="G55" s="783">
        <f>INDEX('دورة1 دورة2'!B10:BJ30,MATCH("c",'دورة1 دورة2'!B10:B30,0),6)</f>
        <v>0</v>
      </c>
      <c r="H55" s="783"/>
      <c r="I55" s="783"/>
      <c r="J55" s="61"/>
      <c r="K55" s="132" t="s">
        <v>53</v>
      </c>
      <c r="L55" s="784">
        <f>INDEX('دورة1 دورة2'!B10:BJ30,MATCH("c",'دورة1 دورة2'!B10:B30,0),7)</f>
        <v>0</v>
      </c>
      <c r="M55" s="784"/>
      <c r="O55" s="186"/>
      <c r="P55" s="8" t="s">
        <v>54</v>
      </c>
      <c r="Q55" s="784">
        <f>INDEX('دورة1 دورة2'!B10:BJ30,MATCH("c",'دورة1 دورة2'!B10:B30,0),8)</f>
        <v>0</v>
      </c>
      <c r="R55" s="784"/>
    </row>
    <row r="56" spans="1:18" ht="15" customHeight="1">
      <c r="A56" s="2" t="s">
        <v>149</v>
      </c>
      <c r="B56" s="190">
        <f>INDEX('دورة1 دورة2'!B10:BJ30,MATCH("c",'دورة1 دورة2'!B10:B30,0),5)</f>
        <v>0</v>
      </c>
      <c r="C56" s="166"/>
      <c r="D56" s="9" t="s">
        <v>55</v>
      </c>
      <c r="E56" s="11" t="s">
        <v>56</v>
      </c>
      <c r="F56" s="11"/>
      <c r="G56" s="156"/>
      <c r="H56" s="11"/>
      <c r="I56" s="9"/>
      <c r="J56" s="9" t="s">
        <v>57</v>
      </c>
      <c r="K56" s="9"/>
      <c r="L56" s="11"/>
      <c r="N56" s="4" t="s">
        <v>98</v>
      </c>
      <c r="O56" s="2" t="s">
        <v>98</v>
      </c>
      <c r="P56" s="10" t="s">
        <v>97</v>
      </c>
      <c r="R56" s="61"/>
    </row>
    <row r="57" spans="1:16" ht="15.75" thickBot="1">
      <c r="A57" s="3" t="s">
        <v>58</v>
      </c>
      <c r="B57" s="139" t="str">
        <f>B9</f>
        <v>ماستر: (أكـــاديمية)</v>
      </c>
      <c r="C57" s="139"/>
      <c r="G57" s="129"/>
      <c r="J57" s="4"/>
      <c r="K57" s="4"/>
      <c r="M57" s="4"/>
      <c r="N57" s="4"/>
      <c r="O57" s="126"/>
      <c r="P57" s="126"/>
    </row>
    <row r="58" spans="1:18" ht="31.5" customHeight="1" thickBot="1" thickTop="1">
      <c r="A58" s="775" t="s">
        <v>25</v>
      </c>
      <c r="B58" s="777" t="s">
        <v>59</v>
      </c>
      <c r="C58" s="777"/>
      <c r="D58" s="778"/>
      <c r="E58" s="777"/>
      <c r="F58" s="777" t="s">
        <v>60</v>
      </c>
      <c r="G58" s="777"/>
      <c r="H58" s="777"/>
      <c r="I58" s="777" t="s">
        <v>61</v>
      </c>
      <c r="J58" s="777"/>
      <c r="K58" s="777"/>
      <c r="L58" s="777"/>
      <c r="M58" s="777"/>
      <c r="N58" s="777"/>
      <c r="O58" s="777"/>
      <c r="P58" s="777"/>
      <c r="Q58" s="777"/>
      <c r="R58" s="779"/>
    </row>
    <row r="59" spans="1:18" ht="15.75" thickBot="1">
      <c r="A59" s="776"/>
      <c r="B59" s="780" t="s">
        <v>63</v>
      </c>
      <c r="C59" s="771" t="s">
        <v>62</v>
      </c>
      <c r="D59" s="149" t="s">
        <v>64</v>
      </c>
      <c r="E59" s="781" t="s">
        <v>65</v>
      </c>
      <c r="F59" s="771" t="s">
        <v>66</v>
      </c>
      <c r="G59" s="138" t="s">
        <v>64</v>
      </c>
      <c r="H59" s="771" t="s">
        <v>65</v>
      </c>
      <c r="I59" s="771" t="s">
        <v>67</v>
      </c>
      <c r="J59" s="771"/>
      <c r="K59" s="771"/>
      <c r="L59" s="771" t="s">
        <v>68</v>
      </c>
      <c r="M59" s="771"/>
      <c r="N59" s="771"/>
      <c r="O59" s="771"/>
      <c r="P59" s="771" t="s">
        <v>25</v>
      </c>
      <c r="Q59" s="771"/>
      <c r="R59" s="772"/>
    </row>
    <row r="60" spans="1:21" ht="15.75" thickBot="1">
      <c r="A60" s="776"/>
      <c r="B60" s="780"/>
      <c r="C60" s="771"/>
      <c r="D60" s="150" t="s">
        <v>69</v>
      </c>
      <c r="E60" s="781"/>
      <c r="F60" s="771"/>
      <c r="G60" s="138" t="s">
        <v>69</v>
      </c>
      <c r="H60" s="771"/>
      <c r="I60" s="133" t="s">
        <v>70</v>
      </c>
      <c r="J60" s="133" t="s">
        <v>100</v>
      </c>
      <c r="K60" s="133" t="s">
        <v>96</v>
      </c>
      <c r="L60" s="133" t="s">
        <v>70</v>
      </c>
      <c r="M60" s="133" t="s">
        <v>100</v>
      </c>
      <c r="N60" s="133" t="s">
        <v>96</v>
      </c>
      <c r="O60" s="133" t="s">
        <v>93</v>
      </c>
      <c r="P60" s="133" t="s">
        <v>70</v>
      </c>
      <c r="Q60" s="133" t="s">
        <v>100</v>
      </c>
      <c r="R60" s="140" t="s">
        <v>96</v>
      </c>
      <c r="U60" s="134"/>
    </row>
    <row r="61" spans="1:21" ht="21" customHeight="1" thickBot="1">
      <c r="A61" s="773" t="s">
        <v>457</v>
      </c>
      <c r="B61" s="769" t="s">
        <v>126</v>
      </c>
      <c r="C61" s="769" t="s">
        <v>122</v>
      </c>
      <c r="D61" s="774">
        <v>18</v>
      </c>
      <c r="E61" s="769">
        <v>7</v>
      </c>
      <c r="F61" s="588" t="s">
        <v>205</v>
      </c>
      <c r="G61" s="137">
        <v>7</v>
      </c>
      <c r="H61" s="144">
        <v>3</v>
      </c>
      <c r="I61" s="145">
        <f>INDEX('دورة1 دورة2'!B10:BJ30,MATCH("c",'دورة1 دورة2'!B10:B30,0),9)</f>
        <v>47.25</v>
      </c>
      <c r="J61" s="146">
        <f>IF(I61&lt;30,0,7)</f>
        <v>7</v>
      </c>
      <c r="K61" s="199" t="str">
        <f>INDEX('دورة1 دورة2'!B10:BJ30,MATCH("c",'دورة1 دورة2'!B10:B30,0),11)</f>
        <v>د1</v>
      </c>
      <c r="L61" s="770">
        <f>(I61+I62+I63)/7</f>
        <v>14.321428571428571</v>
      </c>
      <c r="M61" s="763">
        <f>IF(L61&lt;10,J61+J62+J63,18)</f>
        <v>18</v>
      </c>
      <c r="N61" s="763" t="str">
        <f>INDEX('دورة1 دورة2'!B10:BJ30,MATCH("c",'دورة1 دورة2'!B10:B30,0),20)</f>
        <v>د1</v>
      </c>
      <c r="O61" s="763">
        <f>LOOKUP("r",'دورة1 دورة2'!B:B,'دورة1 دورة2'!AG:AG)</f>
        <v>2018</v>
      </c>
      <c r="P61" s="765">
        <f>(I61+I62+I63+I64+I65+I66+I67)/14</f>
        <v>12.921428571428573</v>
      </c>
      <c r="Q61" s="766">
        <f>IF(P61&lt;10,M61+M64+M66+M67,30)</f>
        <v>30</v>
      </c>
      <c r="R61" s="767" t="str">
        <f>INDEX('دورة1 دورة2'!B10:BJ30,MATCH("c",'دورة1 دورة2'!B10:B30,0),51)</f>
        <v>د1</v>
      </c>
      <c r="S61" s="764"/>
      <c r="U61" s="134"/>
    </row>
    <row r="62" spans="1:19" ht="21" customHeight="1" thickBot="1">
      <c r="A62" s="773"/>
      <c r="B62" s="769"/>
      <c r="C62" s="769"/>
      <c r="D62" s="769"/>
      <c r="E62" s="769"/>
      <c r="F62" s="589" t="s">
        <v>206</v>
      </c>
      <c r="G62" s="137">
        <v>6</v>
      </c>
      <c r="H62" s="144">
        <v>2</v>
      </c>
      <c r="I62" s="145">
        <f>INDEX('دورة1 دورة2'!B10:BJ30,MATCH("c",'دورة1 دورة2'!B10:B30,0),12)</f>
        <v>23</v>
      </c>
      <c r="J62" s="146">
        <f>IF(I62&lt;20,0,6)</f>
        <v>6</v>
      </c>
      <c r="K62" s="199" t="str">
        <f>INDEX('دورة1 دورة2'!B10:BJ30,MATCH("c",'دورة1 دورة2'!B10:B30,0),14)</f>
        <v>د1</v>
      </c>
      <c r="L62" s="770"/>
      <c r="M62" s="763"/>
      <c r="N62" s="763"/>
      <c r="O62" s="763"/>
      <c r="P62" s="765"/>
      <c r="Q62" s="766"/>
      <c r="R62" s="767"/>
      <c r="S62" s="764"/>
    </row>
    <row r="63" spans="1:19" ht="21" customHeight="1" thickBot="1">
      <c r="A63" s="773"/>
      <c r="B63" s="769"/>
      <c r="C63" s="769"/>
      <c r="D63" s="769"/>
      <c r="E63" s="769"/>
      <c r="F63" s="589" t="s">
        <v>207</v>
      </c>
      <c r="G63" s="137">
        <v>5</v>
      </c>
      <c r="H63" s="144">
        <v>2</v>
      </c>
      <c r="I63" s="145">
        <f>INDEX('دورة1 دورة2'!B10:BJ30,MATCH("c",'دورة1 دورة2'!B10:B30,0),15)</f>
        <v>30</v>
      </c>
      <c r="J63" s="146">
        <f>IF(I63&lt;20,0,5)</f>
        <v>5</v>
      </c>
      <c r="K63" s="199" t="str">
        <f>INDEX('دورة1 دورة2'!B10:BJ30,MATCH("c",'دورة1 دورة2'!B10:B30,0),17)</f>
        <v>د1</v>
      </c>
      <c r="L63" s="770"/>
      <c r="M63" s="763"/>
      <c r="N63" s="763"/>
      <c r="O63" s="763"/>
      <c r="P63" s="765"/>
      <c r="Q63" s="766"/>
      <c r="R63" s="767"/>
      <c r="S63" s="764"/>
    </row>
    <row r="64" spans="1:19" ht="21" customHeight="1" thickBot="1">
      <c r="A64" s="773"/>
      <c r="B64" s="769" t="s">
        <v>127</v>
      </c>
      <c r="C64" s="769" t="s">
        <v>123</v>
      </c>
      <c r="D64" s="769">
        <v>9</v>
      </c>
      <c r="E64" s="769">
        <v>4</v>
      </c>
      <c r="F64" s="590" t="s">
        <v>208</v>
      </c>
      <c r="G64" s="137">
        <v>5</v>
      </c>
      <c r="H64" s="144">
        <v>2</v>
      </c>
      <c r="I64" s="145">
        <f>INDEX('دورة1 دورة2'!B10:BJ30,MATCH("c",'دورة1 دورة2'!B10:B30,0),23)</f>
        <v>21.4</v>
      </c>
      <c r="J64" s="146">
        <f>IF(I64&lt;20,0,5)</f>
        <v>5</v>
      </c>
      <c r="K64" s="199" t="str">
        <f>INDEX('دورة1 دورة2'!B10:BJ30,MATCH("c",'دورة1 دورة2'!B10:B30,0),25)</f>
        <v>د1</v>
      </c>
      <c r="L64" s="770">
        <f>(I65+I64)/4</f>
        <v>11.475</v>
      </c>
      <c r="M64" s="763">
        <f>IF(L64&lt;10,J65+J64,9)</f>
        <v>9</v>
      </c>
      <c r="N64" s="763" t="str">
        <f>INDEX('دورة1 دورة2'!B10:BJ30,MATCH("c",'دورة1 دورة2'!B10:B30,0),31)</f>
        <v>د1</v>
      </c>
      <c r="O64" s="763">
        <f>LOOKUP("r",'دورة1 دورة2'!B:B,'دورة1 دورة2'!AN:AN)</f>
        <v>2018</v>
      </c>
      <c r="P64" s="765"/>
      <c r="Q64" s="766"/>
      <c r="R64" s="767"/>
      <c r="S64" s="764"/>
    </row>
    <row r="65" spans="1:19" ht="21" customHeight="1" thickBot="1">
      <c r="A65" s="773"/>
      <c r="B65" s="769"/>
      <c r="C65" s="769"/>
      <c r="D65" s="769"/>
      <c r="E65" s="769"/>
      <c r="F65" s="589" t="s">
        <v>209</v>
      </c>
      <c r="G65" s="137">
        <v>4</v>
      </c>
      <c r="H65" s="144">
        <v>2</v>
      </c>
      <c r="I65" s="145">
        <f>INDEX('دورة1 دورة2'!B10:BJ30,MATCH("c",'دورة1 دورة2'!B10:B30,0),26)</f>
        <v>24.5</v>
      </c>
      <c r="J65" s="146">
        <f>IF(I65&lt;20,0,4)</f>
        <v>4</v>
      </c>
      <c r="K65" s="199" t="str">
        <f>INDEX('دورة1 دورة2'!B10:BJ30,MATCH("c",'دورة1 دورة2'!B10:B30,0),28)</f>
        <v>د1</v>
      </c>
      <c r="L65" s="770"/>
      <c r="M65" s="763"/>
      <c r="N65" s="763"/>
      <c r="O65" s="763"/>
      <c r="P65" s="765"/>
      <c r="Q65" s="766"/>
      <c r="R65" s="767"/>
      <c r="S65" s="764"/>
    </row>
    <row r="66" spans="1:19" ht="21" customHeight="1" thickBot="1">
      <c r="A66" s="773"/>
      <c r="B66" s="137" t="s">
        <v>128</v>
      </c>
      <c r="C66" s="137" t="s">
        <v>124</v>
      </c>
      <c r="D66" s="137">
        <v>2</v>
      </c>
      <c r="E66" s="137">
        <v>2</v>
      </c>
      <c r="F66" s="589" t="s">
        <v>211</v>
      </c>
      <c r="G66" s="137">
        <v>2</v>
      </c>
      <c r="H66" s="144">
        <v>2</v>
      </c>
      <c r="I66" s="145">
        <f>INDEX('دورة1 دورة2'!B10:BJ30,MATCH("c",'دورة1 دورة2'!B10:B30,0),34)</f>
        <v>24</v>
      </c>
      <c r="J66" s="146">
        <f>IF(I66&lt;20,0,2)</f>
        <v>2</v>
      </c>
      <c r="K66" s="199" t="str">
        <f>INDEX('دورة1 دورة2'!B10:BJ30,MATCH("c",'دورة1 دورة2'!B10:B30,0),36)</f>
        <v>د1</v>
      </c>
      <c r="L66" s="147">
        <f>I66/2</f>
        <v>12</v>
      </c>
      <c r="M66" s="148">
        <f>J66</f>
        <v>2</v>
      </c>
      <c r="N66" s="199" t="str">
        <f>INDEX('دورة1 دورة2'!B10:BJ30,MATCH("c",'دورة1 دورة2'!B10:B30,0),36)</f>
        <v>د1</v>
      </c>
      <c r="O66" s="146">
        <f>LOOKUP("r",'دورة1 دورة2'!B:B,'دورة1 دورة2'!AU:AU)</f>
        <v>2018</v>
      </c>
      <c r="P66" s="765"/>
      <c r="Q66" s="766"/>
      <c r="R66" s="767"/>
      <c r="S66" s="131"/>
    </row>
    <row r="67" spans="1:19" ht="21" customHeight="1" thickBot="1">
      <c r="A67" s="773"/>
      <c r="B67" s="137" t="s">
        <v>129</v>
      </c>
      <c r="C67" s="137" t="s">
        <v>125</v>
      </c>
      <c r="D67" s="137">
        <v>1</v>
      </c>
      <c r="E67" s="137">
        <v>1</v>
      </c>
      <c r="F67" s="591" t="s">
        <v>191</v>
      </c>
      <c r="G67" s="137">
        <v>1</v>
      </c>
      <c r="H67" s="144">
        <v>1</v>
      </c>
      <c r="I67" s="145">
        <f>INDEX('دورة1 دورة2'!B10:BJ30,MATCH("c",'دورة1 دورة2'!B10:B30,0),41)</f>
        <v>10.75</v>
      </c>
      <c r="J67" s="146">
        <f>IF(I67&lt;10,0,1)</f>
        <v>1</v>
      </c>
      <c r="K67" s="199" t="str">
        <f>INDEX('دورة1 دورة2'!B10:BJ30,MATCH("c",'دورة1 دورة2'!B10:B30,0),43)</f>
        <v>د1</v>
      </c>
      <c r="L67" s="147">
        <f>I67</f>
        <v>10.75</v>
      </c>
      <c r="M67" s="148">
        <f>J67</f>
        <v>1</v>
      </c>
      <c r="N67" s="199" t="str">
        <f>INDEX('دورة1 دورة2'!B10:BJ30,MATCH("c",'دورة1 دورة2'!B10:B30,0),43)</f>
        <v>د1</v>
      </c>
      <c r="O67" s="146">
        <f>LOOKUP("r",'دورة1 دورة2'!B:B,'دورة1 دورة2'!AU:AU)</f>
        <v>2018</v>
      </c>
      <c r="P67" s="765"/>
      <c r="Q67" s="766"/>
      <c r="R67" s="768"/>
      <c r="S67" s="131"/>
    </row>
    <row r="68" spans="1:19" ht="70.5" customHeight="1" thickBot="1">
      <c r="A68" s="342" t="s">
        <v>458</v>
      </c>
      <c r="B68" s="137" t="s">
        <v>126</v>
      </c>
      <c r="C68" s="137" t="s">
        <v>122</v>
      </c>
      <c r="D68" s="137">
        <v>18</v>
      </c>
      <c r="E68" s="137">
        <v>7</v>
      </c>
      <c r="F68" s="592" t="s">
        <v>213</v>
      </c>
      <c r="G68" s="137">
        <v>7</v>
      </c>
      <c r="H68" s="144">
        <v>2</v>
      </c>
      <c r="I68" s="145">
        <f>INDEX('دورة1 دورة2'!B10:BJ30,MATCH("c",'دورة1 دورة2'!B10:B30,0),54)</f>
        <v>0</v>
      </c>
      <c r="J68" s="146">
        <f>IF(I68&lt;300,0,30)</f>
        <v>0</v>
      </c>
      <c r="K68" s="199" t="str">
        <f>INDEX('دورة1 دورة2'!B10:BJ30,MATCH("c",'دورة1 دورة2'!B10:B30,0),56)</f>
        <v>د1</v>
      </c>
      <c r="L68" s="147">
        <f>(I68)/30</f>
        <v>0</v>
      </c>
      <c r="M68" s="148">
        <f>J68</f>
        <v>0</v>
      </c>
      <c r="N68" s="148" t="str">
        <f>INDEX('دورة1 دورة2'!B10:BJ30,MATCH("c",'دورة1 دورة2'!B10:B30,0),56)</f>
        <v>د1</v>
      </c>
      <c r="O68" s="148" t="e">
        <f>LOOKUP("r",'دورة1 دورة2'!B:B,'دورة1 دورة2'!#REF!)</f>
        <v>#REF!</v>
      </c>
      <c r="P68" s="341">
        <f>(I68)/30</f>
        <v>0</v>
      </c>
      <c r="Q68" s="146">
        <f>IF(P68&lt;10,M68,30)</f>
        <v>0</v>
      </c>
      <c r="R68" s="343" t="str">
        <f>INDEX('دورة1 دورة2'!B10:BJ30,MATCH("c",'دورة1 دورة2'!B10:B30,0),60)</f>
        <v>د1</v>
      </c>
      <c r="S68" s="131"/>
    </row>
    <row r="69" spans="1:18" ht="17.25" customHeight="1" thickBot="1">
      <c r="A69" s="62" t="s">
        <v>150</v>
      </c>
      <c r="B69" s="135">
        <f>(P61+P68)/2</f>
        <v>6.460714285714286</v>
      </c>
      <c r="C69" s="759" t="s">
        <v>461</v>
      </c>
      <c r="D69" s="760"/>
      <c r="E69" s="760"/>
      <c r="F69" s="761"/>
      <c r="G69" s="136">
        <f>Q61+Q68</f>
        <v>30</v>
      </c>
      <c r="H69" s="6"/>
      <c r="I69" s="6"/>
      <c r="J69" s="134" t="s">
        <v>72</v>
      </c>
      <c r="K69" s="6"/>
      <c r="L69" s="6"/>
      <c r="M69" s="6"/>
      <c r="N69" s="6"/>
      <c r="O69" s="6"/>
      <c r="P69" s="583">
        <v>120</v>
      </c>
      <c r="Q69" s="130"/>
      <c r="R69" s="130"/>
    </row>
    <row r="70" spans="1:18" ht="16.5" customHeight="1" thickBot="1">
      <c r="A70" s="62" t="s">
        <v>121</v>
      </c>
      <c r="B70" s="75" t="str">
        <f>IF(B69&lt;10,"راسب(ة)","ناجح(ة)")</f>
        <v>راسب(ة)</v>
      </c>
      <c r="G70" s="129"/>
      <c r="I70" s="80"/>
      <c r="J70" s="134" t="s">
        <v>73</v>
      </c>
      <c r="K70" s="6"/>
      <c r="L70" s="6"/>
      <c r="M70" s="6"/>
      <c r="N70" s="6"/>
      <c r="O70" s="6"/>
      <c r="P70" s="133">
        <v>120</v>
      </c>
      <c r="Q70" s="5"/>
      <c r="R70" s="5"/>
    </row>
    <row r="71" spans="1:7" ht="16.5" customHeight="1">
      <c r="A71" s="62" t="s">
        <v>120</v>
      </c>
      <c r="B71" s="77">
        <f ca="1">TODAY()</f>
        <v>43188</v>
      </c>
      <c r="G71" s="129"/>
    </row>
    <row r="72" spans="1:14" ht="16.5" customHeight="1">
      <c r="A72" s="62" t="s">
        <v>74</v>
      </c>
      <c r="B72" s="8" t="s">
        <v>119</v>
      </c>
      <c r="L72" s="762" t="s">
        <v>29</v>
      </c>
      <c r="M72" s="762"/>
      <c r="N72" s="75"/>
    </row>
    <row r="73" spans="1:17" ht="20.25">
      <c r="A73" s="187" t="s">
        <v>45</v>
      </c>
      <c r="B73" s="188"/>
      <c r="C73" s="188"/>
      <c r="D73" s="188"/>
      <c r="E73" s="188"/>
      <c r="F73" s="188"/>
      <c r="G73" s="188"/>
      <c r="H73" s="189"/>
      <c r="I73" s="189"/>
      <c r="J73" s="189"/>
      <c r="K73" s="189"/>
      <c r="L73" s="189"/>
      <c r="M73" s="78" t="s">
        <v>46</v>
      </c>
      <c r="N73" s="189"/>
      <c r="O73" s="78"/>
      <c r="P73" s="189"/>
      <c r="Q73" s="189"/>
    </row>
    <row r="74" spans="6:10" ht="15" customHeight="1">
      <c r="F74" s="191" t="s">
        <v>47</v>
      </c>
      <c r="G74" s="10" t="s">
        <v>19</v>
      </c>
      <c r="H74" s="10"/>
      <c r="I74" s="10"/>
      <c r="J74" s="10"/>
    </row>
    <row r="75" spans="6:10" ht="15" customHeight="1">
      <c r="F75" s="191" t="s">
        <v>48</v>
      </c>
      <c r="G75" s="10" t="s">
        <v>49</v>
      </c>
      <c r="H75" s="10"/>
      <c r="I75" s="10"/>
      <c r="J75" s="10"/>
    </row>
    <row r="76" spans="6:10" ht="15" customHeight="1">
      <c r="F76" s="191" t="s">
        <v>50</v>
      </c>
      <c r="G76" s="10" t="s">
        <v>51</v>
      </c>
      <c r="H76" s="10"/>
      <c r="I76" s="10"/>
      <c r="J76" s="10"/>
    </row>
    <row r="77" spans="4:11" ht="21" customHeight="1">
      <c r="D77" s="782" t="s">
        <v>99</v>
      </c>
      <c r="E77" s="782"/>
      <c r="F77" s="782"/>
      <c r="G77" s="782"/>
      <c r="H77" s="782"/>
      <c r="I77" s="782"/>
      <c r="J77" s="782"/>
      <c r="K77" s="782"/>
    </row>
    <row r="78" spans="1:18" ht="18">
      <c r="A78" s="2" t="s">
        <v>148</v>
      </c>
      <c r="B78" s="196" t="str">
        <f>B6</f>
        <v>2017/2018</v>
      </c>
      <c r="C78" s="62"/>
      <c r="E78" s="61"/>
      <c r="F78" s="62"/>
      <c r="G78" s="157"/>
      <c r="H78" s="62"/>
      <c r="I78" s="61"/>
      <c r="J78" s="61"/>
      <c r="K78" s="61"/>
      <c r="L78" s="151"/>
      <c r="M78" s="151"/>
      <c r="N78" s="151"/>
      <c r="O78" s="151"/>
      <c r="P78" s="61"/>
      <c r="Q78" s="61"/>
      <c r="R78" s="61"/>
    </row>
    <row r="79" spans="1:18" ht="15.75" customHeight="1">
      <c r="A79" s="62" t="s">
        <v>147</v>
      </c>
      <c r="B79" s="190" t="str">
        <f>INDEX('دورة1 دورة2'!B10:BJ30,MATCH("d",'دورة1 دورة2'!B10:B30,0),3)</f>
        <v>بوساحة </v>
      </c>
      <c r="C79" s="158" t="s">
        <v>146</v>
      </c>
      <c r="D79" s="186" t="str">
        <f>INDEX('دورة1 دورة2'!B10:BJ30,MATCH("d",'دورة1 دورة2'!B10:B30,0),4)</f>
        <v>حسام الدين</v>
      </c>
      <c r="E79" s="62"/>
      <c r="F79" s="158" t="s">
        <v>52</v>
      </c>
      <c r="G79" s="783">
        <f>INDEX('دورة1 دورة2'!B10:BJ30,MATCH("d",'دورة1 دورة2'!B10:B30,0),6)</f>
        <v>0</v>
      </c>
      <c r="H79" s="783"/>
      <c r="I79" s="783"/>
      <c r="J79" s="61"/>
      <c r="K79" s="132" t="s">
        <v>53</v>
      </c>
      <c r="L79" s="784">
        <f>INDEX('دورة1 دورة2'!B10:BJ30,MATCH("d",'دورة1 دورة2'!B10:B30,0),7)</f>
        <v>0</v>
      </c>
      <c r="M79" s="784"/>
      <c r="O79" s="186"/>
      <c r="P79" s="8" t="s">
        <v>54</v>
      </c>
      <c r="Q79" s="784">
        <f>INDEX('دورة1 دورة2'!B10:BJ30,MATCH("d",'دورة1 دورة2'!B10:B30,0),8)</f>
        <v>0</v>
      </c>
      <c r="R79" s="784"/>
    </row>
    <row r="80" spans="1:18" ht="15" customHeight="1">
      <c r="A80" s="2" t="s">
        <v>149</v>
      </c>
      <c r="B80" s="190">
        <f>INDEX('دورة1 دورة2'!B10:BJ30,MATCH("d",'دورة1 دورة2'!B10:B30,0),5)</f>
        <v>0</v>
      </c>
      <c r="C80" s="166"/>
      <c r="D80" s="9" t="s">
        <v>55</v>
      </c>
      <c r="E80" s="11" t="s">
        <v>56</v>
      </c>
      <c r="F80" s="11"/>
      <c r="G80" s="156"/>
      <c r="H80" s="11"/>
      <c r="I80" s="9"/>
      <c r="J80" s="9" t="s">
        <v>57</v>
      </c>
      <c r="K80" s="9"/>
      <c r="L80" s="11"/>
      <c r="N80" s="4" t="s">
        <v>98</v>
      </c>
      <c r="O80" s="2" t="s">
        <v>98</v>
      </c>
      <c r="P80" s="10" t="s">
        <v>97</v>
      </c>
      <c r="R80" s="61"/>
    </row>
    <row r="81" spans="1:16" ht="15.75" thickBot="1">
      <c r="A81" s="3" t="s">
        <v>58</v>
      </c>
      <c r="B81" s="139" t="s">
        <v>200</v>
      </c>
      <c r="C81" s="139"/>
      <c r="G81" s="129"/>
      <c r="J81" s="4"/>
      <c r="K81" s="4"/>
      <c r="M81" s="4"/>
      <c r="N81" s="4"/>
      <c r="O81" s="126"/>
      <c r="P81" s="126"/>
    </row>
    <row r="82" spans="1:18" ht="26.25" customHeight="1" thickBot="1" thickTop="1">
      <c r="A82" s="775" t="s">
        <v>25</v>
      </c>
      <c r="B82" s="777" t="s">
        <v>59</v>
      </c>
      <c r="C82" s="777"/>
      <c r="D82" s="778"/>
      <c r="E82" s="777"/>
      <c r="F82" s="777" t="s">
        <v>60</v>
      </c>
      <c r="G82" s="777"/>
      <c r="H82" s="777"/>
      <c r="I82" s="777" t="s">
        <v>61</v>
      </c>
      <c r="J82" s="777"/>
      <c r="K82" s="777"/>
      <c r="L82" s="777"/>
      <c r="M82" s="777"/>
      <c r="N82" s="777"/>
      <c r="O82" s="777"/>
      <c r="P82" s="777"/>
      <c r="Q82" s="777"/>
      <c r="R82" s="779"/>
    </row>
    <row r="83" spans="1:18" ht="15.75" thickBot="1">
      <c r="A83" s="776"/>
      <c r="B83" s="780" t="s">
        <v>63</v>
      </c>
      <c r="C83" s="771" t="s">
        <v>62</v>
      </c>
      <c r="D83" s="149" t="s">
        <v>64</v>
      </c>
      <c r="E83" s="781" t="s">
        <v>65</v>
      </c>
      <c r="F83" s="771" t="s">
        <v>66</v>
      </c>
      <c r="G83" s="138" t="s">
        <v>64</v>
      </c>
      <c r="H83" s="771" t="s">
        <v>65</v>
      </c>
      <c r="I83" s="771" t="s">
        <v>67</v>
      </c>
      <c r="J83" s="771"/>
      <c r="K83" s="771"/>
      <c r="L83" s="771" t="s">
        <v>68</v>
      </c>
      <c r="M83" s="771"/>
      <c r="N83" s="771"/>
      <c r="O83" s="771"/>
      <c r="P83" s="771" t="s">
        <v>25</v>
      </c>
      <c r="Q83" s="771"/>
      <c r="R83" s="772"/>
    </row>
    <row r="84" spans="1:21" ht="15.75" thickBot="1">
      <c r="A84" s="776"/>
      <c r="B84" s="780"/>
      <c r="C84" s="771"/>
      <c r="D84" s="150" t="s">
        <v>69</v>
      </c>
      <c r="E84" s="781"/>
      <c r="F84" s="771"/>
      <c r="G84" s="138" t="s">
        <v>69</v>
      </c>
      <c r="H84" s="771"/>
      <c r="I84" s="133" t="s">
        <v>70</v>
      </c>
      <c r="J84" s="133" t="s">
        <v>100</v>
      </c>
      <c r="K84" s="133" t="s">
        <v>96</v>
      </c>
      <c r="L84" s="133" t="s">
        <v>70</v>
      </c>
      <c r="M84" s="133" t="s">
        <v>100</v>
      </c>
      <c r="N84" s="133" t="s">
        <v>96</v>
      </c>
      <c r="O84" s="133" t="s">
        <v>93</v>
      </c>
      <c r="P84" s="133" t="s">
        <v>70</v>
      </c>
      <c r="Q84" s="133" t="s">
        <v>100</v>
      </c>
      <c r="R84" s="140" t="s">
        <v>96</v>
      </c>
      <c r="U84" s="134"/>
    </row>
    <row r="85" spans="1:21" ht="20.25" customHeight="1" thickBot="1">
      <c r="A85" s="773" t="s">
        <v>457</v>
      </c>
      <c r="B85" s="769" t="s">
        <v>126</v>
      </c>
      <c r="C85" s="769" t="s">
        <v>122</v>
      </c>
      <c r="D85" s="774">
        <v>18</v>
      </c>
      <c r="E85" s="769">
        <v>7</v>
      </c>
      <c r="F85" s="588" t="s">
        <v>205</v>
      </c>
      <c r="G85" s="137">
        <v>7</v>
      </c>
      <c r="H85" s="144">
        <v>3</v>
      </c>
      <c r="I85" s="145">
        <f>INDEX('دورة1 دورة2'!B10:BJ30,MATCH("d",'دورة1 دورة2'!B10:B30,0),9)</f>
        <v>32.25</v>
      </c>
      <c r="J85" s="146">
        <f>IF(I85&lt;30,0,7)</f>
        <v>7</v>
      </c>
      <c r="K85" s="199" t="str">
        <f>INDEX('دورة1 دورة2'!B10:BJ30,MATCH("d",'دورة1 دورة2'!B10:B30,0),11)</f>
        <v>د1</v>
      </c>
      <c r="L85" s="770">
        <f>(I85+I86+I87)/7</f>
        <v>8.535714285714286</v>
      </c>
      <c r="M85" s="763">
        <f>IF(L85&lt;10,J85+J86+J87,18)</f>
        <v>7</v>
      </c>
      <c r="N85" s="763" t="str">
        <f>INDEX('دورة1 دورة2'!B10:BJ30,MATCH("d",'دورة1 دورة2'!B10:B30,0),20)</f>
        <v>د1</v>
      </c>
      <c r="O85" s="763">
        <f>LOOKUP("r",'دورة1 دورة2'!B:B,'دورة1 دورة2'!AG:AG)</f>
        <v>2018</v>
      </c>
      <c r="P85" s="765">
        <f>(I85+I86+I87+I88+I89+I90+I91)/14</f>
        <v>10.428571428571429</v>
      </c>
      <c r="Q85" s="766">
        <f>IF(P85&lt;10,M85+M88+M90+M91,30)</f>
        <v>30</v>
      </c>
      <c r="R85" s="767" t="str">
        <f>INDEX('دورة1 دورة2'!B10:BJ30,MATCH("d",'دورة1 دورة2'!B10:B30,0),51)</f>
        <v>د1</v>
      </c>
      <c r="S85" s="764"/>
      <c r="U85" s="134"/>
    </row>
    <row r="86" spans="1:19" ht="20.25" customHeight="1" thickBot="1">
      <c r="A86" s="773"/>
      <c r="B86" s="769"/>
      <c r="C86" s="769"/>
      <c r="D86" s="769"/>
      <c r="E86" s="769"/>
      <c r="F86" s="589" t="s">
        <v>206</v>
      </c>
      <c r="G86" s="137">
        <v>6</v>
      </c>
      <c r="H86" s="144">
        <v>2</v>
      </c>
      <c r="I86" s="145">
        <f>INDEX('دورة1 دورة2'!B10:BJ30,MATCH("d",'دورة1 دورة2'!B10:B30,0),12)</f>
        <v>11.5</v>
      </c>
      <c r="J86" s="146">
        <f>IF(I86&lt;20,0,6)</f>
        <v>0</v>
      </c>
      <c r="K86" s="199" t="str">
        <f>INDEX('دورة1 دورة2'!B10:BJ30,MATCH("d",'دورة1 دورة2'!B10:B30,0),14)</f>
        <v>د1</v>
      </c>
      <c r="L86" s="770"/>
      <c r="M86" s="763"/>
      <c r="N86" s="763"/>
      <c r="O86" s="763"/>
      <c r="P86" s="765"/>
      <c r="Q86" s="766"/>
      <c r="R86" s="767"/>
      <c r="S86" s="764"/>
    </row>
    <row r="87" spans="1:19" ht="20.25" customHeight="1" thickBot="1">
      <c r="A87" s="773"/>
      <c r="B87" s="769"/>
      <c r="C87" s="769"/>
      <c r="D87" s="769"/>
      <c r="E87" s="769"/>
      <c r="F87" s="589" t="s">
        <v>207</v>
      </c>
      <c r="G87" s="137">
        <v>5</v>
      </c>
      <c r="H87" s="144">
        <v>2</v>
      </c>
      <c r="I87" s="145">
        <f>INDEX('دورة1 دورة2'!B10:BJ30,MATCH("d",'دورة1 دورة2'!B10:B30,0),15)</f>
        <v>16</v>
      </c>
      <c r="J87" s="146">
        <f>IF(I87&lt;20,0,5)</f>
        <v>0</v>
      </c>
      <c r="K87" s="199" t="str">
        <f>INDEX('دورة1 دورة2'!B10:BJ30,MATCH("d",'دورة1 دورة2'!B10:B30,0),17)</f>
        <v>د1</v>
      </c>
      <c r="L87" s="770"/>
      <c r="M87" s="763"/>
      <c r="N87" s="763"/>
      <c r="O87" s="763"/>
      <c r="P87" s="765"/>
      <c r="Q87" s="766"/>
      <c r="R87" s="767"/>
      <c r="S87" s="764"/>
    </row>
    <row r="88" spans="1:19" ht="20.25" customHeight="1" thickBot="1">
      <c r="A88" s="773"/>
      <c r="B88" s="769" t="s">
        <v>127</v>
      </c>
      <c r="C88" s="769" t="s">
        <v>123</v>
      </c>
      <c r="D88" s="769">
        <v>9</v>
      </c>
      <c r="E88" s="769">
        <v>4</v>
      </c>
      <c r="F88" s="590" t="s">
        <v>208</v>
      </c>
      <c r="G88" s="137">
        <v>5</v>
      </c>
      <c r="H88" s="144">
        <v>2</v>
      </c>
      <c r="I88" s="145">
        <f>INDEX('دورة1 دورة2'!B10:BJ30,MATCH("d",'دورة1 دورة2'!B10:B30,0),23)</f>
        <v>24</v>
      </c>
      <c r="J88" s="146">
        <f>IF(I88&lt;20,0,5)</f>
        <v>5</v>
      </c>
      <c r="K88" s="199" t="str">
        <f>INDEX('دورة1 دورة2'!B10:BJ30,MATCH("d",'دورة1 دورة2'!B10:B30,0),25)</f>
        <v>د1</v>
      </c>
      <c r="L88" s="770">
        <f>(I89+I88)/4</f>
        <v>12.375</v>
      </c>
      <c r="M88" s="763">
        <f>IF(L88&lt;10,J89+J88,9)</f>
        <v>9</v>
      </c>
      <c r="N88" s="763" t="str">
        <f>INDEX('دورة1 دورة2'!B10:BJ30,MATCH("d",'دورة1 دورة2'!B10:B30,0),31)</f>
        <v>د1</v>
      </c>
      <c r="O88" s="763">
        <f>LOOKUP("r",'دورة1 دورة2'!B:B,'دورة1 دورة2'!AN:AN)</f>
        <v>2018</v>
      </c>
      <c r="P88" s="765"/>
      <c r="Q88" s="766"/>
      <c r="R88" s="767"/>
      <c r="S88" s="764"/>
    </row>
    <row r="89" spans="1:19" ht="20.25" customHeight="1" thickBot="1">
      <c r="A89" s="773"/>
      <c r="B89" s="769"/>
      <c r="C89" s="769"/>
      <c r="D89" s="769"/>
      <c r="E89" s="769"/>
      <c r="F89" s="589" t="s">
        <v>209</v>
      </c>
      <c r="G89" s="137">
        <v>4</v>
      </c>
      <c r="H89" s="144">
        <v>2</v>
      </c>
      <c r="I89" s="145">
        <f>INDEX('دورة1 دورة2'!B10:BJ30,MATCH("d",'دورة1 دورة2'!B10:B30,0),26)</f>
        <v>25.5</v>
      </c>
      <c r="J89" s="146">
        <f>IF(I89&lt;20,0,4)</f>
        <v>4</v>
      </c>
      <c r="K89" s="199" t="str">
        <f>INDEX('دورة1 دورة2'!B10:BJ30,MATCH("d",'دورة1 دورة2'!B10:B30,0),28)</f>
        <v>د1</v>
      </c>
      <c r="L89" s="770"/>
      <c r="M89" s="763"/>
      <c r="N89" s="763"/>
      <c r="O89" s="763"/>
      <c r="P89" s="765"/>
      <c r="Q89" s="766"/>
      <c r="R89" s="767"/>
      <c r="S89" s="764"/>
    </row>
    <row r="90" spans="1:19" ht="20.25" customHeight="1" thickBot="1">
      <c r="A90" s="773"/>
      <c r="B90" s="137" t="s">
        <v>128</v>
      </c>
      <c r="C90" s="137" t="s">
        <v>124</v>
      </c>
      <c r="D90" s="137">
        <v>2</v>
      </c>
      <c r="E90" s="137">
        <v>2</v>
      </c>
      <c r="F90" s="589" t="s">
        <v>211</v>
      </c>
      <c r="G90" s="137">
        <v>2</v>
      </c>
      <c r="H90" s="144">
        <v>2</v>
      </c>
      <c r="I90" s="145">
        <f>INDEX('دورة1 دورة2'!B10:BJ30,MATCH("d",'دورة1 دورة2'!B10:B30,0),34)</f>
        <v>29</v>
      </c>
      <c r="J90" s="146">
        <f>IF(I90&lt;20,0,2)</f>
        <v>2</v>
      </c>
      <c r="K90" s="199" t="str">
        <f>INDEX('دورة1 دورة2'!B10:BJ30,MATCH("d",'دورة1 دورة2'!B10:B30,0),36)</f>
        <v>د1</v>
      </c>
      <c r="L90" s="147">
        <f>I90/2</f>
        <v>14.5</v>
      </c>
      <c r="M90" s="148">
        <f>J90</f>
        <v>2</v>
      </c>
      <c r="N90" s="145" t="str">
        <f>INDEX('دورة1 دورة2'!B10:BJ30,MATCH("d",'دورة1 دورة2'!B10:B30,0),36)</f>
        <v>د1</v>
      </c>
      <c r="O90" s="146">
        <f>LOOKUP("r",'دورة1 دورة2'!B:B,'دورة1 دورة2'!AU:AU)</f>
        <v>2018</v>
      </c>
      <c r="P90" s="765"/>
      <c r="Q90" s="766"/>
      <c r="R90" s="767"/>
      <c r="S90" s="131"/>
    </row>
    <row r="91" spans="1:19" ht="20.25" customHeight="1" thickBot="1">
      <c r="A91" s="773"/>
      <c r="B91" s="137" t="s">
        <v>129</v>
      </c>
      <c r="C91" s="137" t="s">
        <v>125</v>
      </c>
      <c r="D91" s="137">
        <v>1</v>
      </c>
      <c r="E91" s="137">
        <v>1</v>
      </c>
      <c r="F91" s="591" t="s">
        <v>191</v>
      </c>
      <c r="G91" s="137">
        <v>1</v>
      </c>
      <c r="H91" s="144">
        <v>1</v>
      </c>
      <c r="I91" s="145">
        <f>INDEX('دورة1 دورة2'!B10:BJ30,MATCH("d",'دورة1 دورة2'!B10:B30,0),41)</f>
        <v>7.75</v>
      </c>
      <c r="J91" s="146">
        <f>IF(I91&lt;10,0,1)</f>
        <v>0</v>
      </c>
      <c r="K91" s="199" t="str">
        <f>INDEX('دورة1 دورة2'!B10:BJ30,MATCH("d",'دورة1 دورة2'!B10:B30,0),43)</f>
        <v>د1</v>
      </c>
      <c r="L91" s="147">
        <f>I91</f>
        <v>7.75</v>
      </c>
      <c r="M91" s="148">
        <f>J91</f>
        <v>0</v>
      </c>
      <c r="N91" s="145" t="str">
        <f>INDEX('دورة1 دورة2'!B10:BJ30,MATCH("d",'دورة1 دورة2'!B10:B30,0),43)</f>
        <v>د1</v>
      </c>
      <c r="O91" s="146">
        <f>LOOKUP("r",'دورة1 دورة2'!B:B,'دورة1 دورة2'!AU:AU)</f>
        <v>2018</v>
      </c>
      <c r="P91" s="765"/>
      <c r="Q91" s="766"/>
      <c r="R91" s="768"/>
      <c r="S91" s="131"/>
    </row>
    <row r="92" spans="1:19" ht="71.25" customHeight="1" thickBot="1">
      <c r="A92" s="342" t="s">
        <v>458</v>
      </c>
      <c r="B92" s="137" t="s">
        <v>126</v>
      </c>
      <c r="C92" s="137" t="s">
        <v>122</v>
      </c>
      <c r="D92" s="137">
        <v>18</v>
      </c>
      <c r="E92" s="137">
        <v>7</v>
      </c>
      <c r="F92" s="592" t="s">
        <v>213</v>
      </c>
      <c r="G92" s="137">
        <v>7</v>
      </c>
      <c r="H92" s="144">
        <v>2</v>
      </c>
      <c r="I92" s="145">
        <f>INDEX('دورة1 دورة2'!B10:BJ30,MATCH("d",'دورة1 دورة2'!B10:B30,0),54)</f>
        <v>0</v>
      </c>
      <c r="J92" s="146">
        <f>IF(I92&lt;300,0,30)</f>
        <v>0</v>
      </c>
      <c r="K92" s="199" t="str">
        <f>INDEX('دورة1 دورة2'!B10:BJ30,MATCH("d",'دورة1 دورة2'!B10:B30,0),56)</f>
        <v>د1</v>
      </c>
      <c r="L92" s="147">
        <f>(I92)/30</f>
        <v>0</v>
      </c>
      <c r="M92" s="148">
        <f>IF(L92&lt;10,J92,30)</f>
        <v>0</v>
      </c>
      <c r="N92" s="148" t="str">
        <f>INDEX('دورة1 دورة2'!B10:BJ30,MATCH("d",'دورة1 دورة2'!B10:B30,0),56)</f>
        <v>د1</v>
      </c>
      <c r="O92" s="148" t="e">
        <f>LOOKUP("r",'دورة1 دورة2'!B:B,'دورة1 دورة2'!#REF!)</f>
        <v>#REF!</v>
      </c>
      <c r="P92" s="341">
        <f>(I92)/30</f>
        <v>0</v>
      </c>
      <c r="Q92" s="146">
        <f>IF(P92&lt;10,M92,30)</f>
        <v>0</v>
      </c>
      <c r="R92" s="343" t="str">
        <f>INDEX('دورة1 دورة2'!B10:BJ30,MATCH("d",'دورة1 دورة2'!B10:B30,0),60)</f>
        <v>د1</v>
      </c>
      <c r="S92" s="131"/>
    </row>
    <row r="93" spans="1:18" ht="17.25" customHeight="1" thickBot="1">
      <c r="A93" s="62" t="s">
        <v>150</v>
      </c>
      <c r="B93" s="135">
        <f>(P85+P92)/2</f>
        <v>5.214285714285714</v>
      </c>
      <c r="C93" s="759" t="s">
        <v>461</v>
      </c>
      <c r="D93" s="760"/>
      <c r="E93" s="760"/>
      <c r="F93" s="761"/>
      <c r="G93" s="136">
        <f>Q85+Q92</f>
        <v>30</v>
      </c>
      <c r="H93" s="6"/>
      <c r="I93" s="6"/>
      <c r="J93" s="134" t="s">
        <v>72</v>
      </c>
      <c r="K93" s="6"/>
      <c r="L93" s="6"/>
      <c r="M93" s="6"/>
      <c r="N93" s="6"/>
      <c r="O93" s="6"/>
      <c r="P93" s="583">
        <v>120</v>
      </c>
      <c r="Q93" s="130"/>
      <c r="R93" s="130"/>
    </row>
    <row r="94" spans="1:18" ht="16.5" customHeight="1" thickBot="1">
      <c r="A94" s="62" t="s">
        <v>121</v>
      </c>
      <c r="B94" s="75" t="str">
        <f>IF(B93&lt;10,"راسب(ة)","ناجح(ة)")</f>
        <v>راسب(ة)</v>
      </c>
      <c r="G94" s="129"/>
      <c r="I94" s="80"/>
      <c r="J94" s="134" t="s">
        <v>73</v>
      </c>
      <c r="K94" s="6"/>
      <c r="L94" s="6"/>
      <c r="M94" s="6"/>
      <c r="N94" s="6"/>
      <c r="O94" s="6"/>
      <c r="P94" s="133">
        <v>120</v>
      </c>
      <c r="Q94" s="5"/>
      <c r="R94" s="5"/>
    </row>
    <row r="95" spans="1:7" ht="16.5" customHeight="1">
      <c r="A95" s="62" t="s">
        <v>120</v>
      </c>
      <c r="B95" s="77">
        <f ca="1">TODAY()</f>
        <v>43188</v>
      </c>
      <c r="G95" s="129"/>
    </row>
    <row r="96" spans="1:14" ht="16.5" customHeight="1">
      <c r="A96" s="62" t="s">
        <v>74</v>
      </c>
      <c r="B96" s="8" t="s">
        <v>119</v>
      </c>
      <c r="L96" s="762" t="s">
        <v>29</v>
      </c>
      <c r="M96" s="762"/>
      <c r="N96" s="75"/>
    </row>
    <row r="97" spans="1:17" ht="20.25">
      <c r="A97" s="187" t="s">
        <v>45</v>
      </c>
      <c r="B97" s="188"/>
      <c r="C97" s="188"/>
      <c r="D97" s="188"/>
      <c r="E97" s="188"/>
      <c r="F97" s="188"/>
      <c r="G97" s="188"/>
      <c r="H97" s="189"/>
      <c r="I97" s="189"/>
      <c r="J97" s="189"/>
      <c r="K97" s="189"/>
      <c r="L97" s="189"/>
      <c r="M97" s="78" t="s">
        <v>46</v>
      </c>
      <c r="N97" s="189"/>
      <c r="O97" s="78"/>
      <c r="P97" s="189"/>
      <c r="Q97" s="189"/>
    </row>
    <row r="98" spans="6:10" ht="15" customHeight="1">
      <c r="F98" s="191" t="s">
        <v>47</v>
      </c>
      <c r="G98" s="10" t="s">
        <v>19</v>
      </c>
      <c r="H98" s="10"/>
      <c r="I98" s="10"/>
      <c r="J98" s="10"/>
    </row>
    <row r="99" spans="6:10" ht="15" customHeight="1">
      <c r="F99" s="191" t="s">
        <v>48</v>
      </c>
      <c r="G99" s="10" t="s">
        <v>49</v>
      </c>
      <c r="H99" s="10"/>
      <c r="I99" s="10"/>
      <c r="J99" s="10"/>
    </row>
    <row r="100" spans="6:10" ht="15" customHeight="1">
      <c r="F100" s="191" t="s">
        <v>50</v>
      </c>
      <c r="G100" s="10" t="s">
        <v>51</v>
      </c>
      <c r="H100" s="10"/>
      <c r="I100" s="10"/>
      <c r="J100" s="10"/>
    </row>
    <row r="101" spans="4:11" ht="21" customHeight="1">
      <c r="D101" s="782" t="s">
        <v>99</v>
      </c>
      <c r="E101" s="782"/>
      <c r="F101" s="782"/>
      <c r="G101" s="782"/>
      <c r="H101" s="782"/>
      <c r="I101" s="782"/>
      <c r="J101" s="782"/>
      <c r="K101" s="782"/>
    </row>
    <row r="102" spans="1:18" ht="18">
      <c r="A102" s="2" t="s">
        <v>148</v>
      </c>
      <c r="B102" s="196" t="str">
        <f>B6</f>
        <v>2017/2018</v>
      </c>
      <c r="C102" s="62"/>
      <c r="E102" s="61"/>
      <c r="F102" s="62"/>
      <c r="G102" s="157"/>
      <c r="H102" s="62"/>
      <c r="I102" s="61"/>
      <c r="J102" s="61"/>
      <c r="K102" s="61"/>
      <c r="L102" s="151"/>
      <c r="M102" s="151"/>
      <c r="N102" s="151"/>
      <c r="O102" s="151"/>
      <c r="P102" s="61"/>
      <c r="Q102" s="61"/>
      <c r="R102" s="61"/>
    </row>
    <row r="103" spans="1:18" ht="15.75" customHeight="1">
      <c r="A103" s="62" t="s">
        <v>147</v>
      </c>
      <c r="B103" s="190" t="str">
        <f>INDEX('دورة1 دورة2'!B10:BJ30,MATCH("e",'دورة1 دورة2'!B10:B30,0),3)</f>
        <v>بوسالم </v>
      </c>
      <c r="C103" s="158" t="s">
        <v>146</v>
      </c>
      <c r="D103" s="186" t="str">
        <f>INDEX('دورة1 دورة2'!B10:BJ30,MATCH("e",'دورة1 دورة2'!B10:B30,0),4)</f>
        <v>محمد وليد</v>
      </c>
      <c r="E103" s="62"/>
      <c r="F103" s="158" t="s">
        <v>52</v>
      </c>
      <c r="G103" s="783">
        <f>INDEX('دورة1 دورة2'!B10:BJ30,MATCH("e",'دورة1 دورة2'!B10:B30,0),6)</f>
        <v>0</v>
      </c>
      <c r="H103" s="783"/>
      <c r="I103" s="783"/>
      <c r="J103" s="61"/>
      <c r="K103" s="132" t="s">
        <v>53</v>
      </c>
      <c r="L103" s="784">
        <f>INDEX('دورة1 دورة2'!B10:BJ30,MATCH("e",'دورة1 دورة2'!B10:B30,0),7)</f>
        <v>0</v>
      </c>
      <c r="M103" s="784"/>
      <c r="O103" s="186"/>
      <c r="P103" s="8" t="s">
        <v>54</v>
      </c>
      <c r="Q103" s="784">
        <f>INDEX('دورة1 دورة2'!B10:BJ30,MATCH("e",'دورة1 دورة2'!B10:B30,0),8)</f>
        <v>0</v>
      </c>
      <c r="R103" s="784"/>
    </row>
    <row r="104" spans="1:18" ht="15" customHeight="1">
      <c r="A104" s="2" t="s">
        <v>149</v>
      </c>
      <c r="B104" s="190">
        <f>INDEX('دورة1 دورة2'!B10:BJ30,MATCH("e",'دورة1 دورة2'!B10:B30,0),5)</f>
        <v>0</v>
      </c>
      <c r="C104" s="166"/>
      <c r="D104" s="9" t="s">
        <v>55</v>
      </c>
      <c r="E104" s="11" t="s">
        <v>56</v>
      </c>
      <c r="F104" s="11"/>
      <c r="G104" s="156"/>
      <c r="H104" s="11"/>
      <c r="I104" s="9"/>
      <c r="J104" s="9" t="s">
        <v>57</v>
      </c>
      <c r="K104" s="9"/>
      <c r="L104" s="11"/>
      <c r="N104" s="4" t="s">
        <v>98</v>
      </c>
      <c r="O104" s="2" t="s">
        <v>98</v>
      </c>
      <c r="P104" s="10" t="s">
        <v>97</v>
      </c>
      <c r="R104" s="61"/>
    </row>
    <row r="105" spans="1:16" ht="15.75" thickBot="1">
      <c r="A105" s="3" t="s">
        <v>58</v>
      </c>
      <c r="B105" s="139" t="s">
        <v>200</v>
      </c>
      <c r="C105" s="139"/>
      <c r="G105" s="129"/>
      <c r="J105" s="4"/>
      <c r="K105" s="4"/>
      <c r="M105" s="4"/>
      <c r="N105" s="4"/>
      <c r="O105" s="126"/>
      <c r="P105" s="126"/>
    </row>
    <row r="106" spans="1:18" ht="26.25" customHeight="1" thickBot="1" thickTop="1">
      <c r="A106" s="775" t="s">
        <v>25</v>
      </c>
      <c r="B106" s="777" t="s">
        <v>59</v>
      </c>
      <c r="C106" s="777"/>
      <c r="D106" s="778"/>
      <c r="E106" s="777"/>
      <c r="F106" s="777" t="s">
        <v>60</v>
      </c>
      <c r="G106" s="777"/>
      <c r="H106" s="777"/>
      <c r="I106" s="777" t="s">
        <v>61</v>
      </c>
      <c r="J106" s="777"/>
      <c r="K106" s="777"/>
      <c r="L106" s="777"/>
      <c r="M106" s="777"/>
      <c r="N106" s="777"/>
      <c r="O106" s="777"/>
      <c r="P106" s="777"/>
      <c r="Q106" s="777"/>
      <c r="R106" s="779"/>
    </row>
    <row r="107" spans="1:18" ht="15.75" thickBot="1">
      <c r="A107" s="776"/>
      <c r="B107" s="780" t="s">
        <v>63</v>
      </c>
      <c r="C107" s="771" t="s">
        <v>62</v>
      </c>
      <c r="D107" s="149" t="s">
        <v>64</v>
      </c>
      <c r="E107" s="781" t="s">
        <v>65</v>
      </c>
      <c r="F107" s="771" t="s">
        <v>66</v>
      </c>
      <c r="G107" s="138" t="s">
        <v>64</v>
      </c>
      <c r="H107" s="771" t="s">
        <v>65</v>
      </c>
      <c r="I107" s="771" t="s">
        <v>67</v>
      </c>
      <c r="J107" s="771"/>
      <c r="K107" s="771"/>
      <c r="L107" s="771" t="s">
        <v>68</v>
      </c>
      <c r="M107" s="771"/>
      <c r="N107" s="771"/>
      <c r="O107" s="771"/>
      <c r="P107" s="771" t="s">
        <v>25</v>
      </c>
      <c r="Q107" s="771"/>
      <c r="R107" s="772"/>
    </row>
    <row r="108" spans="1:21" ht="15.75" thickBot="1">
      <c r="A108" s="776"/>
      <c r="B108" s="780"/>
      <c r="C108" s="771"/>
      <c r="D108" s="150" t="s">
        <v>69</v>
      </c>
      <c r="E108" s="781"/>
      <c r="F108" s="771"/>
      <c r="G108" s="138" t="s">
        <v>69</v>
      </c>
      <c r="H108" s="771"/>
      <c r="I108" s="133" t="s">
        <v>70</v>
      </c>
      <c r="J108" s="133" t="s">
        <v>100</v>
      </c>
      <c r="K108" s="133" t="s">
        <v>96</v>
      </c>
      <c r="L108" s="133" t="s">
        <v>70</v>
      </c>
      <c r="M108" s="133" t="s">
        <v>100</v>
      </c>
      <c r="N108" s="133" t="s">
        <v>96</v>
      </c>
      <c r="O108" s="133" t="s">
        <v>93</v>
      </c>
      <c r="P108" s="133" t="s">
        <v>70</v>
      </c>
      <c r="Q108" s="133" t="s">
        <v>100</v>
      </c>
      <c r="R108" s="140" t="s">
        <v>96</v>
      </c>
      <c r="U108" s="134"/>
    </row>
    <row r="109" spans="1:21" ht="21" customHeight="1" thickBot="1">
      <c r="A109" s="773" t="s">
        <v>457</v>
      </c>
      <c r="B109" s="769" t="s">
        <v>126</v>
      </c>
      <c r="C109" s="769" t="s">
        <v>122</v>
      </c>
      <c r="D109" s="774">
        <v>18</v>
      </c>
      <c r="E109" s="769">
        <v>7</v>
      </c>
      <c r="F109" s="588" t="s">
        <v>205</v>
      </c>
      <c r="G109" s="137">
        <v>7</v>
      </c>
      <c r="H109" s="144">
        <v>3</v>
      </c>
      <c r="I109" s="145">
        <f>INDEX('دورة1 دورة2'!B10:BJ30,MATCH("e",'دورة1 دورة2'!B10:B30,0),9)</f>
        <v>40.5</v>
      </c>
      <c r="J109" s="146">
        <f>IF(I109&lt;30,0,7)</f>
        <v>7</v>
      </c>
      <c r="K109" s="199" t="str">
        <f>INDEX('دورة1 دورة2'!B10:BJ30,MATCH("e",'دورة1 دورة2'!B10:B30,0),11)</f>
        <v>د1</v>
      </c>
      <c r="L109" s="770">
        <f>(I109+I110+I111)/7</f>
        <v>11.214285714285714</v>
      </c>
      <c r="M109" s="763">
        <f>IF(L109&lt;10,J109+J110+J111,18)</f>
        <v>18</v>
      </c>
      <c r="N109" s="763" t="str">
        <f>INDEX('دورة1 دورة2'!B10:BJ30,MATCH("e",'دورة1 دورة2'!B10:B30,0),20)</f>
        <v>د1</v>
      </c>
      <c r="O109" s="763">
        <f>LOOKUP("r",'دورة1 دورة2'!B:B,'دورة1 دورة2'!AG:AG)</f>
        <v>2018</v>
      </c>
      <c r="P109" s="765">
        <f>(I109+I110+I111+I112+I113+I114+I115)/14</f>
        <v>10.953571428571427</v>
      </c>
      <c r="Q109" s="766">
        <f>IF(P109&lt;10,M109+M112+M114+M115,30)</f>
        <v>30</v>
      </c>
      <c r="R109" s="767" t="str">
        <f>INDEX('دورة1 دورة2'!B10:BJ30,MATCH("e",'دورة1 دورة2'!B10:B30,0),51)</f>
        <v>د1</v>
      </c>
      <c r="S109" s="764"/>
      <c r="U109" s="134"/>
    </row>
    <row r="110" spans="1:19" ht="21" customHeight="1" thickBot="1">
      <c r="A110" s="773"/>
      <c r="B110" s="769"/>
      <c r="C110" s="769"/>
      <c r="D110" s="769"/>
      <c r="E110" s="769"/>
      <c r="F110" s="589" t="s">
        <v>206</v>
      </c>
      <c r="G110" s="137">
        <v>6</v>
      </c>
      <c r="H110" s="144">
        <v>2</v>
      </c>
      <c r="I110" s="145">
        <f>INDEX('دورة1 دورة2'!B10:BJ30,MATCH("e",'دورة1 دورة2'!B10:B30,0),12)</f>
        <v>14.5</v>
      </c>
      <c r="J110" s="146">
        <f>IF(I110&lt;20,0,6)</f>
        <v>0</v>
      </c>
      <c r="K110" s="199" t="str">
        <f>INDEX('دورة1 دورة2'!B10:BJ30,MATCH("e",'دورة1 دورة2'!B10:B30,0),14)</f>
        <v>د1</v>
      </c>
      <c r="L110" s="770"/>
      <c r="M110" s="763"/>
      <c r="N110" s="763"/>
      <c r="O110" s="763"/>
      <c r="P110" s="765"/>
      <c r="Q110" s="766"/>
      <c r="R110" s="767"/>
      <c r="S110" s="764"/>
    </row>
    <row r="111" spans="1:19" ht="21" customHeight="1" thickBot="1">
      <c r="A111" s="773"/>
      <c r="B111" s="769"/>
      <c r="C111" s="769"/>
      <c r="D111" s="769"/>
      <c r="E111" s="769"/>
      <c r="F111" s="589" t="s">
        <v>207</v>
      </c>
      <c r="G111" s="137">
        <v>5</v>
      </c>
      <c r="H111" s="144">
        <v>2</v>
      </c>
      <c r="I111" s="145">
        <f>INDEX('دورة1 دورة2'!B10:BJ30,MATCH("e",'دورة1 دورة2'!B10:B30,0),15)</f>
        <v>23.5</v>
      </c>
      <c r="J111" s="146">
        <f>IF(I111&lt;20,0,5)</f>
        <v>5</v>
      </c>
      <c r="K111" s="199" t="str">
        <f>INDEX('دورة1 دورة2'!B10:BJ30,MATCH("e",'دورة1 دورة2'!B10:B30,0),17)</f>
        <v>د1</v>
      </c>
      <c r="L111" s="770"/>
      <c r="M111" s="763"/>
      <c r="N111" s="763"/>
      <c r="O111" s="763"/>
      <c r="P111" s="765"/>
      <c r="Q111" s="766"/>
      <c r="R111" s="767"/>
      <c r="S111" s="764"/>
    </row>
    <row r="112" spans="1:19" ht="21" customHeight="1" thickBot="1">
      <c r="A112" s="773"/>
      <c r="B112" s="769" t="s">
        <v>127</v>
      </c>
      <c r="C112" s="769" t="s">
        <v>123</v>
      </c>
      <c r="D112" s="769">
        <v>9</v>
      </c>
      <c r="E112" s="769">
        <v>4</v>
      </c>
      <c r="F112" s="590" t="s">
        <v>208</v>
      </c>
      <c r="G112" s="137">
        <v>5</v>
      </c>
      <c r="H112" s="144">
        <v>2</v>
      </c>
      <c r="I112" s="145">
        <f>INDEX('دورة1 دورة2'!B10:BJ30,MATCH("e",'دورة1 دورة2'!B10:B30,0),23)</f>
        <v>22.6</v>
      </c>
      <c r="J112" s="146">
        <f>IF(I112&lt;20,0,5)</f>
        <v>5</v>
      </c>
      <c r="K112" s="199" t="str">
        <f>INDEX('دورة1 دورة2'!B10:BJ30,MATCH("e",'دورة1 دورة2'!B10:B30,0),25)</f>
        <v>د1</v>
      </c>
      <c r="L112" s="770">
        <f>(I113+I112)/4</f>
        <v>11.9</v>
      </c>
      <c r="M112" s="763">
        <f>IF(L112&lt;10,J113+J112,9)</f>
        <v>9</v>
      </c>
      <c r="N112" s="763" t="str">
        <f>INDEX('دورة1 دورة2'!B10:BJ30,MATCH("e",'دورة1 دورة2'!B10:B30,0),31)</f>
        <v>د1</v>
      </c>
      <c r="O112" s="763">
        <f>LOOKUP("r",'دورة1 دورة2'!B:B,'دورة1 دورة2'!AN:AN)</f>
        <v>2018</v>
      </c>
      <c r="P112" s="765"/>
      <c r="Q112" s="766"/>
      <c r="R112" s="767"/>
      <c r="S112" s="764"/>
    </row>
    <row r="113" spans="1:19" ht="21" customHeight="1" thickBot="1">
      <c r="A113" s="773"/>
      <c r="B113" s="769"/>
      <c r="C113" s="769"/>
      <c r="D113" s="769"/>
      <c r="E113" s="769"/>
      <c r="F113" s="589" t="s">
        <v>209</v>
      </c>
      <c r="G113" s="137">
        <v>4</v>
      </c>
      <c r="H113" s="144">
        <v>2</v>
      </c>
      <c r="I113" s="145">
        <f>INDEX('دورة1 دورة2'!B10:BJ30,MATCH("e",'دورة1 دورة2'!B10:B30,0),26)</f>
        <v>25</v>
      </c>
      <c r="J113" s="146">
        <f>IF(I113&lt;20,0,4)</f>
        <v>4</v>
      </c>
      <c r="K113" s="199" t="str">
        <f>INDEX('دورة1 دورة2'!B10:BJ30,MATCH("e",'دورة1 دورة2'!B10:B30,0),28)</f>
        <v>د1</v>
      </c>
      <c r="L113" s="770"/>
      <c r="M113" s="763"/>
      <c r="N113" s="763"/>
      <c r="O113" s="763"/>
      <c r="P113" s="765"/>
      <c r="Q113" s="766"/>
      <c r="R113" s="767"/>
      <c r="S113" s="764"/>
    </row>
    <row r="114" spans="1:19" ht="21" customHeight="1" thickBot="1">
      <c r="A114" s="773"/>
      <c r="B114" s="137" t="s">
        <v>128</v>
      </c>
      <c r="C114" s="137" t="s">
        <v>124</v>
      </c>
      <c r="D114" s="137">
        <v>2</v>
      </c>
      <c r="E114" s="137">
        <v>2</v>
      </c>
      <c r="F114" s="589" t="s">
        <v>211</v>
      </c>
      <c r="G114" s="137">
        <v>2</v>
      </c>
      <c r="H114" s="144">
        <v>2</v>
      </c>
      <c r="I114" s="145">
        <f>INDEX('دورة1 دورة2'!B10:BJ30,MATCH("e",'دورة1 دورة2'!B10:B30,0),34)</f>
        <v>21.5</v>
      </c>
      <c r="J114" s="146">
        <f>IF(I114&lt;20,0,2)</f>
        <v>2</v>
      </c>
      <c r="K114" s="199" t="str">
        <f>INDEX('دورة1 دورة2'!B10:BJ30,MATCH("e",'دورة1 دورة2'!B10:B30,0),36)</f>
        <v>د1</v>
      </c>
      <c r="L114" s="147">
        <f>I114/2</f>
        <v>10.75</v>
      </c>
      <c r="M114" s="148">
        <f>J114</f>
        <v>2</v>
      </c>
      <c r="N114" s="199" t="str">
        <f>INDEX('دورة1 دورة2'!B10:BJ30,MATCH("e",'دورة1 دورة2'!B10:B30,0),36)</f>
        <v>د1</v>
      </c>
      <c r="O114" s="146">
        <f>LOOKUP("r",'دورة1 دورة2'!B:B,'دورة1 دورة2'!AU:AU)</f>
        <v>2018</v>
      </c>
      <c r="P114" s="765"/>
      <c r="Q114" s="766"/>
      <c r="R114" s="767"/>
      <c r="S114" s="131"/>
    </row>
    <row r="115" spans="1:19" ht="21" customHeight="1" thickBot="1">
      <c r="A115" s="773"/>
      <c r="B115" s="137" t="s">
        <v>129</v>
      </c>
      <c r="C115" s="137" t="s">
        <v>125</v>
      </c>
      <c r="D115" s="137">
        <v>1</v>
      </c>
      <c r="E115" s="137">
        <v>1</v>
      </c>
      <c r="F115" s="591" t="s">
        <v>191</v>
      </c>
      <c r="G115" s="137">
        <v>1</v>
      </c>
      <c r="H115" s="144">
        <v>1</v>
      </c>
      <c r="I115" s="145">
        <f>INDEX('دورة1 دورة2'!B10:BJ30,MATCH("e",'دورة1 دورة2'!B10:B30,0),41)</f>
        <v>5.75</v>
      </c>
      <c r="J115" s="146">
        <f>IF(I115&lt;10,0,1)</f>
        <v>0</v>
      </c>
      <c r="K115" s="199" t="str">
        <f>INDEX('دورة1 دورة2'!B10:BJ30,MATCH("e",'دورة1 دورة2'!B10:B30,0),43)</f>
        <v>د1</v>
      </c>
      <c r="L115" s="147">
        <f>I115</f>
        <v>5.75</v>
      </c>
      <c r="M115" s="148">
        <f>J115</f>
        <v>0</v>
      </c>
      <c r="N115" s="199" t="str">
        <f>INDEX('دورة1 دورة2'!B10:BJ30,MATCH("e",'دورة1 دورة2'!B10:B30,0),43)</f>
        <v>د1</v>
      </c>
      <c r="O115" s="146">
        <f>LOOKUP("r",'دورة1 دورة2'!B:B,'دورة1 دورة2'!AU:AU)</f>
        <v>2018</v>
      </c>
      <c r="P115" s="765"/>
      <c r="Q115" s="766"/>
      <c r="R115" s="768"/>
      <c r="S115" s="131"/>
    </row>
    <row r="116" spans="1:19" ht="75.75" customHeight="1" thickBot="1">
      <c r="A116" s="342" t="s">
        <v>458</v>
      </c>
      <c r="B116" s="137" t="s">
        <v>126</v>
      </c>
      <c r="C116" s="137" t="s">
        <v>122</v>
      </c>
      <c r="D116" s="137">
        <v>18</v>
      </c>
      <c r="E116" s="137">
        <v>7</v>
      </c>
      <c r="F116" s="592" t="s">
        <v>213</v>
      </c>
      <c r="G116" s="137">
        <v>7</v>
      </c>
      <c r="H116" s="144">
        <v>2</v>
      </c>
      <c r="I116" s="145">
        <f>INDEX('دورة1 دورة2'!B10:BJ30,MATCH("e",'دورة1 دورة2'!B10:B30,0),54)</f>
        <v>0</v>
      </c>
      <c r="J116" s="146">
        <f>IF(I116&lt;300,0,30)</f>
        <v>0</v>
      </c>
      <c r="K116" s="199" t="str">
        <f>INDEX('دورة1 دورة2'!B10:BJ30,MATCH("e",'دورة1 دورة2'!B10:B30,0),56)</f>
        <v>د1</v>
      </c>
      <c r="L116" s="147">
        <f>(I116)/30</f>
        <v>0</v>
      </c>
      <c r="M116" s="148">
        <f>IF(L116&lt;10,J116,30)</f>
        <v>0</v>
      </c>
      <c r="N116" s="148" t="str">
        <f>INDEX('دورة1 دورة2'!B10:BJ30,MATCH("e",'دورة1 دورة2'!B10:B30,0),56)</f>
        <v>د1</v>
      </c>
      <c r="O116" s="148" t="e">
        <f>LOOKUP("r",'دورة1 دورة2'!B:B,'دورة1 دورة2'!#REF!)</f>
        <v>#REF!</v>
      </c>
      <c r="P116" s="341">
        <f>(I116)/30</f>
        <v>0</v>
      </c>
      <c r="Q116" s="146">
        <f>IF(P116&lt;10,M116,30)</f>
        <v>0</v>
      </c>
      <c r="R116" s="343" t="str">
        <f>INDEX('دورة1 دورة2'!B10:BJ30,MATCH("e",'دورة1 دورة2'!B10:B30,0),60)</f>
        <v>د1</v>
      </c>
      <c r="S116" s="131"/>
    </row>
    <row r="117" spans="1:18" ht="17.25" customHeight="1" thickBot="1">
      <c r="A117" s="62" t="s">
        <v>150</v>
      </c>
      <c r="B117" s="135">
        <f>(P109+P116)/2</f>
        <v>5.476785714285714</v>
      </c>
      <c r="C117" s="759" t="s">
        <v>461</v>
      </c>
      <c r="D117" s="760"/>
      <c r="E117" s="760"/>
      <c r="F117" s="761"/>
      <c r="G117" s="136">
        <f>Q109+Q116</f>
        <v>30</v>
      </c>
      <c r="H117" s="6"/>
      <c r="I117" s="6"/>
      <c r="J117" s="134" t="s">
        <v>72</v>
      </c>
      <c r="K117" s="6"/>
      <c r="L117" s="6"/>
      <c r="M117" s="6"/>
      <c r="N117" s="6"/>
      <c r="O117" s="6"/>
      <c r="P117" s="583">
        <v>120</v>
      </c>
      <c r="Q117" s="130"/>
      <c r="R117" s="130"/>
    </row>
    <row r="118" spans="1:18" ht="16.5" customHeight="1" thickBot="1">
      <c r="A118" s="62" t="s">
        <v>121</v>
      </c>
      <c r="B118" s="75" t="str">
        <f>IF(B117&lt;10,"راسب(ة)","ناجح(ة)")</f>
        <v>راسب(ة)</v>
      </c>
      <c r="G118" s="129"/>
      <c r="I118" s="80"/>
      <c r="J118" s="134" t="s">
        <v>73</v>
      </c>
      <c r="K118" s="6"/>
      <c r="L118" s="6"/>
      <c r="M118" s="6"/>
      <c r="N118" s="6"/>
      <c r="O118" s="6"/>
      <c r="P118" s="133">
        <v>120</v>
      </c>
      <c r="Q118" s="5"/>
      <c r="R118" s="5"/>
    </row>
    <row r="119" spans="1:7" ht="16.5" customHeight="1">
      <c r="A119" s="62" t="s">
        <v>120</v>
      </c>
      <c r="B119" s="77">
        <f ca="1">TODAY()</f>
        <v>43188</v>
      </c>
      <c r="G119" s="129"/>
    </row>
    <row r="120" spans="1:14" ht="16.5" customHeight="1">
      <c r="A120" s="62" t="s">
        <v>74</v>
      </c>
      <c r="B120" s="8" t="s">
        <v>119</v>
      </c>
      <c r="L120" s="762" t="s">
        <v>29</v>
      </c>
      <c r="M120" s="762"/>
      <c r="N120" s="75"/>
    </row>
    <row r="121" spans="1:17" ht="20.25">
      <c r="A121" s="187" t="s">
        <v>45</v>
      </c>
      <c r="B121" s="188"/>
      <c r="C121" s="188"/>
      <c r="D121" s="188"/>
      <c r="E121" s="188"/>
      <c r="F121" s="188"/>
      <c r="G121" s="188"/>
      <c r="H121" s="189"/>
      <c r="I121" s="189"/>
      <c r="J121" s="189"/>
      <c r="K121" s="189"/>
      <c r="L121" s="189"/>
      <c r="M121" s="78" t="s">
        <v>46</v>
      </c>
      <c r="N121" s="189"/>
      <c r="O121" s="78"/>
      <c r="P121" s="189"/>
      <c r="Q121" s="189"/>
    </row>
    <row r="122" spans="6:10" ht="15" customHeight="1">
      <c r="F122" s="191" t="s">
        <v>47</v>
      </c>
      <c r="G122" s="10" t="s">
        <v>19</v>
      </c>
      <c r="H122" s="10"/>
      <c r="I122" s="10"/>
      <c r="J122" s="10"/>
    </row>
    <row r="123" spans="6:10" ht="15" customHeight="1">
      <c r="F123" s="191" t="s">
        <v>48</v>
      </c>
      <c r="G123" s="10" t="s">
        <v>49</v>
      </c>
      <c r="H123" s="10"/>
      <c r="I123" s="10"/>
      <c r="J123" s="10"/>
    </row>
    <row r="124" spans="6:10" ht="15" customHeight="1">
      <c r="F124" s="191" t="s">
        <v>50</v>
      </c>
      <c r="G124" s="10" t="s">
        <v>51</v>
      </c>
      <c r="H124" s="10"/>
      <c r="I124" s="10"/>
      <c r="J124" s="10"/>
    </row>
    <row r="125" spans="4:11" ht="21" customHeight="1">
      <c r="D125" s="782" t="s">
        <v>99</v>
      </c>
      <c r="E125" s="782"/>
      <c r="F125" s="782"/>
      <c r="G125" s="782"/>
      <c r="H125" s="782"/>
      <c r="I125" s="782"/>
      <c r="J125" s="782"/>
      <c r="K125" s="782"/>
    </row>
    <row r="126" spans="1:18" ht="18">
      <c r="A126" s="2" t="s">
        <v>148</v>
      </c>
      <c r="B126" s="196" t="str">
        <f>B6</f>
        <v>2017/2018</v>
      </c>
      <c r="C126" s="62"/>
      <c r="E126" s="61"/>
      <c r="F126" s="62"/>
      <c r="G126" s="157"/>
      <c r="H126" s="62"/>
      <c r="I126" s="61"/>
      <c r="J126" s="61"/>
      <c r="K126" s="61"/>
      <c r="L126" s="151"/>
      <c r="M126" s="151"/>
      <c r="N126" s="151"/>
      <c r="O126" s="151"/>
      <c r="P126" s="61"/>
      <c r="Q126" s="61"/>
      <c r="R126" s="61"/>
    </row>
    <row r="127" spans="1:18" ht="15.75" customHeight="1">
      <c r="A127" s="62" t="s">
        <v>147</v>
      </c>
      <c r="B127" s="190" t="str">
        <f>INDEX('دورة1 دورة2'!B10:BJ30,MATCH("f",'دورة1 دورة2'!B10:B30,0),3)</f>
        <v>بوعروج </v>
      </c>
      <c r="C127" s="158" t="s">
        <v>146</v>
      </c>
      <c r="D127" s="186" t="str">
        <f>INDEX('دورة1 دورة2'!B10:BJ30,MATCH("f",'دورة1 دورة2'!B10:B30,0),4)</f>
        <v>نسيمة</v>
      </c>
      <c r="E127" s="62"/>
      <c r="F127" s="158" t="s">
        <v>52</v>
      </c>
      <c r="G127" s="783">
        <f>INDEX('دورة1 دورة2'!B10:BJ30,MATCH("f",'دورة1 دورة2'!B10:B30,0),6)</f>
        <v>0</v>
      </c>
      <c r="H127" s="783"/>
      <c r="I127" s="783"/>
      <c r="J127" s="61"/>
      <c r="K127" s="132" t="s">
        <v>53</v>
      </c>
      <c r="L127" s="784">
        <f>INDEX('دورة1 دورة2'!B10:BJ30,MATCH("f",'دورة1 دورة2'!B10:B30,0),7)</f>
        <v>0</v>
      </c>
      <c r="M127" s="784"/>
      <c r="O127" s="186"/>
      <c r="P127" s="8" t="s">
        <v>54</v>
      </c>
      <c r="Q127" s="784">
        <f>INDEX('دورة1 دورة2'!B10:BJ30,MATCH("f",'دورة1 دورة2'!B10:B30,0),8)</f>
        <v>0</v>
      </c>
      <c r="R127" s="784"/>
    </row>
    <row r="128" spans="1:18" ht="15" customHeight="1">
      <c r="A128" s="2" t="s">
        <v>149</v>
      </c>
      <c r="B128" s="190">
        <f>INDEX('دورة1 دورة2'!B10:BJ30,MATCH("f",'دورة1 دورة2'!B10:B30,0),5)</f>
        <v>0</v>
      </c>
      <c r="C128" s="166"/>
      <c r="D128" s="9" t="s">
        <v>55</v>
      </c>
      <c r="E128" s="11" t="s">
        <v>56</v>
      </c>
      <c r="F128" s="11"/>
      <c r="G128" s="156"/>
      <c r="H128" s="11"/>
      <c r="I128" s="9"/>
      <c r="J128" s="9" t="s">
        <v>57</v>
      </c>
      <c r="K128" s="9"/>
      <c r="L128" s="11"/>
      <c r="N128" s="4" t="s">
        <v>98</v>
      </c>
      <c r="O128" s="2" t="s">
        <v>98</v>
      </c>
      <c r="P128" s="10" t="s">
        <v>97</v>
      </c>
      <c r="R128" s="61"/>
    </row>
    <row r="129" spans="1:16" ht="15.75" thickBot="1">
      <c r="A129" s="3" t="s">
        <v>58</v>
      </c>
      <c r="B129" s="139" t="s">
        <v>200</v>
      </c>
      <c r="C129" s="139"/>
      <c r="G129" s="129"/>
      <c r="J129" s="4"/>
      <c r="K129" s="4"/>
      <c r="M129" s="4"/>
      <c r="N129" s="4"/>
      <c r="O129" s="126"/>
      <c r="P129" s="126"/>
    </row>
    <row r="130" spans="1:18" ht="23.25" customHeight="1" thickBot="1" thickTop="1">
      <c r="A130" s="775" t="s">
        <v>25</v>
      </c>
      <c r="B130" s="777" t="s">
        <v>59</v>
      </c>
      <c r="C130" s="777"/>
      <c r="D130" s="778"/>
      <c r="E130" s="777"/>
      <c r="F130" s="777" t="s">
        <v>60</v>
      </c>
      <c r="G130" s="777"/>
      <c r="H130" s="777"/>
      <c r="I130" s="777" t="s">
        <v>61</v>
      </c>
      <c r="J130" s="777"/>
      <c r="K130" s="777"/>
      <c r="L130" s="777"/>
      <c r="M130" s="777"/>
      <c r="N130" s="777"/>
      <c r="O130" s="777"/>
      <c r="P130" s="777"/>
      <c r="Q130" s="777"/>
      <c r="R130" s="779"/>
    </row>
    <row r="131" spans="1:18" ht="15.75" thickBot="1">
      <c r="A131" s="776"/>
      <c r="B131" s="780" t="s">
        <v>63</v>
      </c>
      <c r="C131" s="771" t="s">
        <v>62</v>
      </c>
      <c r="D131" s="149" t="s">
        <v>64</v>
      </c>
      <c r="E131" s="781" t="s">
        <v>65</v>
      </c>
      <c r="F131" s="771" t="s">
        <v>66</v>
      </c>
      <c r="G131" s="138" t="s">
        <v>64</v>
      </c>
      <c r="H131" s="771" t="s">
        <v>65</v>
      </c>
      <c r="I131" s="771" t="s">
        <v>67</v>
      </c>
      <c r="J131" s="771"/>
      <c r="K131" s="771"/>
      <c r="L131" s="771" t="s">
        <v>68</v>
      </c>
      <c r="M131" s="771"/>
      <c r="N131" s="771"/>
      <c r="O131" s="771"/>
      <c r="P131" s="771" t="s">
        <v>25</v>
      </c>
      <c r="Q131" s="771"/>
      <c r="R131" s="772"/>
    </row>
    <row r="132" spans="1:21" ht="15.75" thickBot="1">
      <c r="A132" s="776"/>
      <c r="B132" s="780"/>
      <c r="C132" s="771"/>
      <c r="D132" s="150" t="s">
        <v>69</v>
      </c>
      <c r="E132" s="781"/>
      <c r="F132" s="771"/>
      <c r="G132" s="138" t="s">
        <v>69</v>
      </c>
      <c r="H132" s="771"/>
      <c r="I132" s="133" t="s">
        <v>70</v>
      </c>
      <c r="J132" s="133" t="s">
        <v>100</v>
      </c>
      <c r="K132" s="133" t="s">
        <v>96</v>
      </c>
      <c r="L132" s="133" t="s">
        <v>70</v>
      </c>
      <c r="M132" s="133" t="s">
        <v>100</v>
      </c>
      <c r="N132" s="133" t="s">
        <v>96</v>
      </c>
      <c r="O132" s="133" t="s">
        <v>93</v>
      </c>
      <c r="P132" s="133" t="s">
        <v>70</v>
      </c>
      <c r="Q132" s="133" t="s">
        <v>100</v>
      </c>
      <c r="R132" s="140" t="s">
        <v>96</v>
      </c>
      <c r="U132" s="134"/>
    </row>
    <row r="133" spans="1:21" ht="20.25" customHeight="1" thickBot="1">
      <c r="A133" s="773" t="s">
        <v>457</v>
      </c>
      <c r="B133" s="769" t="s">
        <v>126</v>
      </c>
      <c r="C133" s="769" t="s">
        <v>122</v>
      </c>
      <c r="D133" s="774">
        <v>18</v>
      </c>
      <c r="E133" s="769">
        <v>7</v>
      </c>
      <c r="F133" s="588" t="s">
        <v>205</v>
      </c>
      <c r="G133" s="137">
        <v>7</v>
      </c>
      <c r="H133" s="144">
        <v>3</v>
      </c>
      <c r="I133" s="145">
        <f>INDEX('دورة1 دورة2'!B10:BJ30,MATCH("f",'دورة1 دورة2'!B10:B30,0),9)</f>
        <v>40.5</v>
      </c>
      <c r="J133" s="146">
        <f>IF(I133&lt;30,0,7)</f>
        <v>7</v>
      </c>
      <c r="K133" s="199" t="str">
        <f>INDEX('دورة1 دورة2'!B10:BJ30,MATCH("f",'دورة1 دورة2'!B10:B30,0),11)</f>
        <v>د1</v>
      </c>
      <c r="L133" s="770">
        <f>(I133+I134+I135)/7</f>
        <v>10.928571428571429</v>
      </c>
      <c r="M133" s="763">
        <f>IF(L133&lt;10,J133+J134+J135,18)</f>
        <v>18</v>
      </c>
      <c r="N133" s="763" t="str">
        <f>INDEX('دورة1 دورة2'!B10:BJ30,MATCH("f",'دورة1 دورة2'!B10:B30,0),20)</f>
        <v>د1</v>
      </c>
      <c r="O133" s="763">
        <f>LOOKUP("r",'دورة1 دورة2'!B:B,'دورة1 دورة2'!AG:AG)</f>
        <v>2018</v>
      </c>
      <c r="P133" s="765">
        <f>(I133+I134+I135+I136+I137+I138+I139)/14</f>
        <v>10.885714285714286</v>
      </c>
      <c r="Q133" s="766">
        <f>IF(P133&lt;10,M133+M136+M138+M139,30)</f>
        <v>30</v>
      </c>
      <c r="R133" s="767" t="str">
        <f>INDEX('دورة1 دورة2'!B10:BJ30,MATCH("f",'دورة1 دورة2'!B10:B30,0),51)</f>
        <v>د1</v>
      </c>
      <c r="S133" s="764"/>
      <c r="U133" s="134"/>
    </row>
    <row r="134" spans="1:19" ht="20.25" customHeight="1" thickBot="1">
      <c r="A134" s="773"/>
      <c r="B134" s="769"/>
      <c r="C134" s="769"/>
      <c r="D134" s="769"/>
      <c r="E134" s="769"/>
      <c r="F134" s="589" t="s">
        <v>206</v>
      </c>
      <c r="G134" s="137">
        <v>6</v>
      </c>
      <c r="H134" s="144">
        <v>2</v>
      </c>
      <c r="I134" s="145">
        <f>INDEX('دورة1 دورة2'!B10:BJ30,MATCH("f",'دورة1 دورة2'!B10:B30,0),12)</f>
        <v>19</v>
      </c>
      <c r="J134" s="146">
        <f>IF(I134&lt;20,0,6)</f>
        <v>0</v>
      </c>
      <c r="K134" s="199" t="str">
        <f>INDEX('دورة1 دورة2'!B10:BJ30,MATCH("f",'دورة1 دورة2'!B10:B30,0),14)</f>
        <v>د1</v>
      </c>
      <c r="L134" s="770"/>
      <c r="M134" s="763"/>
      <c r="N134" s="763"/>
      <c r="O134" s="763"/>
      <c r="P134" s="765"/>
      <c r="Q134" s="766"/>
      <c r="R134" s="767"/>
      <c r="S134" s="764"/>
    </row>
    <row r="135" spans="1:19" ht="20.25" customHeight="1" thickBot="1">
      <c r="A135" s="773"/>
      <c r="B135" s="769"/>
      <c r="C135" s="769"/>
      <c r="D135" s="769"/>
      <c r="E135" s="769"/>
      <c r="F135" s="589" t="s">
        <v>207</v>
      </c>
      <c r="G135" s="137">
        <v>5</v>
      </c>
      <c r="H135" s="144">
        <v>2</v>
      </c>
      <c r="I135" s="145">
        <f>INDEX('دورة1 دورة2'!B10:BJ30,MATCH("f",'دورة1 دورة2'!B10:B30,0),15)</f>
        <v>17</v>
      </c>
      <c r="J135" s="146">
        <f>IF(I135&lt;20,0,5)</f>
        <v>0</v>
      </c>
      <c r="K135" s="199" t="str">
        <f>INDEX('دورة1 دورة2'!B10:BJ30,MATCH("f",'دورة1 دورة2'!B10:B30,0),17)</f>
        <v>د1</v>
      </c>
      <c r="L135" s="770"/>
      <c r="M135" s="763"/>
      <c r="N135" s="763"/>
      <c r="O135" s="763"/>
      <c r="P135" s="765"/>
      <c r="Q135" s="766"/>
      <c r="R135" s="767"/>
      <c r="S135" s="764"/>
    </row>
    <row r="136" spans="1:19" ht="20.25" customHeight="1" thickBot="1">
      <c r="A136" s="773"/>
      <c r="B136" s="769" t="s">
        <v>127</v>
      </c>
      <c r="C136" s="769" t="s">
        <v>123</v>
      </c>
      <c r="D136" s="769">
        <v>9</v>
      </c>
      <c r="E136" s="769">
        <v>4</v>
      </c>
      <c r="F136" s="590" t="s">
        <v>208</v>
      </c>
      <c r="G136" s="137">
        <v>5</v>
      </c>
      <c r="H136" s="144">
        <v>2</v>
      </c>
      <c r="I136" s="145">
        <f>INDEX('دورة1 دورة2'!B10:BJ30,MATCH("f",'دورة1 دورة2'!B10:B30,0),23)</f>
        <v>20.4</v>
      </c>
      <c r="J136" s="146">
        <f>IF(I136&lt;20,0,5)</f>
        <v>5</v>
      </c>
      <c r="K136" s="199" t="str">
        <f>INDEX('دورة1 دورة2'!B10:BJ30,MATCH("f",'دورة1 دورة2'!B10:B30,0),25)</f>
        <v>د1</v>
      </c>
      <c r="L136" s="770">
        <f>(I137+I136)/4</f>
        <v>10.35</v>
      </c>
      <c r="M136" s="763">
        <f>IF(L136&lt;10,J137+J136,9)</f>
        <v>9</v>
      </c>
      <c r="N136" s="763" t="str">
        <f>INDEX('دورة1 دورة2'!B10:BJ30,MATCH("f",'دورة1 دورة2'!B10:B30,0),31)</f>
        <v>د1</v>
      </c>
      <c r="O136" s="763">
        <f>LOOKUP("r",'دورة1 دورة2'!B:B,'دورة1 دورة2'!AN:AN)</f>
        <v>2018</v>
      </c>
      <c r="P136" s="765"/>
      <c r="Q136" s="766"/>
      <c r="R136" s="767"/>
      <c r="S136" s="764"/>
    </row>
    <row r="137" spans="1:19" ht="20.25" customHeight="1" thickBot="1">
      <c r="A137" s="773"/>
      <c r="B137" s="769"/>
      <c r="C137" s="769"/>
      <c r="D137" s="769"/>
      <c r="E137" s="769"/>
      <c r="F137" s="589" t="s">
        <v>209</v>
      </c>
      <c r="G137" s="137">
        <v>4</v>
      </c>
      <c r="H137" s="144">
        <v>2</v>
      </c>
      <c r="I137" s="145">
        <f>INDEX('دورة1 دورة2'!B10:BJ30,MATCH("f",'دورة1 دورة2'!B10:B30,0),26)</f>
        <v>21</v>
      </c>
      <c r="J137" s="146">
        <f>IF(I137&lt;20,0,4)</f>
        <v>4</v>
      </c>
      <c r="K137" s="199" t="str">
        <f>INDEX('دورة1 دورة2'!B10:BJ30,MATCH("f",'دورة1 دورة2'!B10:B30,0),28)</f>
        <v>د1</v>
      </c>
      <c r="L137" s="770"/>
      <c r="M137" s="763"/>
      <c r="N137" s="763"/>
      <c r="O137" s="763"/>
      <c r="P137" s="765"/>
      <c r="Q137" s="766"/>
      <c r="R137" s="767"/>
      <c r="S137" s="764"/>
    </row>
    <row r="138" spans="1:19" ht="20.25" customHeight="1" thickBot="1">
      <c r="A138" s="773"/>
      <c r="B138" s="137" t="s">
        <v>128</v>
      </c>
      <c r="C138" s="137" t="s">
        <v>124</v>
      </c>
      <c r="D138" s="137">
        <v>2</v>
      </c>
      <c r="E138" s="137">
        <v>2</v>
      </c>
      <c r="F138" s="589" t="s">
        <v>211</v>
      </c>
      <c r="G138" s="137">
        <v>2</v>
      </c>
      <c r="H138" s="144">
        <v>2</v>
      </c>
      <c r="I138" s="145">
        <f>INDEX('دورة1 دورة2'!B10:BJ30,MATCH("f",'دورة1 دورة2'!B10:B30,0),34)</f>
        <v>28</v>
      </c>
      <c r="J138" s="146">
        <f>IF(I138&lt;20,0,2)</f>
        <v>2</v>
      </c>
      <c r="K138" s="199" t="str">
        <f>INDEX('دورة1 دورة2'!B10:BJ30,MATCH("f",'دورة1 دورة2'!B10:B30,0),36)</f>
        <v>د1</v>
      </c>
      <c r="L138" s="147">
        <f>I138/2</f>
        <v>14</v>
      </c>
      <c r="M138" s="148">
        <f>J138</f>
        <v>2</v>
      </c>
      <c r="N138" s="199" t="str">
        <f>INDEX('دورة1 دورة2'!B10:BJ30,MATCH("f",'دورة1 دورة2'!B10:B30,0),36)</f>
        <v>د1</v>
      </c>
      <c r="O138" s="146">
        <f>LOOKUP("r",'دورة1 دورة2'!B:B,'دورة1 دورة2'!AU:AU)</f>
        <v>2018</v>
      </c>
      <c r="P138" s="765"/>
      <c r="Q138" s="766"/>
      <c r="R138" s="767"/>
      <c r="S138" s="131"/>
    </row>
    <row r="139" spans="1:19" ht="20.25" customHeight="1" thickBot="1">
      <c r="A139" s="773"/>
      <c r="B139" s="137" t="s">
        <v>129</v>
      </c>
      <c r="C139" s="137" t="s">
        <v>125</v>
      </c>
      <c r="D139" s="137">
        <v>1</v>
      </c>
      <c r="E139" s="137">
        <v>1</v>
      </c>
      <c r="F139" s="591" t="s">
        <v>191</v>
      </c>
      <c r="G139" s="137">
        <v>1</v>
      </c>
      <c r="H139" s="144">
        <v>1</v>
      </c>
      <c r="I139" s="145">
        <f>INDEX('دورة1 دورة2'!B10:BJ30,MATCH("f",'دورة1 دورة2'!B10:B30,0),41)</f>
        <v>6.5</v>
      </c>
      <c r="J139" s="146">
        <f>IF(I139&lt;10,0,1)</f>
        <v>0</v>
      </c>
      <c r="K139" s="199" t="str">
        <f>INDEX('دورة1 دورة2'!B10:BJ30,MATCH("f",'دورة1 دورة2'!B10:B30,0),43)</f>
        <v>د1</v>
      </c>
      <c r="L139" s="147">
        <f>I139</f>
        <v>6.5</v>
      </c>
      <c r="M139" s="148">
        <f>J139</f>
        <v>0</v>
      </c>
      <c r="N139" s="199" t="str">
        <f>INDEX('دورة1 دورة2'!B10:BJ30,MATCH("f",'دورة1 دورة2'!B10:B30,0),43)</f>
        <v>د1</v>
      </c>
      <c r="O139" s="146">
        <f>LOOKUP("r",'دورة1 دورة2'!B:B,'دورة1 دورة2'!AU:AU)</f>
        <v>2018</v>
      </c>
      <c r="P139" s="765"/>
      <c r="Q139" s="766"/>
      <c r="R139" s="768"/>
      <c r="S139" s="131"/>
    </row>
    <row r="140" spans="1:19" ht="81.75" customHeight="1" thickBot="1">
      <c r="A140" s="342" t="s">
        <v>458</v>
      </c>
      <c r="B140" s="137" t="s">
        <v>126</v>
      </c>
      <c r="C140" s="137" t="s">
        <v>122</v>
      </c>
      <c r="D140" s="137">
        <v>18</v>
      </c>
      <c r="E140" s="137">
        <v>7</v>
      </c>
      <c r="F140" s="592" t="s">
        <v>213</v>
      </c>
      <c r="G140" s="137">
        <v>7</v>
      </c>
      <c r="H140" s="144">
        <v>2</v>
      </c>
      <c r="I140" s="145">
        <f>INDEX('دورة1 دورة2'!B10:BJ30,MATCH("f",'دورة1 دورة2'!B10:B30,0),54)</f>
        <v>0</v>
      </c>
      <c r="J140" s="146">
        <f>IF(I140&lt;300,0,30)</f>
        <v>0</v>
      </c>
      <c r="K140" s="199" t="str">
        <f>INDEX('دورة1 دورة2'!B10:BJ30,MATCH("f",'دورة1 دورة2'!B10:B30,0),56)</f>
        <v>د1</v>
      </c>
      <c r="L140" s="147">
        <f>(I140)/30</f>
        <v>0</v>
      </c>
      <c r="M140" s="148">
        <f>IF(L140&lt;10,J140,30)</f>
        <v>0</v>
      </c>
      <c r="N140" s="148" t="str">
        <f>INDEX('دورة1 دورة2'!B10:BJ30,MATCH("f",'دورة1 دورة2'!B10:B30,0),56)</f>
        <v>د1</v>
      </c>
      <c r="O140" s="148" t="e">
        <f>LOOKUP("r",'دورة1 دورة2'!B:B,'دورة1 دورة2'!#REF!)</f>
        <v>#REF!</v>
      </c>
      <c r="P140" s="341">
        <f>(I140)/30</f>
        <v>0</v>
      </c>
      <c r="Q140" s="146">
        <f>IF(P140&lt;10,M140,30)</f>
        <v>0</v>
      </c>
      <c r="R140" s="343" t="str">
        <f>INDEX('دورة1 دورة2'!B10:BJ30,MATCH("f",'دورة1 دورة2'!B10:B30,0),60)</f>
        <v>د1</v>
      </c>
      <c r="S140" s="131"/>
    </row>
    <row r="141" spans="1:18" ht="17.25" customHeight="1" thickBot="1">
      <c r="A141" s="62" t="s">
        <v>150</v>
      </c>
      <c r="B141" s="135">
        <f>(P133+P140)/2</f>
        <v>5.442857142857143</v>
      </c>
      <c r="C141" s="759" t="s">
        <v>461</v>
      </c>
      <c r="D141" s="760"/>
      <c r="E141" s="760"/>
      <c r="F141" s="761"/>
      <c r="G141" s="136">
        <f>Q133+Q140</f>
        <v>30</v>
      </c>
      <c r="H141" s="6"/>
      <c r="I141" s="6"/>
      <c r="J141" s="134" t="s">
        <v>72</v>
      </c>
      <c r="K141" s="6"/>
      <c r="L141" s="6"/>
      <c r="M141" s="6"/>
      <c r="N141" s="6"/>
      <c r="O141" s="6"/>
      <c r="P141" s="583">
        <v>120</v>
      </c>
      <c r="Q141" s="130"/>
      <c r="R141" s="130"/>
    </row>
    <row r="142" spans="1:18" ht="16.5" customHeight="1" thickBot="1">
      <c r="A142" s="62" t="s">
        <v>121</v>
      </c>
      <c r="B142" s="75" t="str">
        <f>IF(B141&lt;10,"راسب(ة)","ناجح(ة)")</f>
        <v>راسب(ة)</v>
      </c>
      <c r="G142" s="129"/>
      <c r="I142" s="80"/>
      <c r="J142" s="134" t="s">
        <v>73</v>
      </c>
      <c r="K142" s="6"/>
      <c r="L142" s="6"/>
      <c r="M142" s="6"/>
      <c r="N142" s="6"/>
      <c r="O142" s="6"/>
      <c r="P142" s="133">
        <v>120</v>
      </c>
      <c r="Q142" s="5"/>
      <c r="R142" s="5"/>
    </row>
    <row r="143" spans="1:7" ht="16.5" customHeight="1">
      <c r="A143" s="62" t="s">
        <v>120</v>
      </c>
      <c r="B143" s="77">
        <f ca="1">TODAY()</f>
        <v>43188</v>
      </c>
      <c r="G143" s="129"/>
    </row>
    <row r="144" spans="1:14" ht="16.5" customHeight="1">
      <c r="A144" s="62" t="s">
        <v>74</v>
      </c>
      <c r="B144" s="8" t="s">
        <v>119</v>
      </c>
      <c r="L144" s="762" t="s">
        <v>29</v>
      </c>
      <c r="M144" s="762"/>
      <c r="N144" s="75"/>
    </row>
    <row r="145" spans="1:17" ht="20.25">
      <c r="A145" s="187" t="s">
        <v>45</v>
      </c>
      <c r="B145" s="188"/>
      <c r="C145" s="188"/>
      <c r="D145" s="188"/>
      <c r="E145" s="188"/>
      <c r="F145" s="188"/>
      <c r="G145" s="188"/>
      <c r="H145" s="189"/>
      <c r="I145" s="189"/>
      <c r="J145" s="189"/>
      <c r="K145" s="189"/>
      <c r="L145" s="189"/>
      <c r="M145" s="78" t="s">
        <v>46</v>
      </c>
      <c r="N145" s="189"/>
      <c r="O145" s="78"/>
      <c r="P145" s="189"/>
      <c r="Q145" s="189"/>
    </row>
    <row r="146" spans="6:10" ht="15" customHeight="1">
      <c r="F146" s="191" t="s">
        <v>47</v>
      </c>
      <c r="G146" s="10" t="s">
        <v>19</v>
      </c>
      <c r="H146" s="10"/>
      <c r="I146" s="10"/>
      <c r="J146" s="10"/>
    </row>
    <row r="147" spans="6:10" ht="15" customHeight="1">
      <c r="F147" s="191" t="s">
        <v>48</v>
      </c>
      <c r="G147" s="10" t="s">
        <v>49</v>
      </c>
      <c r="H147" s="10"/>
      <c r="I147" s="10"/>
      <c r="J147" s="10"/>
    </row>
    <row r="148" spans="6:10" ht="15" customHeight="1">
      <c r="F148" s="191" t="s">
        <v>50</v>
      </c>
      <c r="G148" s="10" t="s">
        <v>51</v>
      </c>
      <c r="H148" s="10"/>
      <c r="I148" s="10"/>
      <c r="J148" s="10"/>
    </row>
    <row r="149" spans="4:11" ht="21" customHeight="1">
      <c r="D149" s="782" t="s">
        <v>99</v>
      </c>
      <c r="E149" s="782"/>
      <c r="F149" s="782"/>
      <c r="G149" s="782"/>
      <c r="H149" s="782"/>
      <c r="I149" s="782"/>
      <c r="J149" s="782"/>
      <c r="K149" s="782"/>
    </row>
    <row r="150" spans="1:18" ht="18">
      <c r="A150" s="2" t="s">
        <v>148</v>
      </c>
      <c r="B150" s="196" t="str">
        <f>B6</f>
        <v>2017/2018</v>
      </c>
      <c r="C150" s="62"/>
      <c r="E150" s="61"/>
      <c r="F150" s="62"/>
      <c r="G150" s="157"/>
      <c r="H150" s="62"/>
      <c r="I150" s="61"/>
      <c r="J150" s="61"/>
      <c r="K150" s="61"/>
      <c r="L150" s="151"/>
      <c r="M150" s="151"/>
      <c r="N150" s="151"/>
      <c r="O150" s="151"/>
      <c r="P150" s="61"/>
      <c r="Q150" s="61"/>
      <c r="R150" s="61"/>
    </row>
    <row r="151" spans="1:18" ht="15.75" customHeight="1">
      <c r="A151" s="62" t="s">
        <v>147</v>
      </c>
      <c r="B151" s="190" t="str">
        <f>INDEX('دورة1 دورة2'!B10:BJ30,MATCH("g",'دورة1 دورة2'!B10:B30,0),3)</f>
        <v>بولعيد </v>
      </c>
      <c r="C151" s="158" t="s">
        <v>146</v>
      </c>
      <c r="D151" s="186" t="str">
        <f>INDEX('دورة1 دورة2'!B10:BJ30,MATCH("g",'دورة1 دورة2'!B10:B30,0),4)</f>
        <v>مريم</v>
      </c>
      <c r="E151" s="62"/>
      <c r="F151" s="158" t="s">
        <v>52</v>
      </c>
      <c r="G151" s="783">
        <f>INDEX('دورة1 دورة2'!B10:BJ30,MATCH("g",'دورة1 دورة2'!B10:B30,0),6)</f>
        <v>0</v>
      </c>
      <c r="H151" s="783"/>
      <c r="I151" s="783"/>
      <c r="J151" s="61"/>
      <c r="K151" s="132" t="s">
        <v>53</v>
      </c>
      <c r="L151" s="784">
        <f>INDEX('دورة1 دورة2'!B10:BJ30,MATCH("g",'دورة1 دورة2'!B10:B30,0),7)</f>
        <v>0</v>
      </c>
      <c r="M151" s="784"/>
      <c r="O151" s="186"/>
      <c r="P151" s="8" t="s">
        <v>54</v>
      </c>
      <c r="Q151" s="784">
        <f>INDEX('دورة1 دورة2'!B10:BJ30,MATCH("g",'دورة1 دورة2'!B10:B30,0),8)</f>
        <v>0</v>
      </c>
      <c r="R151" s="784"/>
    </row>
    <row r="152" spans="1:18" ht="15" customHeight="1">
      <c r="A152" s="2" t="s">
        <v>149</v>
      </c>
      <c r="B152" s="190">
        <f>INDEX('دورة1 دورة2'!B10:BJ30,MATCH("g",'دورة1 دورة2'!B10:B30,0),5)</f>
        <v>0</v>
      </c>
      <c r="C152" s="166"/>
      <c r="D152" s="9" t="s">
        <v>55</v>
      </c>
      <c r="E152" s="11" t="s">
        <v>56</v>
      </c>
      <c r="F152" s="11"/>
      <c r="G152" s="156"/>
      <c r="H152" s="11"/>
      <c r="I152" s="9"/>
      <c r="J152" s="9" t="s">
        <v>57</v>
      </c>
      <c r="K152" s="9"/>
      <c r="L152" s="11"/>
      <c r="N152" s="4" t="s">
        <v>98</v>
      </c>
      <c r="O152" s="2" t="s">
        <v>98</v>
      </c>
      <c r="P152" s="10" t="s">
        <v>97</v>
      </c>
      <c r="R152" s="61"/>
    </row>
    <row r="153" spans="1:16" ht="15.75" thickBot="1">
      <c r="A153" s="3" t="s">
        <v>58</v>
      </c>
      <c r="B153" s="139" t="s">
        <v>200</v>
      </c>
      <c r="C153" s="139"/>
      <c r="G153" s="129"/>
      <c r="J153" s="4"/>
      <c r="K153" s="4"/>
      <c r="M153" s="4"/>
      <c r="N153" s="4"/>
      <c r="O153" s="126"/>
      <c r="P153" s="126"/>
    </row>
    <row r="154" spans="1:18" ht="27.75" customHeight="1" thickBot="1" thickTop="1">
      <c r="A154" s="775" t="s">
        <v>25</v>
      </c>
      <c r="B154" s="777" t="s">
        <v>59</v>
      </c>
      <c r="C154" s="777"/>
      <c r="D154" s="778"/>
      <c r="E154" s="777"/>
      <c r="F154" s="777" t="s">
        <v>60</v>
      </c>
      <c r="G154" s="777"/>
      <c r="H154" s="777"/>
      <c r="I154" s="777" t="s">
        <v>61</v>
      </c>
      <c r="J154" s="777"/>
      <c r="K154" s="777"/>
      <c r="L154" s="777"/>
      <c r="M154" s="777"/>
      <c r="N154" s="777"/>
      <c r="O154" s="777"/>
      <c r="P154" s="777"/>
      <c r="Q154" s="777"/>
      <c r="R154" s="779"/>
    </row>
    <row r="155" spans="1:18" ht="15.75" thickBot="1">
      <c r="A155" s="776"/>
      <c r="B155" s="780" t="s">
        <v>63</v>
      </c>
      <c r="C155" s="771" t="s">
        <v>62</v>
      </c>
      <c r="D155" s="149" t="s">
        <v>64</v>
      </c>
      <c r="E155" s="781" t="s">
        <v>65</v>
      </c>
      <c r="F155" s="771" t="s">
        <v>66</v>
      </c>
      <c r="G155" s="138" t="s">
        <v>64</v>
      </c>
      <c r="H155" s="771" t="s">
        <v>65</v>
      </c>
      <c r="I155" s="771" t="s">
        <v>67</v>
      </c>
      <c r="J155" s="771"/>
      <c r="K155" s="771"/>
      <c r="L155" s="771" t="s">
        <v>68</v>
      </c>
      <c r="M155" s="771"/>
      <c r="N155" s="771"/>
      <c r="O155" s="771"/>
      <c r="P155" s="771" t="s">
        <v>25</v>
      </c>
      <c r="Q155" s="771"/>
      <c r="R155" s="772"/>
    </row>
    <row r="156" spans="1:21" ht="15.75" thickBot="1">
      <c r="A156" s="776"/>
      <c r="B156" s="780"/>
      <c r="C156" s="771"/>
      <c r="D156" s="150" t="s">
        <v>69</v>
      </c>
      <c r="E156" s="781"/>
      <c r="F156" s="771"/>
      <c r="G156" s="138" t="s">
        <v>69</v>
      </c>
      <c r="H156" s="771"/>
      <c r="I156" s="133" t="s">
        <v>70</v>
      </c>
      <c r="J156" s="133" t="s">
        <v>100</v>
      </c>
      <c r="K156" s="133" t="s">
        <v>96</v>
      </c>
      <c r="L156" s="133" t="s">
        <v>70</v>
      </c>
      <c r="M156" s="133" t="s">
        <v>100</v>
      </c>
      <c r="N156" s="133" t="s">
        <v>96</v>
      </c>
      <c r="O156" s="133" t="s">
        <v>93</v>
      </c>
      <c r="P156" s="133" t="s">
        <v>70</v>
      </c>
      <c r="Q156" s="133" t="s">
        <v>100</v>
      </c>
      <c r="R156" s="140" t="s">
        <v>96</v>
      </c>
      <c r="U156" s="134"/>
    </row>
    <row r="157" spans="1:21" ht="19.5" customHeight="1" thickBot="1">
      <c r="A157" s="773" t="s">
        <v>457</v>
      </c>
      <c r="B157" s="769" t="s">
        <v>126</v>
      </c>
      <c r="C157" s="769" t="s">
        <v>122</v>
      </c>
      <c r="D157" s="774">
        <v>18</v>
      </c>
      <c r="E157" s="769">
        <v>7</v>
      </c>
      <c r="F157" s="588" t="s">
        <v>205</v>
      </c>
      <c r="G157" s="137">
        <v>7</v>
      </c>
      <c r="H157" s="144">
        <v>3</v>
      </c>
      <c r="I157" s="145">
        <f>INDEX('دورة1 دورة2'!B10:BJ30,MATCH("g",'دورة1 دورة2'!B10:B30,0),9)</f>
        <v>35.25</v>
      </c>
      <c r="J157" s="146">
        <f>IF(I157&lt;30,0,7)</f>
        <v>7</v>
      </c>
      <c r="K157" s="199" t="str">
        <f>INDEX('دورة1 دورة2'!B10:BJ30,MATCH("g",'دورة1 دورة2'!B10:B30,0),11)</f>
        <v>د1</v>
      </c>
      <c r="L157" s="770">
        <f>(I157+I158+I159)/7</f>
        <v>9.464285714285714</v>
      </c>
      <c r="M157" s="763">
        <f>IF(L157&lt;10,J157+J158+J159,18)</f>
        <v>7</v>
      </c>
      <c r="N157" s="763" t="str">
        <f>INDEX('دورة1 دورة2'!B10:BJ30,MATCH("g",'دورة1 دورة2'!B10:B30,0),20)</f>
        <v>د1</v>
      </c>
      <c r="O157" s="763">
        <f>LOOKUP("r",'دورة1 دورة2'!B:B,'دورة1 دورة2'!AG:AG)</f>
        <v>2018</v>
      </c>
      <c r="P157" s="765">
        <f>(I157+I158+I159+I160+I161+I162+I163)/14</f>
        <v>9.160714285714286</v>
      </c>
      <c r="Q157" s="766">
        <f>IF(P157&lt;10,M157+M160+M162+M163,30)</f>
        <v>9</v>
      </c>
      <c r="R157" s="767" t="str">
        <f>INDEX('دورة1 دورة2'!B10:BJ30,MATCH("g",'دورة1 دورة2'!B10:B30,0),51)</f>
        <v>د1</v>
      </c>
      <c r="S157" s="764"/>
      <c r="U157" s="134"/>
    </row>
    <row r="158" spans="1:19" ht="19.5" customHeight="1" thickBot="1">
      <c r="A158" s="773"/>
      <c r="B158" s="769"/>
      <c r="C158" s="769"/>
      <c r="D158" s="769"/>
      <c r="E158" s="769"/>
      <c r="F158" s="589" t="s">
        <v>206</v>
      </c>
      <c r="G158" s="137">
        <v>6</v>
      </c>
      <c r="H158" s="144">
        <v>2</v>
      </c>
      <c r="I158" s="145">
        <f>INDEX('دورة1 دورة2'!B10:BJ30,MATCH("g",'دورة1 دورة2'!B10:B30,0),12)</f>
        <v>12.5</v>
      </c>
      <c r="J158" s="146">
        <f>IF(I158&lt;20,0,6)</f>
        <v>0</v>
      </c>
      <c r="K158" s="199" t="str">
        <f>INDEX('دورة1 دورة2'!B10:BJ30,MATCH("g",'دورة1 دورة2'!B10:B30,0),14)</f>
        <v>د1</v>
      </c>
      <c r="L158" s="770"/>
      <c r="M158" s="763"/>
      <c r="N158" s="763"/>
      <c r="O158" s="763"/>
      <c r="P158" s="765"/>
      <c r="Q158" s="766"/>
      <c r="R158" s="767"/>
      <c r="S158" s="764"/>
    </row>
    <row r="159" spans="1:19" ht="19.5" customHeight="1" thickBot="1">
      <c r="A159" s="773"/>
      <c r="B159" s="769"/>
      <c r="C159" s="769"/>
      <c r="D159" s="769"/>
      <c r="E159" s="769"/>
      <c r="F159" s="589" t="s">
        <v>207</v>
      </c>
      <c r="G159" s="137">
        <v>5</v>
      </c>
      <c r="H159" s="144">
        <v>2</v>
      </c>
      <c r="I159" s="145">
        <f>INDEX('دورة1 دورة2'!B10:BJ30,MATCH("g",'دورة1 دورة2'!B10:B30,0),15)</f>
        <v>18.5</v>
      </c>
      <c r="J159" s="146">
        <f>IF(I159&lt;20,0,5)</f>
        <v>0</v>
      </c>
      <c r="K159" s="199" t="str">
        <f>INDEX('دورة1 دورة2'!B10:BJ30,MATCH("g",'دورة1 دورة2'!B10:B30,0),17)</f>
        <v>د1</v>
      </c>
      <c r="L159" s="770"/>
      <c r="M159" s="763"/>
      <c r="N159" s="763"/>
      <c r="O159" s="763"/>
      <c r="P159" s="765"/>
      <c r="Q159" s="766"/>
      <c r="R159" s="767"/>
      <c r="S159" s="764"/>
    </row>
    <row r="160" spans="1:19" ht="19.5" customHeight="1" thickBot="1">
      <c r="A160" s="773"/>
      <c r="B160" s="769" t="s">
        <v>127</v>
      </c>
      <c r="C160" s="769" t="s">
        <v>123</v>
      </c>
      <c r="D160" s="769">
        <v>9</v>
      </c>
      <c r="E160" s="769">
        <v>4</v>
      </c>
      <c r="F160" s="590" t="s">
        <v>208</v>
      </c>
      <c r="G160" s="137">
        <v>5</v>
      </c>
      <c r="H160" s="144">
        <v>2</v>
      </c>
      <c r="I160" s="145">
        <f>INDEX('دورة1 دورة2'!B10:BJ30,MATCH("g",'دورة1 دورة2'!B10:B30,0),23)</f>
        <v>12</v>
      </c>
      <c r="J160" s="146">
        <f>IF(I160&lt;20,0,5)</f>
        <v>0</v>
      </c>
      <c r="K160" s="199" t="str">
        <f>INDEX('دورة1 دورة2'!B10:BJ30,MATCH("g",'دورة1 دورة2'!B10:B30,0),25)</f>
        <v>د1</v>
      </c>
      <c r="L160" s="770">
        <f>(I161+I160)/4</f>
        <v>7.125</v>
      </c>
      <c r="M160" s="763">
        <f>IF(L160&lt;10,J161+J160,9)</f>
        <v>0</v>
      </c>
      <c r="N160" s="763" t="str">
        <f>INDEX('دورة1 دورة2'!B10:BJ30,MATCH("g",'دورة1 دورة2'!B10:B30,0),31)</f>
        <v>د1</v>
      </c>
      <c r="O160" s="763">
        <f>LOOKUP("r",'دورة1 دورة2'!B:B,'دورة1 دورة2'!AN:AN)</f>
        <v>2018</v>
      </c>
      <c r="P160" s="765"/>
      <c r="Q160" s="766"/>
      <c r="R160" s="767"/>
      <c r="S160" s="764"/>
    </row>
    <row r="161" spans="1:19" ht="19.5" customHeight="1" thickBot="1">
      <c r="A161" s="773"/>
      <c r="B161" s="769"/>
      <c r="C161" s="769"/>
      <c r="D161" s="769"/>
      <c r="E161" s="769"/>
      <c r="F161" s="589" t="s">
        <v>209</v>
      </c>
      <c r="G161" s="137">
        <v>4</v>
      </c>
      <c r="H161" s="144">
        <v>2</v>
      </c>
      <c r="I161" s="145">
        <f>INDEX('دورة1 دورة2'!B10:BJ30,MATCH("g",'دورة1 دورة2'!B10:B30,0),26)</f>
        <v>16.5</v>
      </c>
      <c r="J161" s="146">
        <f>IF(I161&lt;20,0,4)</f>
        <v>0</v>
      </c>
      <c r="K161" s="199" t="str">
        <f>INDEX('دورة1 دورة2'!B10:BJ30,MATCH("g",'دورة1 دورة2'!B10:B30,0),28)</f>
        <v>د1</v>
      </c>
      <c r="L161" s="770"/>
      <c r="M161" s="763"/>
      <c r="N161" s="763"/>
      <c r="O161" s="763"/>
      <c r="P161" s="765"/>
      <c r="Q161" s="766"/>
      <c r="R161" s="767"/>
      <c r="S161" s="764"/>
    </row>
    <row r="162" spans="1:19" ht="19.5" customHeight="1" thickBot="1">
      <c r="A162" s="773"/>
      <c r="B162" s="137" t="s">
        <v>128</v>
      </c>
      <c r="C162" s="137" t="s">
        <v>124</v>
      </c>
      <c r="D162" s="137">
        <v>2</v>
      </c>
      <c r="E162" s="137">
        <v>2</v>
      </c>
      <c r="F162" s="589" t="s">
        <v>211</v>
      </c>
      <c r="G162" s="137">
        <v>2</v>
      </c>
      <c r="H162" s="144">
        <v>2</v>
      </c>
      <c r="I162" s="145">
        <f>INDEX('دورة1 دورة2'!B10:BJ30,MATCH("g",'دورة1 دورة2'!B10:B30,0),34)</f>
        <v>25.5</v>
      </c>
      <c r="J162" s="146">
        <f>IF(I162&lt;20,0,2)</f>
        <v>2</v>
      </c>
      <c r="K162" s="199" t="str">
        <f>INDEX('دورة1 دورة2'!B10:BJ30,MATCH("g",'دورة1 دورة2'!B10:B30,0),36)</f>
        <v>د1</v>
      </c>
      <c r="L162" s="147">
        <f>I162/2</f>
        <v>12.75</v>
      </c>
      <c r="M162" s="148">
        <f>J162</f>
        <v>2</v>
      </c>
      <c r="N162" s="199" t="str">
        <f>INDEX('دورة1 دورة2'!B10:BJ30,MATCH("g",'دورة1 دورة2'!B10:B30,0),36)</f>
        <v>د1</v>
      </c>
      <c r="O162" s="146">
        <f>LOOKUP("r",'دورة1 دورة2'!B:B,'دورة1 دورة2'!AU:AU)</f>
        <v>2018</v>
      </c>
      <c r="P162" s="765"/>
      <c r="Q162" s="766"/>
      <c r="R162" s="767"/>
      <c r="S162" s="131"/>
    </row>
    <row r="163" spans="1:19" ht="19.5" customHeight="1" thickBot="1">
      <c r="A163" s="773"/>
      <c r="B163" s="137" t="s">
        <v>129</v>
      </c>
      <c r="C163" s="137" t="s">
        <v>125</v>
      </c>
      <c r="D163" s="137">
        <v>1</v>
      </c>
      <c r="E163" s="137">
        <v>1</v>
      </c>
      <c r="F163" s="591" t="s">
        <v>191</v>
      </c>
      <c r="G163" s="137">
        <v>1</v>
      </c>
      <c r="H163" s="144">
        <v>1</v>
      </c>
      <c r="I163" s="145">
        <f>INDEX('دورة1 دورة2'!B10:BJ30,MATCH("g",'دورة1 دورة2'!B10:B30,0),41)</f>
        <v>8</v>
      </c>
      <c r="J163" s="146">
        <f>IF(I163&lt;10,0,1)</f>
        <v>0</v>
      </c>
      <c r="K163" s="199" t="str">
        <f>INDEX('دورة1 دورة2'!B10:BJ30,MATCH("g",'دورة1 دورة2'!B10:B30,0),43)</f>
        <v>د1</v>
      </c>
      <c r="L163" s="147">
        <f>I163</f>
        <v>8</v>
      </c>
      <c r="M163" s="148">
        <f>J163</f>
        <v>0</v>
      </c>
      <c r="N163" s="199" t="str">
        <f>INDEX('دورة1 دورة2'!B10:BJ30,MATCH("g",'دورة1 دورة2'!B10:B30,0),43)</f>
        <v>د1</v>
      </c>
      <c r="O163" s="146">
        <f>LOOKUP("r",'دورة1 دورة2'!B:B,'دورة1 دورة2'!AU:AU)</f>
        <v>2018</v>
      </c>
      <c r="P163" s="765"/>
      <c r="Q163" s="766"/>
      <c r="R163" s="768"/>
      <c r="S163" s="131"/>
    </row>
    <row r="164" spans="1:19" ht="87" customHeight="1" thickBot="1">
      <c r="A164" s="342" t="s">
        <v>458</v>
      </c>
      <c r="B164" s="137" t="s">
        <v>126</v>
      </c>
      <c r="C164" s="137" t="s">
        <v>122</v>
      </c>
      <c r="D164" s="137">
        <v>18</v>
      </c>
      <c r="E164" s="137">
        <v>7</v>
      </c>
      <c r="F164" s="592" t="s">
        <v>213</v>
      </c>
      <c r="G164" s="137">
        <v>7</v>
      </c>
      <c r="H164" s="144">
        <v>2</v>
      </c>
      <c r="I164" s="145">
        <f>INDEX('دورة1 دورة2'!B10:BJ30,MATCH("g",'دورة1 دورة2'!B10:B30,0),54)</f>
        <v>0</v>
      </c>
      <c r="J164" s="146">
        <f>IF(I164&lt;300,0,30)</f>
        <v>0</v>
      </c>
      <c r="K164" s="199" t="str">
        <f>INDEX('دورة1 دورة2'!B10:BJ30,MATCH("g",'دورة1 دورة2'!B10:B30,0),56)</f>
        <v>د1</v>
      </c>
      <c r="L164" s="147">
        <f>(I164)/30</f>
        <v>0</v>
      </c>
      <c r="M164" s="148">
        <f>IF(L164&lt;10,J164,30)</f>
        <v>0</v>
      </c>
      <c r="N164" s="148" t="str">
        <f>INDEX('دورة1 دورة2'!B10:BJ30,MATCH("g",'دورة1 دورة2'!B10:B30,0),56)</f>
        <v>د1</v>
      </c>
      <c r="O164" s="148" t="e">
        <f>LOOKUP("r",'دورة1 دورة2'!B:B,'دورة1 دورة2'!#REF!)</f>
        <v>#REF!</v>
      </c>
      <c r="P164" s="341">
        <f>(I164)/30</f>
        <v>0</v>
      </c>
      <c r="Q164" s="146">
        <f>IF(P164&lt;10,M164,30)</f>
        <v>0</v>
      </c>
      <c r="R164" s="343" t="str">
        <f>INDEX('دورة1 دورة2'!B10:BJ30,MATCH("g",'دورة1 دورة2'!B10:B30,0),60)</f>
        <v>د1</v>
      </c>
      <c r="S164" s="131"/>
    </row>
    <row r="165" spans="1:18" ht="17.25" customHeight="1" thickBot="1">
      <c r="A165" s="62" t="s">
        <v>150</v>
      </c>
      <c r="B165" s="135">
        <f>(P157+P164)/2</f>
        <v>4.580357142857143</v>
      </c>
      <c r="C165" s="759" t="s">
        <v>461</v>
      </c>
      <c r="D165" s="760"/>
      <c r="E165" s="760"/>
      <c r="F165" s="761"/>
      <c r="G165" s="136">
        <f>Q157+Q164</f>
        <v>9</v>
      </c>
      <c r="H165" s="6"/>
      <c r="I165" s="6"/>
      <c r="J165" s="134" t="s">
        <v>72</v>
      </c>
      <c r="K165" s="6"/>
      <c r="L165" s="6"/>
      <c r="M165" s="6"/>
      <c r="N165" s="6"/>
      <c r="O165" s="6"/>
      <c r="P165" s="583">
        <v>120</v>
      </c>
      <c r="Q165" s="130"/>
      <c r="R165" s="130"/>
    </row>
    <row r="166" spans="1:18" ht="16.5" customHeight="1" thickBot="1">
      <c r="A166" s="62" t="s">
        <v>121</v>
      </c>
      <c r="B166" s="75" t="str">
        <f>IF(B165&lt;10,"راسب(ة)","ناجح(ة)")</f>
        <v>راسب(ة)</v>
      </c>
      <c r="G166" s="129"/>
      <c r="I166" s="80"/>
      <c r="J166" s="134" t="s">
        <v>73</v>
      </c>
      <c r="K166" s="6"/>
      <c r="L166" s="6"/>
      <c r="M166" s="6"/>
      <c r="N166" s="6"/>
      <c r="O166" s="6"/>
      <c r="P166" s="133">
        <v>120</v>
      </c>
      <c r="Q166" s="5"/>
      <c r="R166" s="5"/>
    </row>
    <row r="167" spans="1:7" ht="16.5" customHeight="1">
      <c r="A167" s="62" t="s">
        <v>120</v>
      </c>
      <c r="B167" s="77">
        <f ca="1">TODAY()</f>
        <v>43188</v>
      </c>
      <c r="G167" s="129"/>
    </row>
    <row r="168" spans="1:14" ht="16.5" customHeight="1">
      <c r="A168" s="62" t="s">
        <v>74</v>
      </c>
      <c r="B168" s="8" t="s">
        <v>119</v>
      </c>
      <c r="L168" s="762" t="s">
        <v>29</v>
      </c>
      <c r="M168" s="762"/>
      <c r="N168" s="75"/>
    </row>
    <row r="169" spans="1:17" ht="20.25">
      <c r="A169" s="187" t="s">
        <v>45</v>
      </c>
      <c r="B169" s="188"/>
      <c r="C169" s="188"/>
      <c r="D169" s="188"/>
      <c r="E169" s="188"/>
      <c r="F169" s="188"/>
      <c r="G169" s="188"/>
      <c r="H169" s="189"/>
      <c r="I169" s="189"/>
      <c r="J169" s="189"/>
      <c r="K169" s="189"/>
      <c r="L169" s="189"/>
      <c r="M169" s="78" t="s">
        <v>46</v>
      </c>
      <c r="N169" s="189"/>
      <c r="O169" s="78"/>
      <c r="P169" s="189"/>
      <c r="Q169" s="189"/>
    </row>
    <row r="170" spans="6:10" ht="15" customHeight="1">
      <c r="F170" s="191" t="s">
        <v>47</v>
      </c>
      <c r="G170" s="10" t="s">
        <v>19</v>
      </c>
      <c r="H170" s="10"/>
      <c r="I170" s="10"/>
      <c r="J170" s="10"/>
    </row>
    <row r="171" spans="6:10" ht="15" customHeight="1">
      <c r="F171" s="191" t="s">
        <v>48</v>
      </c>
      <c r="G171" s="10" t="s">
        <v>49</v>
      </c>
      <c r="H171" s="10"/>
      <c r="I171" s="10"/>
      <c r="J171" s="10"/>
    </row>
    <row r="172" spans="6:10" ht="15" customHeight="1">
      <c r="F172" s="191" t="s">
        <v>50</v>
      </c>
      <c r="G172" s="10" t="s">
        <v>51</v>
      </c>
      <c r="H172" s="10"/>
      <c r="I172" s="10"/>
      <c r="J172" s="10"/>
    </row>
    <row r="173" spans="4:11" ht="21" customHeight="1">
      <c r="D173" s="782" t="s">
        <v>99</v>
      </c>
      <c r="E173" s="782"/>
      <c r="F173" s="782"/>
      <c r="G173" s="782"/>
      <c r="H173" s="782"/>
      <c r="I173" s="782"/>
      <c r="J173" s="782"/>
      <c r="K173" s="782"/>
    </row>
    <row r="174" spans="1:18" ht="18">
      <c r="A174" s="2" t="s">
        <v>148</v>
      </c>
      <c r="B174" s="196" t="str">
        <f>B6</f>
        <v>2017/2018</v>
      </c>
      <c r="C174" s="62"/>
      <c r="E174" s="61"/>
      <c r="F174" s="62"/>
      <c r="G174" s="157"/>
      <c r="H174" s="62"/>
      <c r="I174" s="61"/>
      <c r="J174" s="61"/>
      <c r="K174" s="61"/>
      <c r="L174" s="151"/>
      <c r="M174" s="151"/>
      <c r="N174" s="151"/>
      <c r="O174" s="151"/>
      <c r="P174" s="61"/>
      <c r="Q174" s="61"/>
      <c r="R174" s="61"/>
    </row>
    <row r="175" spans="1:18" ht="15.75" customHeight="1">
      <c r="A175" s="62" t="s">
        <v>147</v>
      </c>
      <c r="B175" s="190" t="str">
        <f>INDEX('دورة1 دورة2'!B10:BJ30,MATCH("h",'دورة1 دورة2'!B10:B30,0),3)</f>
        <v>خاوة </v>
      </c>
      <c r="C175" s="158" t="s">
        <v>146</v>
      </c>
      <c r="D175" s="186" t="str">
        <f>INDEX('دورة1 دورة2'!B10:BJ30,MATCH("h",'دورة1 دورة2'!B10:B30,0),4)</f>
        <v>أسماء</v>
      </c>
      <c r="E175" s="62"/>
      <c r="F175" s="158" t="s">
        <v>52</v>
      </c>
      <c r="G175" s="783">
        <f>INDEX('دورة1 دورة2'!B10:BJ30,MATCH("h",'دورة1 دورة2'!B10:B30,0),6)</f>
        <v>0</v>
      </c>
      <c r="H175" s="783"/>
      <c r="I175" s="783"/>
      <c r="J175" s="61"/>
      <c r="K175" s="132" t="s">
        <v>53</v>
      </c>
      <c r="L175" s="784">
        <f>INDEX('دورة1 دورة2'!B10:BJ30,MATCH("h",'دورة1 دورة2'!B10:B30,0),7)</f>
        <v>0</v>
      </c>
      <c r="M175" s="784"/>
      <c r="O175" s="186"/>
      <c r="P175" s="8" t="s">
        <v>54</v>
      </c>
      <c r="Q175" s="784">
        <f>INDEX('دورة1 دورة2'!B10:BJ30,MATCH("h",'دورة1 دورة2'!B10:B30,0),8)</f>
        <v>0</v>
      </c>
      <c r="R175" s="784"/>
    </row>
    <row r="176" spans="1:18" ht="15" customHeight="1">
      <c r="A176" s="2" t="s">
        <v>149</v>
      </c>
      <c r="B176" s="190">
        <f>INDEX('دورة1 دورة2'!B10:BJ30,MATCH("h",'دورة1 دورة2'!B10:B30,0),5)</f>
        <v>0</v>
      </c>
      <c r="C176" s="166"/>
      <c r="D176" s="9" t="s">
        <v>55</v>
      </c>
      <c r="E176" s="11" t="s">
        <v>56</v>
      </c>
      <c r="F176" s="11"/>
      <c r="G176" s="156"/>
      <c r="H176" s="11"/>
      <c r="I176" s="9"/>
      <c r="J176" s="9" t="s">
        <v>57</v>
      </c>
      <c r="K176" s="9"/>
      <c r="L176" s="11"/>
      <c r="N176" s="4" t="s">
        <v>98</v>
      </c>
      <c r="O176" s="2" t="s">
        <v>98</v>
      </c>
      <c r="P176" s="10" t="s">
        <v>97</v>
      </c>
      <c r="R176" s="61"/>
    </row>
    <row r="177" spans="1:16" ht="15.75" thickBot="1">
      <c r="A177" s="3" t="s">
        <v>58</v>
      </c>
      <c r="B177" s="139" t="s">
        <v>200</v>
      </c>
      <c r="C177" s="139"/>
      <c r="G177" s="129"/>
      <c r="J177" s="4"/>
      <c r="K177" s="4"/>
      <c r="M177" s="4"/>
      <c r="N177" s="4"/>
      <c r="O177" s="126"/>
      <c r="P177" s="126"/>
    </row>
    <row r="178" spans="1:18" ht="28.5" customHeight="1" thickBot="1" thickTop="1">
      <c r="A178" s="775" t="s">
        <v>25</v>
      </c>
      <c r="B178" s="777" t="s">
        <v>59</v>
      </c>
      <c r="C178" s="777"/>
      <c r="D178" s="778"/>
      <c r="E178" s="777"/>
      <c r="F178" s="777" t="s">
        <v>60</v>
      </c>
      <c r="G178" s="777"/>
      <c r="H178" s="777"/>
      <c r="I178" s="777" t="s">
        <v>61</v>
      </c>
      <c r="J178" s="777"/>
      <c r="K178" s="777"/>
      <c r="L178" s="777"/>
      <c r="M178" s="777"/>
      <c r="N178" s="777"/>
      <c r="O178" s="777"/>
      <c r="P178" s="777"/>
      <c r="Q178" s="777"/>
      <c r="R178" s="779"/>
    </row>
    <row r="179" spans="1:18" ht="15.75" thickBot="1">
      <c r="A179" s="776"/>
      <c r="B179" s="780" t="s">
        <v>63</v>
      </c>
      <c r="C179" s="771" t="s">
        <v>62</v>
      </c>
      <c r="D179" s="149" t="s">
        <v>64</v>
      </c>
      <c r="E179" s="781" t="s">
        <v>65</v>
      </c>
      <c r="F179" s="771" t="s">
        <v>66</v>
      </c>
      <c r="G179" s="138" t="s">
        <v>64</v>
      </c>
      <c r="H179" s="771" t="s">
        <v>65</v>
      </c>
      <c r="I179" s="771" t="s">
        <v>67</v>
      </c>
      <c r="J179" s="771"/>
      <c r="K179" s="771"/>
      <c r="L179" s="771" t="s">
        <v>68</v>
      </c>
      <c r="M179" s="771"/>
      <c r="N179" s="771"/>
      <c r="O179" s="771"/>
      <c r="P179" s="771" t="s">
        <v>25</v>
      </c>
      <c r="Q179" s="771"/>
      <c r="R179" s="772"/>
    </row>
    <row r="180" spans="1:21" ht="15.75" thickBot="1">
      <c r="A180" s="776"/>
      <c r="B180" s="780"/>
      <c r="C180" s="771"/>
      <c r="D180" s="150" t="s">
        <v>69</v>
      </c>
      <c r="E180" s="781"/>
      <c r="F180" s="771"/>
      <c r="G180" s="138" t="s">
        <v>69</v>
      </c>
      <c r="H180" s="771"/>
      <c r="I180" s="133" t="s">
        <v>70</v>
      </c>
      <c r="J180" s="133" t="s">
        <v>100</v>
      </c>
      <c r="K180" s="133" t="s">
        <v>96</v>
      </c>
      <c r="L180" s="133" t="s">
        <v>70</v>
      </c>
      <c r="M180" s="133" t="s">
        <v>100</v>
      </c>
      <c r="N180" s="133" t="s">
        <v>96</v>
      </c>
      <c r="O180" s="133" t="s">
        <v>93</v>
      </c>
      <c r="P180" s="133" t="s">
        <v>70</v>
      </c>
      <c r="Q180" s="133" t="s">
        <v>100</v>
      </c>
      <c r="R180" s="140" t="s">
        <v>96</v>
      </c>
      <c r="U180" s="134"/>
    </row>
    <row r="181" spans="1:21" ht="19.5" customHeight="1" thickBot="1">
      <c r="A181" s="773" t="s">
        <v>457</v>
      </c>
      <c r="B181" s="769" t="s">
        <v>126</v>
      </c>
      <c r="C181" s="769" t="s">
        <v>122</v>
      </c>
      <c r="D181" s="774">
        <v>18</v>
      </c>
      <c r="E181" s="769">
        <v>7</v>
      </c>
      <c r="F181" s="588" t="s">
        <v>205</v>
      </c>
      <c r="G181" s="137">
        <v>7</v>
      </c>
      <c r="H181" s="144">
        <v>3</v>
      </c>
      <c r="I181" s="145">
        <f>INDEX('دورة1 دورة2'!B10:BJ30,MATCH("h",'دورة1 دورة2'!B10:B30,0),9)</f>
        <v>38.25</v>
      </c>
      <c r="J181" s="146">
        <f>IF(I181&lt;30,0,7)</f>
        <v>7</v>
      </c>
      <c r="K181" s="199" t="str">
        <f>INDEX('دورة1 دورة2'!B10:BJ30,MATCH("h",'دورة1 دورة2'!B10:B30,0),11)</f>
        <v>د1</v>
      </c>
      <c r="L181" s="770">
        <f>(I181+I182+I183)/7</f>
        <v>10.892857142857142</v>
      </c>
      <c r="M181" s="763">
        <f>IF(L181&lt;10,J181+J182+J183,18)</f>
        <v>18</v>
      </c>
      <c r="N181" s="763" t="str">
        <f>INDEX('دورة1 دورة2'!B10:BJ30,MATCH("h",'دورة1 دورة2'!B10:B30,0),20)</f>
        <v>د1</v>
      </c>
      <c r="O181" s="763">
        <f>LOOKUP("r",'دورة1 دورة2'!B:B,'دورة1 دورة2'!AG:AG)</f>
        <v>2018</v>
      </c>
      <c r="P181" s="765">
        <f>(I181+I182+I183+I184+I185+I186+I187)/14</f>
        <v>10.803571428571429</v>
      </c>
      <c r="Q181" s="766">
        <f>IF(P181&lt;10,M181+M184+M186+M187,30)</f>
        <v>30</v>
      </c>
      <c r="R181" s="767" t="str">
        <f>INDEX('دورة1 دورة2'!B10:BJ30,MATCH("h",'دورة1 دورة2'!B10:B30,0),51)</f>
        <v>د1</v>
      </c>
      <c r="S181" s="764"/>
      <c r="U181" s="134"/>
    </row>
    <row r="182" spans="1:19" ht="19.5" customHeight="1" thickBot="1">
      <c r="A182" s="773"/>
      <c r="B182" s="769"/>
      <c r="C182" s="769"/>
      <c r="D182" s="769"/>
      <c r="E182" s="769"/>
      <c r="F182" s="589" t="s">
        <v>206</v>
      </c>
      <c r="G182" s="137">
        <v>6</v>
      </c>
      <c r="H182" s="144">
        <v>2</v>
      </c>
      <c r="I182" s="145">
        <f>INDEX('دورة1 دورة2'!B10:BJ30,MATCH("h",'دورة1 دورة2'!B10:B30,0),12)</f>
        <v>16.5</v>
      </c>
      <c r="J182" s="146">
        <f>IF(I182&lt;20,0,6)</f>
        <v>0</v>
      </c>
      <c r="K182" s="199" t="str">
        <f>INDEX('دورة1 دورة2'!B10:BJ30,MATCH("h",'دورة1 دورة2'!B10:B30,0),14)</f>
        <v>د1</v>
      </c>
      <c r="L182" s="770"/>
      <c r="M182" s="763"/>
      <c r="N182" s="763"/>
      <c r="O182" s="763"/>
      <c r="P182" s="765"/>
      <c r="Q182" s="766"/>
      <c r="R182" s="767"/>
      <c r="S182" s="764"/>
    </row>
    <row r="183" spans="1:19" ht="19.5" customHeight="1" thickBot="1">
      <c r="A183" s="773"/>
      <c r="B183" s="769"/>
      <c r="C183" s="769"/>
      <c r="D183" s="769"/>
      <c r="E183" s="769"/>
      <c r="F183" s="589" t="s">
        <v>207</v>
      </c>
      <c r="G183" s="137">
        <v>5</v>
      </c>
      <c r="H183" s="144">
        <v>2</v>
      </c>
      <c r="I183" s="145">
        <f>INDEX('دورة1 دورة2'!B10:BJ30,MATCH("h",'دورة1 دورة2'!B10:B30,0),15)</f>
        <v>21.5</v>
      </c>
      <c r="J183" s="146">
        <f>IF(I183&lt;20,0,5)</f>
        <v>5</v>
      </c>
      <c r="K183" s="199" t="str">
        <f>INDEX('دورة1 دورة2'!B10:BJ30,MATCH("h",'دورة1 دورة2'!B10:B30,0),17)</f>
        <v>د1</v>
      </c>
      <c r="L183" s="770"/>
      <c r="M183" s="763"/>
      <c r="N183" s="763"/>
      <c r="O183" s="763"/>
      <c r="P183" s="765"/>
      <c r="Q183" s="766"/>
      <c r="R183" s="767"/>
      <c r="S183" s="764"/>
    </row>
    <row r="184" spans="1:19" ht="19.5" customHeight="1" thickBot="1">
      <c r="A184" s="773"/>
      <c r="B184" s="769" t="s">
        <v>127</v>
      </c>
      <c r="C184" s="769" t="s">
        <v>123</v>
      </c>
      <c r="D184" s="769">
        <v>9</v>
      </c>
      <c r="E184" s="769">
        <v>4</v>
      </c>
      <c r="F184" s="590" t="s">
        <v>208</v>
      </c>
      <c r="G184" s="137">
        <v>5</v>
      </c>
      <c r="H184" s="144">
        <v>2</v>
      </c>
      <c r="I184" s="145">
        <f>INDEX('دورة1 دورة2'!B10:BJ30,MATCH("h",'دورة1 دورة2'!B10:B30,0),23)</f>
        <v>17</v>
      </c>
      <c r="J184" s="146">
        <f>IF(I184&lt;20,0,5)</f>
        <v>0</v>
      </c>
      <c r="K184" s="199" t="str">
        <f>INDEX('دورة1 دورة2'!B10:BJ30,MATCH("h",'دورة1 دورة2'!B10:B30,0),25)</f>
        <v>د1</v>
      </c>
      <c r="L184" s="770">
        <f>(I185+I184)/4</f>
        <v>10.25</v>
      </c>
      <c r="M184" s="763">
        <f>IF(L184&lt;10,J185+J184,9)</f>
        <v>9</v>
      </c>
      <c r="N184" s="763" t="str">
        <f>INDEX('دورة1 دورة2'!B10:BJ30,MATCH("h",'دورة1 دورة2'!B10:B30,0),31)</f>
        <v>د1</v>
      </c>
      <c r="O184" s="763">
        <f>LOOKUP("r",'دورة1 دورة2'!B:B,'دورة1 دورة2'!AN:AN)</f>
        <v>2018</v>
      </c>
      <c r="P184" s="765"/>
      <c r="Q184" s="766"/>
      <c r="R184" s="767"/>
      <c r="S184" s="764"/>
    </row>
    <row r="185" spans="1:19" ht="19.5" customHeight="1" thickBot="1">
      <c r="A185" s="773"/>
      <c r="B185" s="769"/>
      <c r="C185" s="769"/>
      <c r="D185" s="769"/>
      <c r="E185" s="769"/>
      <c r="F185" s="589" t="s">
        <v>209</v>
      </c>
      <c r="G185" s="137">
        <v>4</v>
      </c>
      <c r="H185" s="144">
        <v>2</v>
      </c>
      <c r="I185" s="145">
        <f>INDEX('دورة1 دورة2'!B10:BJ30,MATCH("h",'دورة1 دورة2'!B10:B30,0),26)</f>
        <v>24</v>
      </c>
      <c r="J185" s="146">
        <f>IF(I185&lt;20,0,4)</f>
        <v>4</v>
      </c>
      <c r="K185" s="199" t="str">
        <f>INDEX('دورة1 دورة2'!B10:BJ30,MATCH("h",'دورة1 دورة2'!B10:B30,0),28)</f>
        <v>د1</v>
      </c>
      <c r="L185" s="770"/>
      <c r="M185" s="763"/>
      <c r="N185" s="763"/>
      <c r="O185" s="763"/>
      <c r="P185" s="765"/>
      <c r="Q185" s="766"/>
      <c r="R185" s="767"/>
      <c r="S185" s="764"/>
    </row>
    <row r="186" spans="1:19" ht="19.5" customHeight="1" thickBot="1">
      <c r="A186" s="773"/>
      <c r="B186" s="137" t="s">
        <v>128</v>
      </c>
      <c r="C186" s="137" t="s">
        <v>124</v>
      </c>
      <c r="D186" s="137">
        <v>2</v>
      </c>
      <c r="E186" s="137">
        <v>2</v>
      </c>
      <c r="F186" s="589" t="s">
        <v>211</v>
      </c>
      <c r="G186" s="137">
        <v>2</v>
      </c>
      <c r="H186" s="144">
        <v>2</v>
      </c>
      <c r="I186" s="145">
        <f>INDEX('دورة1 دورة2'!B10:BJ30,MATCH("h",'دورة1 دورة2'!B10:B30,0),34)</f>
        <v>28</v>
      </c>
      <c r="J186" s="146">
        <f>IF(I186&lt;20,0,2)</f>
        <v>2</v>
      </c>
      <c r="K186" s="199" t="str">
        <f>INDEX('دورة1 دورة2'!B10:BJ30,MATCH("h",'دورة1 دورة2'!B10:B30,0),36)</f>
        <v>د1</v>
      </c>
      <c r="L186" s="147">
        <f>I186/2</f>
        <v>14</v>
      </c>
      <c r="M186" s="148">
        <f>J186</f>
        <v>2</v>
      </c>
      <c r="N186" s="199" t="str">
        <f>INDEX('دورة1 دورة2'!B10:BJ30,MATCH("h",'دورة1 دورة2'!B10:B30,0),36)</f>
        <v>د1</v>
      </c>
      <c r="O186" s="146">
        <f>LOOKUP("r",'دورة1 دورة2'!B:B,'دورة1 دورة2'!AU:AU)</f>
        <v>2018</v>
      </c>
      <c r="P186" s="765"/>
      <c r="Q186" s="766"/>
      <c r="R186" s="767"/>
      <c r="S186" s="131"/>
    </row>
    <row r="187" spans="1:19" ht="19.5" customHeight="1" thickBot="1">
      <c r="A187" s="773"/>
      <c r="B187" s="137" t="s">
        <v>129</v>
      </c>
      <c r="C187" s="137" t="s">
        <v>125</v>
      </c>
      <c r="D187" s="137">
        <v>1</v>
      </c>
      <c r="E187" s="137">
        <v>1</v>
      </c>
      <c r="F187" s="591" t="s">
        <v>191</v>
      </c>
      <c r="G187" s="137">
        <v>1</v>
      </c>
      <c r="H187" s="144">
        <v>1</v>
      </c>
      <c r="I187" s="145">
        <f>INDEX('دورة1 دورة2'!B10:BJ30,MATCH("h",'دورة1 دورة2'!B10:B30,0),41)</f>
        <v>6</v>
      </c>
      <c r="J187" s="146">
        <f>IF(I187&lt;10,0,1)</f>
        <v>0</v>
      </c>
      <c r="K187" s="199" t="str">
        <f>INDEX('دورة1 دورة2'!B10:BJ30,MATCH("h",'دورة1 دورة2'!B10:B30,0),43)</f>
        <v>د1</v>
      </c>
      <c r="L187" s="147">
        <f>I187</f>
        <v>6</v>
      </c>
      <c r="M187" s="148">
        <f>J187</f>
        <v>0</v>
      </c>
      <c r="N187" s="199" t="str">
        <f>INDEX('دورة1 دورة2'!B10:BJ30,MATCH("h",'دورة1 دورة2'!B10:B30,0),43)</f>
        <v>د1</v>
      </c>
      <c r="O187" s="146">
        <f>LOOKUP("r",'دورة1 دورة2'!B:B,'دورة1 دورة2'!AU:AU)</f>
        <v>2018</v>
      </c>
      <c r="P187" s="765"/>
      <c r="Q187" s="766"/>
      <c r="R187" s="768"/>
      <c r="S187" s="131"/>
    </row>
    <row r="188" spans="1:19" ht="88.5" customHeight="1" thickBot="1">
      <c r="A188" s="342" t="s">
        <v>458</v>
      </c>
      <c r="B188" s="137" t="s">
        <v>126</v>
      </c>
      <c r="C188" s="137" t="s">
        <v>122</v>
      </c>
      <c r="D188" s="137">
        <v>18</v>
      </c>
      <c r="E188" s="137">
        <v>7</v>
      </c>
      <c r="F188" s="592" t="s">
        <v>213</v>
      </c>
      <c r="G188" s="137">
        <v>7</v>
      </c>
      <c r="H188" s="144">
        <v>2</v>
      </c>
      <c r="I188" s="145">
        <f>INDEX('دورة1 دورة2'!B10:BJ30,MATCH("h",'دورة1 دورة2'!B10:B30,0),54)</f>
        <v>0</v>
      </c>
      <c r="J188" s="146">
        <f>IF(I188&lt;300,0,30)</f>
        <v>0</v>
      </c>
      <c r="K188" s="199" t="str">
        <f>INDEX('دورة1 دورة2'!B10:BJ30,MATCH("h",'دورة1 دورة2'!B10:B30,0),56)</f>
        <v>د1</v>
      </c>
      <c r="L188" s="147">
        <f>(I188)/30</f>
        <v>0</v>
      </c>
      <c r="M188" s="148">
        <f>IF(L188&lt;10,J188,30)</f>
        <v>0</v>
      </c>
      <c r="N188" s="148" t="str">
        <f>INDEX('دورة1 دورة2'!B10:BJ30,MATCH("h",'دورة1 دورة2'!B10:B30,0),56)</f>
        <v>د1</v>
      </c>
      <c r="O188" s="148" t="e">
        <f>LOOKUP("r",'دورة1 دورة2'!B:B,'دورة1 دورة2'!#REF!)</f>
        <v>#REF!</v>
      </c>
      <c r="P188" s="341">
        <f>(I188)/30</f>
        <v>0</v>
      </c>
      <c r="Q188" s="146">
        <f>IF(P188&lt;10,M188,30)</f>
        <v>0</v>
      </c>
      <c r="R188" s="343" t="str">
        <f>INDEX('دورة1 دورة2'!B10:BJ30,MATCH("h",'دورة1 دورة2'!B10:B30,0),60)</f>
        <v>د1</v>
      </c>
      <c r="S188" s="131"/>
    </row>
    <row r="189" spans="1:18" ht="17.25" customHeight="1" thickBot="1">
      <c r="A189" s="62" t="s">
        <v>150</v>
      </c>
      <c r="B189" s="135">
        <f>(P181+P188)/2</f>
        <v>5.401785714285714</v>
      </c>
      <c r="C189" s="759" t="s">
        <v>461</v>
      </c>
      <c r="D189" s="760"/>
      <c r="E189" s="760"/>
      <c r="F189" s="761"/>
      <c r="G189" s="136">
        <f>Q181+Q188</f>
        <v>30</v>
      </c>
      <c r="H189" s="6"/>
      <c r="I189" s="6"/>
      <c r="J189" s="134" t="s">
        <v>72</v>
      </c>
      <c r="K189" s="6"/>
      <c r="L189" s="6"/>
      <c r="M189" s="6"/>
      <c r="N189" s="6"/>
      <c r="O189" s="6"/>
      <c r="P189" s="583">
        <v>120</v>
      </c>
      <c r="Q189" s="130"/>
      <c r="R189" s="130"/>
    </row>
    <row r="190" spans="1:18" ht="16.5" customHeight="1" thickBot="1">
      <c r="A190" s="62" t="s">
        <v>121</v>
      </c>
      <c r="B190" s="75" t="str">
        <f>IF(B189&lt;10,"راسب(ة)","ناجح(ة)")</f>
        <v>راسب(ة)</v>
      </c>
      <c r="G190" s="129"/>
      <c r="I190" s="80"/>
      <c r="J190" s="134" t="s">
        <v>73</v>
      </c>
      <c r="K190" s="6"/>
      <c r="L190" s="6"/>
      <c r="M190" s="6"/>
      <c r="N190" s="6"/>
      <c r="O190" s="6"/>
      <c r="P190" s="133">
        <v>120</v>
      </c>
      <c r="Q190" s="5"/>
      <c r="R190" s="5"/>
    </row>
    <row r="191" spans="1:7" ht="16.5" customHeight="1">
      <c r="A191" s="62" t="s">
        <v>120</v>
      </c>
      <c r="B191" s="77">
        <f ca="1">TODAY()</f>
        <v>43188</v>
      </c>
      <c r="G191" s="129"/>
    </row>
    <row r="192" spans="1:14" ht="16.5" customHeight="1">
      <c r="A192" s="62" t="s">
        <v>74</v>
      </c>
      <c r="B192" s="8" t="s">
        <v>119</v>
      </c>
      <c r="L192" s="762" t="s">
        <v>29</v>
      </c>
      <c r="M192" s="762"/>
      <c r="N192" s="75"/>
    </row>
    <row r="193" spans="1:17" ht="20.25">
      <c r="A193" s="187" t="s">
        <v>45</v>
      </c>
      <c r="B193" s="188"/>
      <c r="C193" s="188"/>
      <c r="D193" s="188"/>
      <c r="E193" s="188"/>
      <c r="F193" s="188"/>
      <c r="G193" s="188"/>
      <c r="H193" s="189"/>
      <c r="I193" s="189"/>
      <c r="J193" s="189"/>
      <c r="K193" s="189"/>
      <c r="L193" s="189"/>
      <c r="M193" s="78" t="s">
        <v>46</v>
      </c>
      <c r="N193" s="189"/>
      <c r="O193" s="78"/>
      <c r="P193" s="189"/>
      <c r="Q193" s="189"/>
    </row>
    <row r="194" spans="6:10" ht="15" customHeight="1">
      <c r="F194" s="191" t="s">
        <v>47</v>
      </c>
      <c r="G194" s="10" t="s">
        <v>19</v>
      </c>
      <c r="H194" s="10"/>
      <c r="I194" s="10"/>
      <c r="J194" s="10"/>
    </row>
    <row r="195" spans="6:10" ht="15" customHeight="1">
      <c r="F195" s="191" t="s">
        <v>48</v>
      </c>
      <c r="G195" s="10" t="s">
        <v>49</v>
      </c>
      <c r="H195" s="10"/>
      <c r="I195" s="10"/>
      <c r="J195" s="10"/>
    </row>
    <row r="196" spans="6:10" ht="15" customHeight="1">
      <c r="F196" s="191" t="s">
        <v>50</v>
      </c>
      <c r="G196" s="10" t="s">
        <v>51</v>
      </c>
      <c r="H196" s="10"/>
      <c r="I196" s="10"/>
      <c r="J196" s="10"/>
    </row>
    <row r="197" spans="4:11" ht="21" customHeight="1">
      <c r="D197" s="782" t="s">
        <v>99</v>
      </c>
      <c r="E197" s="782"/>
      <c r="F197" s="782"/>
      <c r="G197" s="782"/>
      <c r="H197" s="782"/>
      <c r="I197" s="782"/>
      <c r="J197" s="782"/>
      <c r="K197" s="782"/>
    </row>
    <row r="198" spans="1:18" ht="18">
      <c r="A198" s="2" t="s">
        <v>148</v>
      </c>
      <c r="B198" s="196" t="str">
        <f>B6</f>
        <v>2017/2018</v>
      </c>
      <c r="C198" s="62"/>
      <c r="E198" s="61"/>
      <c r="F198" s="62"/>
      <c r="G198" s="157"/>
      <c r="H198" s="62"/>
      <c r="I198" s="61"/>
      <c r="J198" s="61"/>
      <c r="K198" s="61"/>
      <c r="L198" s="151"/>
      <c r="M198" s="151"/>
      <c r="N198" s="151"/>
      <c r="O198" s="151"/>
      <c r="P198" s="61"/>
      <c r="Q198" s="61"/>
      <c r="R198" s="61"/>
    </row>
    <row r="199" spans="1:18" ht="15.75" customHeight="1">
      <c r="A199" s="62" t="s">
        <v>147</v>
      </c>
      <c r="B199" s="190" t="str">
        <f>INDEX('دورة1 دورة2'!B10:BJ30,MATCH("i",'دورة1 دورة2'!B10:B30,0),3)</f>
        <v>زغلاني </v>
      </c>
      <c r="C199" s="158" t="s">
        <v>146</v>
      </c>
      <c r="D199" s="186" t="str">
        <f>INDEX('دورة1 دورة2'!B10:BJ30,MATCH("i",'دورة1 دورة2'!B10:B30,0),4)</f>
        <v>ساعد</v>
      </c>
      <c r="E199" s="62"/>
      <c r="F199" s="158" t="s">
        <v>52</v>
      </c>
      <c r="G199" s="783">
        <f>INDEX('دورة1 دورة2'!B10:BJ30,MATCH("i",'دورة1 دورة2'!B10:B30,0),6)</f>
        <v>0</v>
      </c>
      <c r="H199" s="783"/>
      <c r="I199" s="783"/>
      <c r="J199" s="61"/>
      <c r="K199" s="132" t="s">
        <v>53</v>
      </c>
      <c r="L199" s="784">
        <f>INDEX('دورة1 دورة2'!B10:BJ30,MATCH("i",'دورة1 دورة2'!B10:B30,0),7)</f>
        <v>0</v>
      </c>
      <c r="M199" s="784"/>
      <c r="O199" s="186"/>
      <c r="P199" s="8" t="s">
        <v>54</v>
      </c>
      <c r="Q199" s="784">
        <f>INDEX('دورة1 دورة2'!B10:BJ30,MATCH("i",'دورة1 دورة2'!B10:B30,0),8)</f>
        <v>0</v>
      </c>
      <c r="R199" s="784"/>
    </row>
    <row r="200" spans="1:18" ht="15" customHeight="1">
      <c r="A200" s="2" t="s">
        <v>149</v>
      </c>
      <c r="B200" s="190">
        <f>INDEX('دورة1 دورة2'!B10:BJ30,MATCH("i",'دورة1 دورة2'!B10:B30,0),5)</f>
        <v>0</v>
      </c>
      <c r="C200" s="166"/>
      <c r="D200" s="9" t="s">
        <v>55</v>
      </c>
      <c r="E200" s="11" t="s">
        <v>56</v>
      </c>
      <c r="F200" s="11"/>
      <c r="G200" s="156"/>
      <c r="H200" s="11"/>
      <c r="I200" s="9"/>
      <c r="J200" s="9" t="s">
        <v>57</v>
      </c>
      <c r="K200" s="9"/>
      <c r="L200" s="11"/>
      <c r="N200" s="4" t="s">
        <v>98</v>
      </c>
      <c r="O200" s="2" t="s">
        <v>98</v>
      </c>
      <c r="P200" s="10" t="s">
        <v>97</v>
      </c>
      <c r="R200" s="61"/>
    </row>
    <row r="201" spans="1:16" ht="15.75" thickBot="1">
      <c r="A201" s="3" t="s">
        <v>58</v>
      </c>
      <c r="B201" s="139" t="s">
        <v>200</v>
      </c>
      <c r="C201" s="139"/>
      <c r="G201" s="129"/>
      <c r="J201" s="4"/>
      <c r="K201" s="4"/>
      <c r="M201" s="4"/>
      <c r="N201" s="4"/>
      <c r="O201" s="126"/>
      <c r="P201" s="126"/>
    </row>
    <row r="202" spans="1:18" ht="28.5" customHeight="1" thickBot="1" thickTop="1">
      <c r="A202" s="775" t="s">
        <v>25</v>
      </c>
      <c r="B202" s="777" t="s">
        <v>59</v>
      </c>
      <c r="C202" s="777"/>
      <c r="D202" s="778"/>
      <c r="E202" s="777"/>
      <c r="F202" s="777" t="s">
        <v>60</v>
      </c>
      <c r="G202" s="777"/>
      <c r="H202" s="777"/>
      <c r="I202" s="777" t="s">
        <v>61</v>
      </c>
      <c r="J202" s="777"/>
      <c r="K202" s="777"/>
      <c r="L202" s="777"/>
      <c r="M202" s="777"/>
      <c r="N202" s="777"/>
      <c r="O202" s="777"/>
      <c r="P202" s="777"/>
      <c r="Q202" s="777"/>
      <c r="R202" s="779"/>
    </row>
    <row r="203" spans="1:18" ht="15.75" thickBot="1">
      <c r="A203" s="776"/>
      <c r="B203" s="780" t="s">
        <v>63</v>
      </c>
      <c r="C203" s="771" t="s">
        <v>62</v>
      </c>
      <c r="D203" s="149" t="s">
        <v>64</v>
      </c>
      <c r="E203" s="781" t="s">
        <v>65</v>
      </c>
      <c r="F203" s="771" t="s">
        <v>66</v>
      </c>
      <c r="G203" s="138" t="s">
        <v>64</v>
      </c>
      <c r="H203" s="771" t="s">
        <v>65</v>
      </c>
      <c r="I203" s="771" t="s">
        <v>67</v>
      </c>
      <c r="J203" s="771"/>
      <c r="K203" s="771"/>
      <c r="L203" s="771" t="s">
        <v>68</v>
      </c>
      <c r="M203" s="771"/>
      <c r="N203" s="771"/>
      <c r="O203" s="771"/>
      <c r="P203" s="771" t="s">
        <v>25</v>
      </c>
      <c r="Q203" s="771"/>
      <c r="R203" s="772"/>
    </row>
    <row r="204" spans="1:21" ht="15.75" thickBot="1">
      <c r="A204" s="776"/>
      <c r="B204" s="780"/>
      <c r="C204" s="771"/>
      <c r="D204" s="150" t="s">
        <v>69</v>
      </c>
      <c r="E204" s="781"/>
      <c r="F204" s="771"/>
      <c r="G204" s="138" t="s">
        <v>69</v>
      </c>
      <c r="H204" s="771"/>
      <c r="I204" s="133" t="s">
        <v>70</v>
      </c>
      <c r="J204" s="133" t="s">
        <v>100</v>
      </c>
      <c r="K204" s="133" t="s">
        <v>96</v>
      </c>
      <c r="L204" s="133" t="s">
        <v>70</v>
      </c>
      <c r="M204" s="133" t="s">
        <v>100</v>
      </c>
      <c r="N204" s="133" t="s">
        <v>96</v>
      </c>
      <c r="O204" s="133" t="s">
        <v>93</v>
      </c>
      <c r="P204" s="133" t="s">
        <v>70</v>
      </c>
      <c r="Q204" s="133" t="s">
        <v>100</v>
      </c>
      <c r="R204" s="140" t="s">
        <v>96</v>
      </c>
      <c r="U204" s="134"/>
    </row>
    <row r="205" spans="1:21" ht="18" customHeight="1" thickBot="1">
      <c r="A205" s="773" t="s">
        <v>457</v>
      </c>
      <c r="B205" s="769" t="s">
        <v>126</v>
      </c>
      <c r="C205" s="769" t="s">
        <v>122</v>
      </c>
      <c r="D205" s="774">
        <v>18</v>
      </c>
      <c r="E205" s="769">
        <v>7</v>
      </c>
      <c r="F205" s="588" t="s">
        <v>205</v>
      </c>
      <c r="G205" s="137">
        <v>7</v>
      </c>
      <c r="H205" s="144">
        <v>3</v>
      </c>
      <c r="I205" s="145">
        <f>INDEX('دورة1 دورة2'!B10:BJ30,MATCH("i",'دورة1 دورة2'!B10:B30,0),9)</f>
        <v>34.5</v>
      </c>
      <c r="J205" s="146">
        <f>IF(I205&lt;30,0,7)</f>
        <v>7</v>
      </c>
      <c r="K205" s="199" t="str">
        <f>INDEX('دورة1 دورة2'!B10:BJ30,MATCH("i",'دورة1 دورة2'!B10:B30,0),11)</f>
        <v>د1</v>
      </c>
      <c r="L205" s="770">
        <f>(I205+I206+I207)/7</f>
        <v>9.5</v>
      </c>
      <c r="M205" s="763">
        <f>IF(L205&lt;10,J205+J206+J207,18)</f>
        <v>12</v>
      </c>
      <c r="N205" s="763" t="str">
        <f>INDEX('دورة1 دورة2'!B10:BJ30,MATCH("i",'دورة1 دورة2'!B10:B30,0),20)</f>
        <v>د1</v>
      </c>
      <c r="O205" s="763">
        <f>LOOKUP("r",'دورة1 دورة2'!B:B,'دورة1 دورة2'!AG:AG)</f>
        <v>2018</v>
      </c>
      <c r="P205" s="765">
        <f>(I205+I206+I207+I208+I209+I210+I211)/14</f>
        <v>9.857142857142858</v>
      </c>
      <c r="Q205" s="766">
        <f>IF(P205&lt;10,M205+M208+M210+M211,30)</f>
        <v>18</v>
      </c>
      <c r="R205" s="767" t="str">
        <f>INDEX('دورة1 دورة2'!B10:BJ30,MATCH("i",'دورة1 دورة2'!B10:B30,0),51)</f>
        <v>د1</v>
      </c>
      <c r="S205" s="764"/>
      <c r="U205" s="134"/>
    </row>
    <row r="206" spans="1:19" ht="18" customHeight="1" thickBot="1">
      <c r="A206" s="773"/>
      <c r="B206" s="769"/>
      <c r="C206" s="769"/>
      <c r="D206" s="769"/>
      <c r="E206" s="769"/>
      <c r="F206" s="589" t="s">
        <v>206</v>
      </c>
      <c r="G206" s="137">
        <v>6</v>
      </c>
      <c r="H206" s="144">
        <v>2</v>
      </c>
      <c r="I206" s="145">
        <f>INDEX('دورة1 دورة2'!B10:BJ30,MATCH("i",'دورة1 دورة2'!B10:B30,0),12)</f>
        <v>12</v>
      </c>
      <c r="J206" s="146">
        <f>IF(I206&lt;20,0,6)</f>
        <v>0</v>
      </c>
      <c r="K206" s="199" t="str">
        <f>INDEX('دورة1 دورة2'!B10:BJ30,MATCH("i",'دورة1 دورة2'!B10:B30,0),14)</f>
        <v>د1</v>
      </c>
      <c r="L206" s="770"/>
      <c r="M206" s="763"/>
      <c r="N206" s="763"/>
      <c r="O206" s="763"/>
      <c r="P206" s="765"/>
      <c r="Q206" s="766"/>
      <c r="R206" s="767"/>
      <c r="S206" s="764"/>
    </row>
    <row r="207" spans="1:19" ht="18" customHeight="1" thickBot="1">
      <c r="A207" s="773"/>
      <c r="B207" s="769"/>
      <c r="C207" s="769"/>
      <c r="D207" s="769"/>
      <c r="E207" s="769"/>
      <c r="F207" s="589" t="s">
        <v>207</v>
      </c>
      <c r="G207" s="137">
        <v>5</v>
      </c>
      <c r="H207" s="144">
        <v>2</v>
      </c>
      <c r="I207" s="145">
        <f>INDEX('دورة1 دورة2'!B10:BJ30,MATCH("i",'دورة1 دورة2'!B10:B30,0),15)</f>
        <v>20</v>
      </c>
      <c r="J207" s="146">
        <f>IF(I207&lt;20,0,5)</f>
        <v>5</v>
      </c>
      <c r="K207" s="199" t="str">
        <f>INDEX('دورة1 دورة2'!B10:BJ30,MATCH("i",'دورة1 دورة2'!B10:B30,0),17)</f>
        <v>د1</v>
      </c>
      <c r="L207" s="770"/>
      <c r="M207" s="763"/>
      <c r="N207" s="763"/>
      <c r="O207" s="763"/>
      <c r="P207" s="765"/>
      <c r="Q207" s="766"/>
      <c r="R207" s="767"/>
      <c r="S207" s="764"/>
    </row>
    <row r="208" spans="1:19" ht="18" customHeight="1" thickBot="1">
      <c r="A208" s="773"/>
      <c r="B208" s="769" t="s">
        <v>127</v>
      </c>
      <c r="C208" s="769" t="s">
        <v>123</v>
      </c>
      <c r="D208" s="769">
        <v>9</v>
      </c>
      <c r="E208" s="769">
        <v>4</v>
      </c>
      <c r="F208" s="590" t="s">
        <v>208</v>
      </c>
      <c r="G208" s="137">
        <v>5</v>
      </c>
      <c r="H208" s="144">
        <v>2</v>
      </c>
      <c r="I208" s="145">
        <f>INDEX('دورة1 دورة2'!B10:BJ30,MATCH("i",'دورة1 دورة2'!B10:B30,0),23)</f>
        <v>14</v>
      </c>
      <c r="J208" s="146">
        <f>IF(I208&lt;20,0,5)</f>
        <v>0</v>
      </c>
      <c r="K208" s="199" t="str">
        <f>INDEX('دورة1 دورة2'!B10:BJ30,MATCH("i",'دورة1 دورة2'!B10:B30,0),25)</f>
        <v>د1</v>
      </c>
      <c r="L208" s="770">
        <f>(I209+I208)/4</f>
        <v>9.5</v>
      </c>
      <c r="M208" s="763">
        <f>IF(L208&lt;10,J209+J208,9)</f>
        <v>4</v>
      </c>
      <c r="N208" s="763" t="str">
        <f>INDEX('دورة1 دورة2'!B10:BJ30,MATCH("i",'دورة1 دورة2'!B10:B30,0),31)</f>
        <v>د1</v>
      </c>
      <c r="O208" s="763">
        <f>LOOKUP("r",'دورة1 دورة2'!B:B,'دورة1 دورة2'!AN:AN)</f>
        <v>2018</v>
      </c>
      <c r="P208" s="765"/>
      <c r="Q208" s="766"/>
      <c r="R208" s="767"/>
      <c r="S208" s="764"/>
    </row>
    <row r="209" spans="1:19" ht="18" customHeight="1" thickBot="1">
      <c r="A209" s="773"/>
      <c r="B209" s="769"/>
      <c r="C209" s="769"/>
      <c r="D209" s="769"/>
      <c r="E209" s="769"/>
      <c r="F209" s="589" t="s">
        <v>209</v>
      </c>
      <c r="G209" s="137">
        <v>4</v>
      </c>
      <c r="H209" s="144">
        <v>2</v>
      </c>
      <c r="I209" s="145">
        <f>INDEX('دورة1 دورة2'!B10:BJ30,MATCH("i",'دورة1 دورة2'!B10:B30,0),26)</f>
        <v>24</v>
      </c>
      <c r="J209" s="146">
        <f>IF(I209&lt;20,0,4)</f>
        <v>4</v>
      </c>
      <c r="K209" s="199" t="str">
        <f>INDEX('دورة1 دورة2'!B10:BJ30,MATCH("i",'دورة1 دورة2'!B10:B30,0),28)</f>
        <v>د1</v>
      </c>
      <c r="L209" s="770"/>
      <c r="M209" s="763"/>
      <c r="N209" s="763"/>
      <c r="O209" s="763"/>
      <c r="P209" s="765"/>
      <c r="Q209" s="766"/>
      <c r="R209" s="767"/>
      <c r="S209" s="764"/>
    </row>
    <row r="210" spans="1:19" ht="18" customHeight="1" thickBot="1">
      <c r="A210" s="773"/>
      <c r="B210" s="137" t="s">
        <v>128</v>
      </c>
      <c r="C210" s="137" t="s">
        <v>124</v>
      </c>
      <c r="D210" s="137">
        <v>2</v>
      </c>
      <c r="E210" s="137">
        <v>2</v>
      </c>
      <c r="F210" s="589" t="s">
        <v>211</v>
      </c>
      <c r="G210" s="137">
        <v>2</v>
      </c>
      <c r="H210" s="144">
        <v>2</v>
      </c>
      <c r="I210" s="145">
        <f>INDEX('دورة1 دورة2'!B10:BJ30,MATCH("i",'دورة1 دورة2'!B10:B30,0),34)</f>
        <v>28.5</v>
      </c>
      <c r="J210" s="146">
        <f>IF(I210&lt;20,0,2)</f>
        <v>2</v>
      </c>
      <c r="K210" s="199" t="str">
        <f>INDEX('دورة1 دورة2'!B10:BJ30,MATCH("i",'دورة1 دورة2'!B10:B30,0),36)</f>
        <v>د1</v>
      </c>
      <c r="L210" s="147">
        <f>I210/2</f>
        <v>14.25</v>
      </c>
      <c r="M210" s="148">
        <f>J210</f>
        <v>2</v>
      </c>
      <c r="N210" s="199" t="str">
        <f>INDEX('دورة1 دورة2'!B10:BJ30,MATCH("i",'دورة1 دورة2'!B10:B30,0),36)</f>
        <v>د1</v>
      </c>
      <c r="O210" s="146">
        <f>LOOKUP("r",'دورة1 دورة2'!B:B,'دورة1 دورة2'!AU:AU)</f>
        <v>2018</v>
      </c>
      <c r="P210" s="765"/>
      <c r="Q210" s="766"/>
      <c r="R210" s="767"/>
      <c r="S210" s="131"/>
    </row>
    <row r="211" spans="1:19" ht="18" customHeight="1" thickBot="1">
      <c r="A211" s="773"/>
      <c r="B211" s="137" t="s">
        <v>129</v>
      </c>
      <c r="C211" s="137" t="s">
        <v>125</v>
      </c>
      <c r="D211" s="137">
        <v>1</v>
      </c>
      <c r="E211" s="137">
        <v>1</v>
      </c>
      <c r="F211" s="591" t="s">
        <v>191</v>
      </c>
      <c r="G211" s="137">
        <v>1</v>
      </c>
      <c r="H211" s="144">
        <v>1</v>
      </c>
      <c r="I211" s="145">
        <f>INDEX('دورة1 دورة2'!B10:BJ30,MATCH("i",'دورة1 دورة2'!B10:B30,0),41)</f>
        <v>5</v>
      </c>
      <c r="J211" s="146">
        <f>IF(I211&lt;10,0,1)</f>
        <v>0</v>
      </c>
      <c r="K211" s="199" t="str">
        <f>INDEX('دورة1 دورة2'!B10:BJ30,MATCH("i",'دورة1 دورة2'!B10:B30,0),43)</f>
        <v>د1</v>
      </c>
      <c r="L211" s="147">
        <f>I211</f>
        <v>5</v>
      </c>
      <c r="M211" s="148">
        <f>J211</f>
        <v>0</v>
      </c>
      <c r="N211" s="199" t="str">
        <f>INDEX('دورة1 دورة2'!B10:BJ30,MATCH("i",'دورة1 دورة2'!B10:B30,0),43)</f>
        <v>د1</v>
      </c>
      <c r="O211" s="146">
        <f>LOOKUP("r",'دورة1 دورة2'!B:B,'دورة1 دورة2'!AU:AU)</f>
        <v>2018</v>
      </c>
      <c r="P211" s="765"/>
      <c r="Q211" s="766"/>
      <c r="R211" s="768"/>
      <c r="S211" s="131"/>
    </row>
    <row r="212" spans="1:19" ht="88.5" customHeight="1" thickBot="1">
      <c r="A212" s="342" t="s">
        <v>458</v>
      </c>
      <c r="B212" s="137" t="s">
        <v>126</v>
      </c>
      <c r="C212" s="137" t="s">
        <v>122</v>
      </c>
      <c r="D212" s="137">
        <v>18</v>
      </c>
      <c r="E212" s="137">
        <v>7</v>
      </c>
      <c r="F212" s="592" t="s">
        <v>213</v>
      </c>
      <c r="G212" s="137">
        <v>7</v>
      </c>
      <c r="H212" s="144">
        <v>2</v>
      </c>
      <c r="I212" s="145">
        <f>INDEX('دورة1 دورة2'!B10:BJ30,MATCH("i",'دورة1 دورة2'!B10:B30,0),54)</f>
        <v>0</v>
      </c>
      <c r="J212" s="146">
        <f>IF(I212&lt;300,0,30)</f>
        <v>0</v>
      </c>
      <c r="K212" s="199" t="str">
        <f>INDEX('دورة1 دورة2'!B10:BJ30,MATCH("i",'دورة1 دورة2'!B10:B30,0),56)</f>
        <v>د1</v>
      </c>
      <c r="L212" s="147">
        <f>(I212)/30</f>
        <v>0</v>
      </c>
      <c r="M212" s="148">
        <f>IF(L212&lt;10,J212,30)</f>
        <v>0</v>
      </c>
      <c r="N212" s="148" t="str">
        <f>INDEX('دورة1 دورة2'!B10:BJ30,MATCH("i",'دورة1 دورة2'!B10:B30,0),56)</f>
        <v>د1</v>
      </c>
      <c r="O212" s="148" t="e">
        <f>LOOKUP("r",'دورة1 دورة2'!B:B,'دورة1 دورة2'!#REF!)</f>
        <v>#REF!</v>
      </c>
      <c r="P212" s="341">
        <f>(I212)/30</f>
        <v>0</v>
      </c>
      <c r="Q212" s="146">
        <f>IF(P212&lt;10,M212,30)</f>
        <v>0</v>
      </c>
      <c r="R212" s="343" t="str">
        <f>INDEX('دورة1 دورة2'!B10:BJ30,MATCH("i",'دورة1 دورة2'!B10:B30,0),60)</f>
        <v>د1</v>
      </c>
      <c r="S212" s="131"/>
    </row>
    <row r="213" spans="1:18" ht="17.25" customHeight="1" thickBot="1">
      <c r="A213" s="62" t="s">
        <v>150</v>
      </c>
      <c r="B213" s="135">
        <f>(P205+P212)/2</f>
        <v>4.928571428571429</v>
      </c>
      <c r="C213" s="759" t="s">
        <v>461</v>
      </c>
      <c r="D213" s="760"/>
      <c r="E213" s="760"/>
      <c r="F213" s="761"/>
      <c r="G213" s="136">
        <f>Q205+Q212</f>
        <v>18</v>
      </c>
      <c r="H213" s="6"/>
      <c r="I213" s="6"/>
      <c r="J213" s="134" t="s">
        <v>72</v>
      </c>
      <c r="K213" s="6"/>
      <c r="L213" s="6"/>
      <c r="M213" s="6"/>
      <c r="N213" s="6"/>
      <c r="O213" s="6"/>
      <c r="P213" s="583">
        <v>120</v>
      </c>
      <c r="Q213" s="130"/>
      <c r="R213" s="130"/>
    </row>
    <row r="214" spans="1:18" ht="16.5" customHeight="1" thickBot="1">
      <c r="A214" s="62" t="s">
        <v>121</v>
      </c>
      <c r="B214" s="75" t="str">
        <f>IF(B213&lt;10,"راسب(ة)","ناجح(ة)")</f>
        <v>راسب(ة)</v>
      </c>
      <c r="G214" s="129"/>
      <c r="I214" s="80"/>
      <c r="J214" s="134" t="s">
        <v>73</v>
      </c>
      <c r="K214" s="6"/>
      <c r="L214" s="6"/>
      <c r="M214" s="6"/>
      <c r="N214" s="6"/>
      <c r="O214" s="6"/>
      <c r="P214" s="133">
        <v>120</v>
      </c>
      <c r="Q214" s="5"/>
      <c r="R214" s="5"/>
    </row>
    <row r="215" spans="1:7" ht="16.5" customHeight="1">
      <c r="A215" s="62" t="s">
        <v>120</v>
      </c>
      <c r="B215" s="77">
        <f ca="1">TODAY()</f>
        <v>43188</v>
      </c>
      <c r="G215" s="129"/>
    </row>
    <row r="216" spans="1:14" ht="16.5" customHeight="1">
      <c r="A216" s="62" t="s">
        <v>74</v>
      </c>
      <c r="B216" s="8" t="s">
        <v>119</v>
      </c>
      <c r="L216" s="762" t="s">
        <v>29</v>
      </c>
      <c r="M216" s="762"/>
      <c r="N216" s="75"/>
    </row>
    <row r="217" spans="1:17" ht="20.25">
      <c r="A217" s="187" t="s">
        <v>45</v>
      </c>
      <c r="B217" s="188"/>
      <c r="C217" s="188"/>
      <c r="D217" s="188"/>
      <c r="E217" s="188"/>
      <c r="F217" s="188"/>
      <c r="G217" s="188"/>
      <c r="H217" s="189"/>
      <c r="I217" s="189"/>
      <c r="J217" s="189"/>
      <c r="K217" s="189"/>
      <c r="L217" s="189"/>
      <c r="M217" s="78" t="s">
        <v>46</v>
      </c>
      <c r="N217" s="189"/>
      <c r="O217" s="78"/>
      <c r="P217" s="189"/>
      <c r="Q217" s="189"/>
    </row>
    <row r="218" spans="6:10" ht="15" customHeight="1">
      <c r="F218" s="191" t="s">
        <v>47</v>
      </c>
      <c r="G218" s="10" t="s">
        <v>19</v>
      </c>
      <c r="H218" s="10"/>
      <c r="I218" s="10"/>
      <c r="J218" s="10"/>
    </row>
    <row r="219" spans="6:10" ht="15" customHeight="1">
      <c r="F219" s="191" t="s">
        <v>48</v>
      </c>
      <c r="G219" s="10" t="s">
        <v>49</v>
      </c>
      <c r="H219" s="10"/>
      <c r="I219" s="10"/>
      <c r="J219" s="10"/>
    </row>
    <row r="220" spans="6:10" ht="15" customHeight="1">
      <c r="F220" s="191" t="s">
        <v>50</v>
      </c>
      <c r="G220" s="10" t="s">
        <v>51</v>
      </c>
      <c r="H220" s="10"/>
      <c r="I220" s="10"/>
      <c r="J220" s="10"/>
    </row>
    <row r="221" spans="4:11" ht="21" customHeight="1">
      <c r="D221" s="782" t="s">
        <v>99</v>
      </c>
      <c r="E221" s="782"/>
      <c r="F221" s="782"/>
      <c r="G221" s="782"/>
      <c r="H221" s="782"/>
      <c r="I221" s="782"/>
      <c r="J221" s="782"/>
      <c r="K221" s="782"/>
    </row>
    <row r="222" spans="1:18" ht="18">
      <c r="A222" s="2" t="s">
        <v>148</v>
      </c>
      <c r="B222" s="196" t="str">
        <f>B6</f>
        <v>2017/2018</v>
      </c>
      <c r="C222" s="62"/>
      <c r="E222" s="61"/>
      <c r="F222" s="62"/>
      <c r="G222" s="157"/>
      <c r="H222" s="62"/>
      <c r="I222" s="61"/>
      <c r="J222" s="61"/>
      <c r="K222" s="61"/>
      <c r="L222" s="151"/>
      <c r="M222" s="151"/>
      <c r="N222" s="151"/>
      <c r="O222" s="151"/>
      <c r="P222" s="61"/>
      <c r="Q222" s="61"/>
      <c r="R222" s="61"/>
    </row>
    <row r="223" spans="1:18" ht="15.75" customHeight="1">
      <c r="A223" s="62" t="s">
        <v>147</v>
      </c>
      <c r="B223" s="190" t="str">
        <f>INDEX('دورة1 دورة2'!B10:BJ30,MATCH("j",'دورة1 دورة2'!B10:B30,0),3)</f>
        <v>زياني </v>
      </c>
      <c r="C223" s="158" t="s">
        <v>146</v>
      </c>
      <c r="D223" s="186" t="str">
        <f>INDEX('دورة1 دورة2'!B10:BJ30,MATCH("j",'دورة1 دورة2'!B10:B30,0),4)</f>
        <v>أميرة</v>
      </c>
      <c r="E223" s="62"/>
      <c r="F223" s="158" t="s">
        <v>52</v>
      </c>
      <c r="G223" s="783">
        <f>INDEX('دورة1 دورة2'!B10:BJ30,MATCH("j",'دورة1 دورة2'!B10:B30,0),6)</f>
        <v>0</v>
      </c>
      <c r="H223" s="783"/>
      <c r="I223" s="783"/>
      <c r="J223" s="61"/>
      <c r="K223" s="132" t="s">
        <v>53</v>
      </c>
      <c r="L223" s="784">
        <f>INDEX('دورة1 دورة2'!B10:BJ30,MATCH("j",'دورة1 دورة2'!B10:B30,0),7)</f>
        <v>0</v>
      </c>
      <c r="M223" s="784"/>
      <c r="O223" s="186"/>
      <c r="P223" s="8" t="s">
        <v>54</v>
      </c>
      <c r="Q223" s="784">
        <f>INDEX('دورة1 دورة2'!B10:BJ30,MATCH("j",'دورة1 دورة2'!B10:B30,0),8)</f>
        <v>0</v>
      </c>
      <c r="R223" s="784"/>
    </row>
    <row r="224" spans="1:18" ht="15" customHeight="1">
      <c r="A224" s="2" t="s">
        <v>149</v>
      </c>
      <c r="B224" s="190">
        <f>INDEX('دورة1 دورة2'!B10:BJ30,MATCH("j",'دورة1 دورة2'!B10:B30,0),5)</f>
        <v>0</v>
      </c>
      <c r="C224" s="166"/>
      <c r="D224" s="9" t="s">
        <v>55</v>
      </c>
      <c r="E224" s="11" t="s">
        <v>56</v>
      </c>
      <c r="F224" s="11"/>
      <c r="G224" s="156"/>
      <c r="H224" s="11"/>
      <c r="I224" s="9"/>
      <c r="J224" s="9" t="s">
        <v>57</v>
      </c>
      <c r="K224" s="9"/>
      <c r="L224" s="11"/>
      <c r="N224" s="4" t="s">
        <v>98</v>
      </c>
      <c r="O224" s="2" t="s">
        <v>98</v>
      </c>
      <c r="P224" s="10" t="s">
        <v>97</v>
      </c>
      <c r="R224" s="61"/>
    </row>
    <row r="225" spans="1:16" ht="15.75" thickBot="1">
      <c r="A225" s="3" t="s">
        <v>58</v>
      </c>
      <c r="B225" s="139" t="s">
        <v>200</v>
      </c>
      <c r="C225" s="139"/>
      <c r="G225" s="129"/>
      <c r="J225" s="4"/>
      <c r="K225" s="4"/>
      <c r="M225" s="4"/>
      <c r="N225" s="4"/>
      <c r="O225" s="126"/>
      <c r="P225" s="126"/>
    </row>
    <row r="226" spans="1:18" ht="30" customHeight="1" thickBot="1" thickTop="1">
      <c r="A226" s="775" t="s">
        <v>25</v>
      </c>
      <c r="B226" s="777" t="s">
        <v>59</v>
      </c>
      <c r="C226" s="777"/>
      <c r="D226" s="778"/>
      <c r="E226" s="777"/>
      <c r="F226" s="777" t="s">
        <v>60</v>
      </c>
      <c r="G226" s="777"/>
      <c r="H226" s="777"/>
      <c r="I226" s="777" t="s">
        <v>61</v>
      </c>
      <c r="J226" s="777"/>
      <c r="K226" s="777"/>
      <c r="L226" s="777"/>
      <c r="M226" s="777"/>
      <c r="N226" s="777"/>
      <c r="O226" s="777"/>
      <c r="P226" s="777"/>
      <c r="Q226" s="777"/>
      <c r="R226" s="779"/>
    </row>
    <row r="227" spans="1:18" ht="15.75" thickBot="1">
      <c r="A227" s="776"/>
      <c r="B227" s="780" t="s">
        <v>63</v>
      </c>
      <c r="C227" s="771" t="s">
        <v>62</v>
      </c>
      <c r="D227" s="149" t="s">
        <v>64</v>
      </c>
      <c r="E227" s="781" t="s">
        <v>65</v>
      </c>
      <c r="F227" s="771" t="s">
        <v>66</v>
      </c>
      <c r="G227" s="138" t="s">
        <v>64</v>
      </c>
      <c r="H227" s="771" t="s">
        <v>65</v>
      </c>
      <c r="I227" s="771" t="s">
        <v>67</v>
      </c>
      <c r="J227" s="771"/>
      <c r="K227" s="771"/>
      <c r="L227" s="771" t="s">
        <v>68</v>
      </c>
      <c r="M227" s="771"/>
      <c r="N227" s="771"/>
      <c r="O227" s="771"/>
      <c r="P227" s="771" t="s">
        <v>25</v>
      </c>
      <c r="Q227" s="771"/>
      <c r="R227" s="772"/>
    </row>
    <row r="228" spans="1:21" ht="15.75" thickBot="1">
      <c r="A228" s="776"/>
      <c r="B228" s="780"/>
      <c r="C228" s="771"/>
      <c r="D228" s="150" t="s">
        <v>69</v>
      </c>
      <c r="E228" s="781"/>
      <c r="F228" s="771"/>
      <c r="G228" s="138" t="s">
        <v>69</v>
      </c>
      <c r="H228" s="771"/>
      <c r="I228" s="133" t="s">
        <v>70</v>
      </c>
      <c r="J228" s="133" t="s">
        <v>100</v>
      </c>
      <c r="K228" s="133" t="s">
        <v>96</v>
      </c>
      <c r="L228" s="133" t="s">
        <v>70</v>
      </c>
      <c r="M228" s="133" t="s">
        <v>100</v>
      </c>
      <c r="N228" s="133" t="s">
        <v>96</v>
      </c>
      <c r="O228" s="133" t="s">
        <v>93</v>
      </c>
      <c r="P228" s="133" t="s">
        <v>70</v>
      </c>
      <c r="Q228" s="133" t="s">
        <v>100</v>
      </c>
      <c r="R228" s="140" t="s">
        <v>96</v>
      </c>
      <c r="U228" s="134"/>
    </row>
    <row r="229" spans="1:21" ht="19.5" customHeight="1" thickBot="1">
      <c r="A229" s="773" t="s">
        <v>457</v>
      </c>
      <c r="B229" s="769" t="s">
        <v>126</v>
      </c>
      <c r="C229" s="769" t="s">
        <v>122</v>
      </c>
      <c r="D229" s="774">
        <v>18</v>
      </c>
      <c r="E229" s="769">
        <v>7</v>
      </c>
      <c r="F229" s="588" t="s">
        <v>205</v>
      </c>
      <c r="G229" s="137">
        <v>7</v>
      </c>
      <c r="H229" s="144">
        <v>3</v>
      </c>
      <c r="I229" s="145">
        <f>INDEX('دورة1 دورة2'!B10:BJ30,MATCH("j",'دورة1 دورة2'!B10:B30,0),9)</f>
        <v>43.5</v>
      </c>
      <c r="J229" s="146">
        <f>IF(I229&lt;30,0,7)</f>
        <v>7</v>
      </c>
      <c r="K229" s="199" t="str">
        <f>INDEX('دورة1 دورة2'!B10:BJ30,MATCH("j",'دورة1 دورة2'!B10:B30,0),11)</f>
        <v>د1</v>
      </c>
      <c r="L229" s="770">
        <f>(I229+I230+I231)/7</f>
        <v>11.357142857142858</v>
      </c>
      <c r="M229" s="763">
        <f>IF(L229&lt;10,J229+J230+J231,18)</f>
        <v>18</v>
      </c>
      <c r="N229" s="763" t="str">
        <f>INDEX('دورة1 دورة2'!B10:BJ30,MATCH("j",'دورة1 دورة2'!B10:B30,0),20)</f>
        <v>د1</v>
      </c>
      <c r="O229" s="763">
        <f>LOOKUP("r",'دورة1 دورة2'!B:B,'دورة1 دورة2'!AG:AG)</f>
        <v>2018</v>
      </c>
      <c r="P229" s="765">
        <f>(I229+I230+I231+I232+I233+I234+I235)/14</f>
        <v>11.232142857142858</v>
      </c>
      <c r="Q229" s="766">
        <f>IF(P229&lt;10,M229+M232+M234+M235,30)</f>
        <v>30</v>
      </c>
      <c r="R229" s="767" t="str">
        <f>INDEX('دورة1 دورة2'!B10:BJ30,MATCH("j",'دورة1 دورة2'!B10:B30,0),51)</f>
        <v>د1</v>
      </c>
      <c r="S229" s="764"/>
      <c r="U229" s="134"/>
    </row>
    <row r="230" spans="1:19" ht="19.5" customHeight="1" thickBot="1">
      <c r="A230" s="773"/>
      <c r="B230" s="769"/>
      <c r="C230" s="769"/>
      <c r="D230" s="769"/>
      <c r="E230" s="769"/>
      <c r="F230" s="589" t="s">
        <v>206</v>
      </c>
      <c r="G230" s="137">
        <v>6</v>
      </c>
      <c r="H230" s="144">
        <v>2</v>
      </c>
      <c r="I230" s="145">
        <f>INDEX('دورة1 دورة2'!B10:BJ30,MATCH("j",'دورة1 دورة2'!B10:B30,0),12)</f>
        <v>17</v>
      </c>
      <c r="J230" s="146">
        <f>IF(I230&lt;20,0,6)</f>
        <v>0</v>
      </c>
      <c r="K230" s="199" t="str">
        <f>INDEX('دورة1 دورة2'!B10:BJ30,MATCH("j",'دورة1 دورة2'!B10:B30,0),14)</f>
        <v>د1</v>
      </c>
      <c r="L230" s="770"/>
      <c r="M230" s="763"/>
      <c r="N230" s="763"/>
      <c r="O230" s="763"/>
      <c r="P230" s="765"/>
      <c r="Q230" s="766"/>
      <c r="R230" s="767"/>
      <c r="S230" s="764"/>
    </row>
    <row r="231" spans="1:19" ht="19.5" customHeight="1" thickBot="1">
      <c r="A231" s="773"/>
      <c r="B231" s="769"/>
      <c r="C231" s="769"/>
      <c r="D231" s="769"/>
      <c r="E231" s="769"/>
      <c r="F231" s="589" t="s">
        <v>207</v>
      </c>
      <c r="G231" s="137">
        <v>5</v>
      </c>
      <c r="H231" s="144">
        <v>2</v>
      </c>
      <c r="I231" s="145">
        <f>INDEX('دورة1 دورة2'!B10:BJ30,MATCH("j",'دورة1 دورة2'!B10:B30,0),15)</f>
        <v>19</v>
      </c>
      <c r="J231" s="146">
        <f>IF(I231&lt;20,0,5)</f>
        <v>0</v>
      </c>
      <c r="K231" s="199" t="str">
        <f>INDEX('دورة1 دورة2'!B10:BJ30,MATCH("j",'دورة1 دورة2'!B10:B30,0),17)</f>
        <v>د1</v>
      </c>
      <c r="L231" s="770"/>
      <c r="M231" s="763"/>
      <c r="N231" s="763"/>
      <c r="O231" s="763"/>
      <c r="P231" s="765"/>
      <c r="Q231" s="766"/>
      <c r="R231" s="767"/>
      <c r="S231" s="764"/>
    </row>
    <row r="232" spans="1:19" ht="19.5" customHeight="1" thickBot="1">
      <c r="A232" s="773"/>
      <c r="B232" s="769" t="s">
        <v>127</v>
      </c>
      <c r="C232" s="769" t="s">
        <v>123</v>
      </c>
      <c r="D232" s="769">
        <v>9</v>
      </c>
      <c r="E232" s="769">
        <v>4</v>
      </c>
      <c r="F232" s="590" t="s">
        <v>208</v>
      </c>
      <c r="G232" s="137">
        <v>5</v>
      </c>
      <c r="H232" s="144">
        <v>2</v>
      </c>
      <c r="I232" s="145">
        <f>INDEX('دورة1 دورة2'!B10:BJ30,MATCH("j",'دورة1 دورة2'!B10:B30,0),23)</f>
        <v>16</v>
      </c>
      <c r="J232" s="146">
        <f>IF(I232&lt;20,0,5)</f>
        <v>0</v>
      </c>
      <c r="K232" s="199" t="str">
        <f>INDEX('دورة1 دورة2'!B10:BJ30,MATCH("j",'دورة1 دورة2'!B10:B30,0),25)</f>
        <v>د1</v>
      </c>
      <c r="L232" s="770">
        <f>(I233+I232)/4</f>
        <v>10.25</v>
      </c>
      <c r="M232" s="763">
        <f>IF(L232&lt;10,J233+J232,9)</f>
        <v>9</v>
      </c>
      <c r="N232" s="763" t="str">
        <f>INDEX('دورة1 دورة2'!B10:BJ30,MATCH("j",'دورة1 دورة2'!B10:B30,0),31)</f>
        <v>د1</v>
      </c>
      <c r="O232" s="763">
        <f>LOOKUP("r",'دورة1 دورة2'!B:B,'دورة1 دورة2'!AN:AN)</f>
        <v>2018</v>
      </c>
      <c r="P232" s="765"/>
      <c r="Q232" s="766"/>
      <c r="R232" s="767"/>
      <c r="S232" s="764"/>
    </row>
    <row r="233" spans="1:19" ht="19.5" customHeight="1" thickBot="1">
      <c r="A233" s="773"/>
      <c r="B233" s="769"/>
      <c r="C233" s="769"/>
      <c r="D233" s="769"/>
      <c r="E233" s="769"/>
      <c r="F233" s="589" t="s">
        <v>209</v>
      </c>
      <c r="G233" s="137">
        <v>4</v>
      </c>
      <c r="H233" s="144">
        <v>2</v>
      </c>
      <c r="I233" s="145">
        <f>INDEX('دورة1 دورة2'!B10:BJ30,MATCH("j",'دورة1 دورة2'!B10:B30,0),26)</f>
        <v>25</v>
      </c>
      <c r="J233" s="146">
        <f>IF(I233&lt;20,0,4)</f>
        <v>4</v>
      </c>
      <c r="K233" s="199" t="str">
        <f>INDEX('دورة1 دورة2'!B10:BJ30,MATCH("j",'دورة1 دورة2'!B10:B30,0),28)</f>
        <v>د1</v>
      </c>
      <c r="L233" s="770"/>
      <c r="M233" s="763"/>
      <c r="N233" s="763"/>
      <c r="O233" s="763"/>
      <c r="P233" s="765"/>
      <c r="Q233" s="766"/>
      <c r="R233" s="767"/>
      <c r="S233" s="764"/>
    </row>
    <row r="234" spans="1:19" ht="19.5" customHeight="1" thickBot="1">
      <c r="A234" s="773"/>
      <c r="B234" s="137" t="s">
        <v>128</v>
      </c>
      <c r="C234" s="137" t="s">
        <v>124</v>
      </c>
      <c r="D234" s="137">
        <v>2</v>
      </c>
      <c r="E234" s="137">
        <v>2</v>
      </c>
      <c r="F234" s="589" t="s">
        <v>211</v>
      </c>
      <c r="G234" s="137">
        <v>2</v>
      </c>
      <c r="H234" s="144">
        <v>2</v>
      </c>
      <c r="I234" s="145">
        <f>INDEX('دورة1 دورة2'!B10:BJ30,MATCH("j",'دورة1 دورة2'!B10:B30,0),34)</f>
        <v>27.5</v>
      </c>
      <c r="J234" s="146">
        <f>IF(I234&lt;20,0,2)</f>
        <v>2</v>
      </c>
      <c r="K234" s="199" t="str">
        <f>INDEX('دورة1 دورة2'!B10:BJ30,MATCH("j",'دورة1 دورة2'!B10:B30,0),36)</f>
        <v>د1</v>
      </c>
      <c r="L234" s="147">
        <f>I234/2</f>
        <v>13.75</v>
      </c>
      <c r="M234" s="148">
        <f>J234</f>
        <v>2</v>
      </c>
      <c r="N234" s="199" t="str">
        <f>INDEX('دورة1 دورة2'!B10:BJ30,MATCH("j",'دورة1 دورة2'!B10:B30,0),36)</f>
        <v>د1</v>
      </c>
      <c r="O234" s="146">
        <f>LOOKUP("r",'دورة1 دورة2'!B:B,'دورة1 دورة2'!AU:AU)</f>
        <v>2018</v>
      </c>
      <c r="P234" s="765"/>
      <c r="Q234" s="766"/>
      <c r="R234" s="767"/>
      <c r="S234" s="131"/>
    </row>
    <row r="235" spans="1:19" ht="19.5" customHeight="1" thickBot="1">
      <c r="A235" s="773"/>
      <c r="B235" s="137" t="s">
        <v>129</v>
      </c>
      <c r="C235" s="137" t="s">
        <v>125</v>
      </c>
      <c r="D235" s="137">
        <v>1</v>
      </c>
      <c r="E235" s="137">
        <v>1</v>
      </c>
      <c r="F235" s="591" t="s">
        <v>191</v>
      </c>
      <c r="G235" s="137">
        <v>1</v>
      </c>
      <c r="H235" s="144">
        <v>1</v>
      </c>
      <c r="I235" s="145">
        <f>INDEX('دورة1 دورة2'!B10:BJ30,MATCH("j",'دورة1 دورة2'!B10:B30,0),41)</f>
        <v>9.25</v>
      </c>
      <c r="J235" s="146">
        <f>IF(I235&lt;10,0,1)</f>
        <v>0</v>
      </c>
      <c r="K235" s="199" t="str">
        <f>INDEX('دورة1 دورة2'!B10:BJ30,MATCH("j",'دورة1 دورة2'!B10:B30,0),43)</f>
        <v>د1</v>
      </c>
      <c r="L235" s="147">
        <f>I235</f>
        <v>9.25</v>
      </c>
      <c r="M235" s="148">
        <f>J235</f>
        <v>0</v>
      </c>
      <c r="N235" s="199" t="str">
        <f>INDEX('دورة1 دورة2'!B10:BJ30,MATCH("j",'دورة1 دورة2'!B10:B30,0),43)</f>
        <v>د1</v>
      </c>
      <c r="O235" s="146">
        <f>LOOKUP("r",'دورة1 دورة2'!B:B,'دورة1 دورة2'!AU:AU)</f>
        <v>2018</v>
      </c>
      <c r="P235" s="765"/>
      <c r="Q235" s="766"/>
      <c r="R235" s="768"/>
      <c r="S235" s="131"/>
    </row>
    <row r="236" spans="1:19" ht="83.25" customHeight="1" thickBot="1">
      <c r="A236" s="342" t="s">
        <v>458</v>
      </c>
      <c r="B236" s="137" t="s">
        <v>126</v>
      </c>
      <c r="C236" s="137" t="s">
        <v>122</v>
      </c>
      <c r="D236" s="137">
        <v>18</v>
      </c>
      <c r="E236" s="137">
        <v>7</v>
      </c>
      <c r="F236" s="592" t="s">
        <v>213</v>
      </c>
      <c r="G236" s="137">
        <v>7</v>
      </c>
      <c r="H236" s="144">
        <v>2</v>
      </c>
      <c r="I236" s="145">
        <f>INDEX('دورة1 دورة2'!B10:BJ30,MATCH("j",'دورة1 دورة2'!B10:B30,0),54)</f>
        <v>0</v>
      </c>
      <c r="J236" s="146">
        <f>IF(I236&lt;300,0,30)</f>
        <v>0</v>
      </c>
      <c r="K236" s="199" t="str">
        <f>INDEX('دورة1 دورة2'!B10:BJ30,MATCH("j",'دورة1 دورة2'!B10:B30,0),56)</f>
        <v>د1</v>
      </c>
      <c r="L236" s="147">
        <f>(I236)/30</f>
        <v>0</v>
      </c>
      <c r="M236" s="148">
        <f>IF(L236&lt;10,J236,30)</f>
        <v>0</v>
      </c>
      <c r="N236" s="148" t="str">
        <f>INDEX('دورة1 دورة2'!B10:BJ30,MATCH("j",'دورة1 دورة2'!B10:B30,0),56)</f>
        <v>د1</v>
      </c>
      <c r="O236" s="148" t="e">
        <f>LOOKUP("r",'دورة1 دورة2'!B:B,'دورة1 دورة2'!#REF!)</f>
        <v>#REF!</v>
      </c>
      <c r="P236" s="341">
        <f>(I236)/30</f>
        <v>0</v>
      </c>
      <c r="Q236" s="146">
        <f>IF(P236&lt;10,M236,30)</f>
        <v>0</v>
      </c>
      <c r="R236" s="343" t="str">
        <f>INDEX('دورة1 دورة2'!B10:BJ30,MATCH("j",'دورة1 دورة2'!B10:B30,0),60)</f>
        <v>د1</v>
      </c>
      <c r="S236" s="131"/>
    </row>
    <row r="237" spans="1:18" ht="17.25" customHeight="1" thickBot="1">
      <c r="A237" s="62" t="s">
        <v>150</v>
      </c>
      <c r="B237" s="135">
        <f>(P229+P236)/2</f>
        <v>5.616071428571429</v>
      </c>
      <c r="C237" s="759" t="s">
        <v>461</v>
      </c>
      <c r="D237" s="760"/>
      <c r="E237" s="760"/>
      <c r="F237" s="761"/>
      <c r="G237" s="136">
        <f>Q229+Q236</f>
        <v>30</v>
      </c>
      <c r="H237" s="6"/>
      <c r="I237" s="6"/>
      <c r="J237" s="134" t="s">
        <v>72</v>
      </c>
      <c r="K237" s="6"/>
      <c r="L237" s="6"/>
      <c r="M237" s="6"/>
      <c r="N237" s="6"/>
      <c r="O237" s="6"/>
      <c r="P237" s="583">
        <v>120</v>
      </c>
      <c r="Q237" s="130"/>
      <c r="R237" s="130"/>
    </row>
    <row r="238" spans="1:18" ht="16.5" customHeight="1" thickBot="1">
      <c r="A238" s="62" t="s">
        <v>121</v>
      </c>
      <c r="B238" s="75" t="str">
        <f>IF(B237&lt;10,"راسب(ة)","ناجح(ة)")</f>
        <v>راسب(ة)</v>
      </c>
      <c r="G238" s="129"/>
      <c r="I238" s="80"/>
      <c r="J238" s="134" t="s">
        <v>73</v>
      </c>
      <c r="K238" s="6"/>
      <c r="L238" s="6"/>
      <c r="M238" s="6"/>
      <c r="N238" s="6"/>
      <c r="O238" s="6"/>
      <c r="P238" s="133">
        <v>120</v>
      </c>
      <c r="Q238" s="5"/>
      <c r="R238" s="5"/>
    </row>
    <row r="239" spans="1:7" ht="16.5" customHeight="1">
      <c r="A239" s="62" t="s">
        <v>120</v>
      </c>
      <c r="B239" s="77">
        <f ca="1">TODAY()</f>
        <v>43188</v>
      </c>
      <c r="G239" s="129"/>
    </row>
    <row r="240" spans="1:14" ht="16.5" customHeight="1">
      <c r="A240" s="62" t="s">
        <v>74</v>
      </c>
      <c r="B240" s="8" t="s">
        <v>119</v>
      </c>
      <c r="L240" s="762" t="s">
        <v>29</v>
      </c>
      <c r="M240" s="762"/>
      <c r="N240" s="75"/>
    </row>
    <row r="241" spans="1:17" ht="20.25">
      <c r="A241" s="187" t="s">
        <v>45</v>
      </c>
      <c r="B241" s="188"/>
      <c r="C241" s="188"/>
      <c r="D241" s="188"/>
      <c r="E241" s="188"/>
      <c r="F241" s="188"/>
      <c r="G241" s="188"/>
      <c r="H241" s="189"/>
      <c r="I241" s="189"/>
      <c r="J241" s="189"/>
      <c r="K241" s="189"/>
      <c r="L241" s="189"/>
      <c r="M241" s="78" t="s">
        <v>46</v>
      </c>
      <c r="N241" s="189"/>
      <c r="O241" s="78"/>
      <c r="P241" s="189"/>
      <c r="Q241" s="189"/>
    </row>
    <row r="242" spans="6:10" ht="15" customHeight="1">
      <c r="F242" s="191" t="s">
        <v>47</v>
      </c>
      <c r="G242" s="10" t="s">
        <v>19</v>
      </c>
      <c r="H242" s="10"/>
      <c r="I242" s="10"/>
      <c r="J242" s="10"/>
    </row>
    <row r="243" spans="6:10" ht="15" customHeight="1">
      <c r="F243" s="191" t="s">
        <v>48</v>
      </c>
      <c r="G243" s="10" t="s">
        <v>49</v>
      </c>
      <c r="H243" s="10"/>
      <c r="I243" s="10"/>
      <c r="J243" s="10"/>
    </row>
    <row r="244" spans="6:10" ht="15" customHeight="1">
      <c r="F244" s="191" t="s">
        <v>50</v>
      </c>
      <c r="G244" s="10" t="s">
        <v>51</v>
      </c>
      <c r="H244" s="10"/>
      <c r="I244" s="10"/>
      <c r="J244" s="10"/>
    </row>
    <row r="245" spans="4:11" ht="21" customHeight="1">
      <c r="D245" s="782" t="s">
        <v>99</v>
      </c>
      <c r="E245" s="782"/>
      <c r="F245" s="782"/>
      <c r="G245" s="782"/>
      <c r="H245" s="782"/>
      <c r="I245" s="782"/>
      <c r="J245" s="782"/>
      <c r="K245" s="782"/>
    </row>
    <row r="246" spans="1:18" ht="18">
      <c r="A246" s="2" t="s">
        <v>148</v>
      </c>
      <c r="B246" s="196" t="str">
        <f>B6</f>
        <v>2017/2018</v>
      </c>
      <c r="C246" s="62"/>
      <c r="E246" s="61"/>
      <c r="F246" s="62"/>
      <c r="G246" s="157"/>
      <c r="H246" s="62"/>
      <c r="I246" s="61"/>
      <c r="J246" s="61"/>
      <c r="K246" s="61"/>
      <c r="L246" s="151"/>
      <c r="M246" s="151"/>
      <c r="N246" s="151"/>
      <c r="O246" s="151"/>
      <c r="P246" s="61"/>
      <c r="Q246" s="61"/>
      <c r="R246" s="61"/>
    </row>
    <row r="247" spans="1:18" ht="15.75" customHeight="1">
      <c r="A247" s="62" t="s">
        <v>147</v>
      </c>
      <c r="B247" s="190" t="str">
        <f>INDEX('دورة1 دورة2'!B10:BJ30,MATCH("k",'دورة1 دورة2'!B10:B30,0),3)</f>
        <v>شلابي </v>
      </c>
      <c r="C247" s="158" t="s">
        <v>146</v>
      </c>
      <c r="D247" s="186" t="str">
        <f>INDEX('دورة1 دورة2'!B10:BJ30,MATCH("k",'دورة1 دورة2'!B10:B30,0),4)</f>
        <v>هاجر</v>
      </c>
      <c r="E247" s="62"/>
      <c r="F247" s="158" t="s">
        <v>52</v>
      </c>
      <c r="G247" s="783">
        <f>INDEX('دورة1 دورة2'!B10:BJ30,MATCH("k",'دورة1 دورة2'!B10:B30,0),6)</f>
        <v>0</v>
      </c>
      <c r="H247" s="783"/>
      <c r="I247" s="783"/>
      <c r="J247" s="61"/>
      <c r="K247" s="132" t="s">
        <v>53</v>
      </c>
      <c r="L247" s="784">
        <f>INDEX('دورة1 دورة2'!B10:BJ30,MATCH("k",'دورة1 دورة2'!B10:B30,0),7)</f>
        <v>0</v>
      </c>
      <c r="M247" s="784"/>
      <c r="O247" s="186"/>
      <c r="P247" s="8" t="s">
        <v>54</v>
      </c>
      <c r="Q247" s="784">
        <f>INDEX('دورة1 دورة2'!B10:BJ30,MATCH("k",'دورة1 دورة2'!B10:B30,0),8)</f>
        <v>0</v>
      </c>
      <c r="R247" s="784"/>
    </row>
    <row r="248" spans="1:18" ht="15" customHeight="1">
      <c r="A248" s="2" t="s">
        <v>149</v>
      </c>
      <c r="B248" s="190">
        <f>INDEX('دورة1 دورة2'!B10:BJ30,MATCH("k",'دورة1 دورة2'!B10:B30,0),5)</f>
        <v>0</v>
      </c>
      <c r="C248" s="166"/>
      <c r="D248" s="9" t="s">
        <v>55</v>
      </c>
      <c r="E248" s="11" t="s">
        <v>56</v>
      </c>
      <c r="F248" s="11"/>
      <c r="G248" s="156"/>
      <c r="H248" s="11"/>
      <c r="I248" s="9"/>
      <c r="J248" s="9" t="s">
        <v>57</v>
      </c>
      <c r="K248" s="9"/>
      <c r="L248" s="11"/>
      <c r="N248" s="4" t="s">
        <v>98</v>
      </c>
      <c r="O248" s="2" t="s">
        <v>98</v>
      </c>
      <c r="P248" s="10" t="s">
        <v>97</v>
      </c>
      <c r="R248" s="61"/>
    </row>
    <row r="249" spans="1:16" ht="15.75" thickBot="1">
      <c r="A249" s="3" t="s">
        <v>58</v>
      </c>
      <c r="B249" s="139" t="s">
        <v>200</v>
      </c>
      <c r="C249" s="139"/>
      <c r="G249" s="129"/>
      <c r="J249" s="4"/>
      <c r="K249" s="4"/>
      <c r="M249" s="4"/>
      <c r="N249" s="4"/>
      <c r="O249" s="126"/>
      <c r="P249" s="126"/>
    </row>
    <row r="250" spans="1:18" ht="27.75" customHeight="1" thickBot="1" thickTop="1">
      <c r="A250" s="775" t="s">
        <v>25</v>
      </c>
      <c r="B250" s="777" t="s">
        <v>59</v>
      </c>
      <c r="C250" s="777"/>
      <c r="D250" s="778"/>
      <c r="E250" s="777"/>
      <c r="F250" s="777" t="s">
        <v>60</v>
      </c>
      <c r="G250" s="777"/>
      <c r="H250" s="777"/>
      <c r="I250" s="777" t="s">
        <v>61</v>
      </c>
      <c r="J250" s="777"/>
      <c r="K250" s="777"/>
      <c r="L250" s="777"/>
      <c r="M250" s="777"/>
      <c r="N250" s="777"/>
      <c r="O250" s="777"/>
      <c r="P250" s="777"/>
      <c r="Q250" s="777"/>
      <c r="R250" s="779"/>
    </row>
    <row r="251" spans="1:18" ht="15.75" thickBot="1">
      <c r="A251" s="776"/>
      <c r="B251" s="780" t="s">
        <v>63</v>
      </c>
      <c r="C251" s="771" t="s">
        <v>62</v>
      </c>
      <c r="D251" s="149" t="s">
        <v>64</v>
      </c>
      <c r="E251" s="781" t="s">
        <v>65</v>
      </c>
      <c r="F251" s="771" t="s">
        <v>66</v>
      </c>
      <c r="G251" s="138" t="s">
        <v>64</v>
      </c>
      <c r="H251" s="771" t="s">
        <v>65</v>
      </c>
      <c r="I251" s="771" t="s">
        <v>67</v>
      </c>
      <c r="J251" s="771"/>
      <c r="K251" s="771"/>
      <c r="L251" s="771" t="s">
        <v>68</v>
      </c>
      <c r="M251" s="771"/>
      <c r="N251" s="771"/>
      <c r="O251" s="771"/>
      <c r="P251" s="771" t="s">
        <v>25</v>
      </c>
      <c r="Q251" s="771"/>
      <c r="R251" s="772"/>
    </row>
    <row r="252" spans="1:21" ht="15.75" thickBot="1">
      <c r="A252" s="776"/>
      <c r="B252" s="780"/>
      <c r="C252" s="771"/>
      <c r="D252" s="150" t="s">
        <v>69</v>
      </c>
      <c r="E252" s="781"/>
      <c r="F252" s="771"/>
      <c r="G252" s="138" t="s">
        <v>69</v>
      </c>
      <c r="H252" s="771"/>
      <c r="I252" s="133" t="s">
        <v>70</v>
      </c>
      <c r="J252" s="133" t="s">
        <v>100</v>
      </c>
      <c r="K252" s="133" t="s">
        <v>96</v>
      </c>
      <c r="L252" s="133" t="s">
        <v>70</v>
      </c>
      <c r="M252" s="133" t="s">
        <v>100</v>
      </c>
      <c r="N252" s="133" t="s">
        <v>96</v>
      </c>
      <c r="O252" s="133" t="s">
        <v>93</v>
      </c>
      <c r="P252" s="133" t="s">
        <v>70</v>
      </c>
      <c r="Q252" s="133" t="s">
        <v>100</v>
      </c>
      <c r="R252" s="140" t="s">
        <v>96</v>
      </c>
      <c r="U252" s="134"/>
    </row>
    <row r="253" spans="1:21" ht="19.5" customHeight="1" thickBot="1">
      <c r="A253" s="773" t="s">
        <v>457</v>
      </c>
      <c r="B253" s="769" t="s">
        <v>126</v>
      </c>
      <c r="C253" s="769" t="s">
        <v>122</v>
      </c>
      <c r="D253" s="774">
        <v>18</v>
      </c>
      <c r="E253" s="769">
        <v>7</v>
      </c>
      <c r="F253" s="588" t="s">
        <v>205</v>
      </c>
      <c r="G253" s="137">
        <v>7</v>
      </c>
      <c r="H253" s="144">
        <v>3</v>
      </c>
      <c r="I253" s="145">
        <f>INDEX('دورة1 دورة2'!B10:BJ30,MATCH("k",'دورة1 دورة2'!B10:B30,0),9)</f>
        <v>45</v>
      </c>
      <c r="J253" s="146">
        <f>IF(I253&lt;30,0,7)</f>
        <v>7</v>
      </c>
      <c r="K253" s="199" t="str">
        <f>INDEX('دورة1 دورة2'!B10:BJ30,MATCH("k",'دورة1 دورة2'!B10:B30,0),11)</f>
        <v>د1</v>
      </c>
      <c r="L253" s="770">
        <f>(I253+I254+I255)/7</f>
        <v>12.285714285714286</v>
      </c>
      <c r="M253" s="763">
        <f>IF(L253&lt;10,J253+J254+J255,18)</f>
        <v>18</v>
      </c>
      <c r="N253" s="763" t="str">
        <f>INDEX('دورة1 دورة2'!B10:BJ30,MATCH("k",'دورة1 دورة2'!B10:B30,0),20)</f>
        <v>د1</v>
      </c>
      <c r="O253" s="763">
        <f>LOOKUP("r",'دورة1 دورة2'!B:B,'دورة1 دورة2'!AG:AG)</f>
        <v>2018</v>
      </c>
      <c r="P253" s="765">
        <f>(I253+I254+I255+I256+I257+I258+I259)/14</f>
        <v>11.228571428571428</v>
      </c>
      <c r="Q253" s="766">
        <f>IF(P253&lt;10,M253+M256+M258+M259,30)</f>
        <v>30</v>
      </c>
      <c r="R253" s="767" t="str">
        <f>INDEX('دورة1 دورة2'!B10:BJ30,MATCH("k",'دورة1 دورة2'!B10:B30,0),51)</f>
        <v>د1</v>
      </c>
      <c r="S253" s="764"/>
      <c r="U253" s="134"/>
    </row>
    <row r="254" spans="1:19" ht="19.5" customHeight="1" thickBot="1">
      <c r="A254" s="773"/>
      <c r="B254" s="769"/>
      <c r="C254" s="769"/>
      <c r="D254" s="769"/>
      <c r="E254" s="769"/>
      <c r="F254" s="589" t="s">
        <v>206</v>
      </c>
      <c r="G254" s="137">
        <v>6</v>
      </c>
      <c r="H254" s="144">
        <v>2</v>
      </c>
      <c r="I254" s="145">
        <f>INDEX('دورة1 دورة2'!B10:BJ30,MATCH("k",'دورة1 دورة2'!B10:B30,0),12)</f>
        <v>20</v>
      </c>
      <c r="J254" s="146">
        <f>IF(I254&lt;20,0,6)</f>
        <v>6</v>
      </c>
      <c r="K254" s="199" t="str">
        <f>INDEX('دورة1 دورة2'!B10:BJ30,MATCH("k",'دورة1 دورة2'!B10:B30,0),14)</f>
        <v>د1</v>
      </c>
      <c r="L254" s="770"/>
      <c r="M254" s="763"/>
      <c r="N254" s="763"/>
      <c r="O254" s="763"/>
      <c r="P254" s="765"/>
      <c r="Q254" s="766"/>
      <c r="R254" s="767"/>
      <c r="S254" s="764"/>
    </row>
    <row r="255" spans="1:19" ht="19.5" customHeight="1" thickBot="1">
      <c r="A255" s="773"/>
      <c r="B255" s="769"/>
      <c r="C255" s="769"/>
      <c r="D255" s="769"/>
      <c r="E255" s="769"/>
      <c r="F255" s="589" t="s">
        <v>207</v>
      </c>
      <c r="G255" s="137">
        <v>5</v>
      </c>
      <c r="H255" s="144">
        <v>2</v>
      </c>
      <c r="I255" s="145">
        <f>INDEX('دورة1 دورة2'!B10:BJ30,MATCH("k",'دورة1 دورة2'!B10:B30,0),15)</f>
        <v>21</v>
      </c>
      <c r="J255" s="146">
        <f>IF(I255&lt;20,0,5)</f>
        <v>5</v>
      </c>
      <c r="K255" s="199" t="str">
        <f>INDEX('دورة1 دورة2'!B10:BJ30,MATCH("k",'دورة1 دورة2'!B10:B30,0),17)</f>
        <v>د1</v>
      </c>
      <c r="L255" s="770"/>
      <c r="M255" s="763"/>
      <c r="N255" s="763"/>
      <c r="O255" s="763"/>
      <c r="P255" s="765"/>
      <c r="Q255" s="766"/>
      <c r="R255" s="767"/>
      <c r="S255" s="764"/>
    </row>
    <row r="256" spans="1:19" ht="19.5" customHeight="1" thickBot="1">
      <c r="A256" s="773"/>
      <c r="B256" s="769" t="s">
        <v>127</v>
      </c>
      <c r="C256" s="769" t="s">
        <v>123</v>
      </c>
      <c r="D256" s="769">
        <v>9</v>
      </c>
      <c r="E256" s="769">
        <v>4</v>
      </c>
      <c r="F256" s="590" t="s">
        <v>208</v>
      </c>
      <c r="G256" s="137">
        <v>5</v>
      </c>
      <c r="H256" s="144">
        <v>2</v>
      </c>
      <c r="I256" s="145">
        <f>INDEX('دورة1 دورة2'!B10:BJ30,MATCH("k",'دورة1 دورة2'!B10:B30,0),23)</f>
        <v>21.7</v>
      </c>
      <c r="J256" s="146">
        <f>IF(I256&lt;20,0,5)</f>
        <v>5</v>
      </c>
      <c r="K256" s="199" t="str">
        <f>INDEX('دورة1 دورة2'!B10:BJ30,MATCH("k",'دورة1 دورة2'!B10:B30,0),25)</f>
        <v>د1</v>
      </c>
      <c r="L256" s="770">
        <f>(I257+I256)/4</f>
        <v>10.3</v>
      </c>
      <c r="M256" s="763">
        <f>IF(L256&lt;10,J257+J256,9)</f>
        <v>9</v>
      </c>
      <c r="N256" s="763" t="str">
        <f>INDEX('دورة1 دورة2'!B10:BJ30,MATCH("k",'دورة1 دورة2'!B10:B30,0),31)</f>
        <v>د1</v>
      </c>
      <c r="O256" s="763">
        <f>LOOKUP("r",'دورة1 دورة2'!B:B,'دورة1 دورة2'!AN:AN)</f>
        <v>2018</v>
      </c>
      <c r="P256" s="765"/>
      <c r="Q256" s="766"/>
      <c r="R256" s="767"/>
      <c r="S256" s="764"/>
    </row>
    <row r="257" spans="1:19" ht="19.5" customHeight="1" thickBot="1">
      <c r="A257" s="773"/>
      <c r="B257" s="769"/>
      <c r="C257" s="769"/>
      <c r="D257" s="769"/>
      <c r="E257" s="769"/>
      <c r="F257" s="589" t="s">
        <v>209</v>
      </c>
      <c r="G257" s="137">
        <v>4</v>
      </c>
      <c r="H257" s="144">
        <v>2</v>
      </c>
      <c r="I257" s="145">
        <f>INDEX('دورة1 دورة2'!B10:BJ30,MATCH("k",'دورة1 دورة2'!B10:B30,0),26)</f>
        <v>19.5</v>
      </c>
      <c r="J257" s="146">
        <f>IF(I257&lt;20,0,4)</f>
        <v>0</v>
      </c>
      <c r="K257" s="199" t="str">
        <f>INDEX('دورة1 دورة2'!B10:BJ30,MATCH("k",'دورة1 دورة2'!B10:B30,0),28)</f>
        <v>د1</v>
      </c>
      <c r="L257" s="770"/>
      <c r="M257" s="763"/>
      <c r="N257" s="763"/>
      <c r="O257" s="763"/>
      <c r="P257" s="765"/>
      <c r="Q257" s="766"/>
      <c r="R257" s="767"/>
      <c r="S257" s="764"/>
    </row>
    <row r="258" spans="1:19" ht="19.5" customHeight="1" thickBot="1">
      <c r="A258" s="773"/>
      <c r="B258" s="137" t="s">
        <v>128</v>
      </c>
      <c r="C258" s="137" t="s">
        <v>124</v>
      </c>
      <c r="D258" s="137">
        <v>2</v>
      </c>
      <c r="E258" s="137">
        <v>2</v>
      </c>
      <c r="F258" s="589" t="s">
        <v>211</v>
      </c>
      <c r="G258" s="137">
        <v>2</v>
      </c>
      <c r="H258" s="144">
        <v>2</v>
      </c>
      <c r="I258" s="145">
        <f>INDEX('دورة1 دورة2'!B10:BJ30,MATCH("k",'دورة1 دورة2'!B10:B30,0),34)</f>
        <v>25</v>
      </c>
      <c r="J258" s="146">
        <f>IF(I258&lt;20,0,2)</f>
        <v>2</v>
      </c>
      <c r="K258" s="199" t="str">
        <f>INDEX('دورة1 دورة2'!B10:BJ30,MATCH("k",'دورة1 دورة2'!B10:B30,0),36)</f>
        <v>د1</v>
      </c>
      <c r="L258" s="147">
        <f>I258/2</f>
        <v>12.5</v>
      </c>
      <c r="M258" s="148">
        <f>J258</f>
        <v>2</v>
      </c>
      <c r="N258" s="199" t="str">
        <f>INDEX('دورة1 دورة2'!B10:BJ30,MATCH("k",'دورة1 دورة2'!B10:B30,0),36)</f>
        <v>د1</v>
      </c>
      <c r="O258" s="146">
        <f>LOOKUP("r",'دورة1 دورة2'!B:B,'دورة1 دورة2'!AU:AU)</f>
        <v>2018</v>
      </c>
      <c r="P258" s="765"/>
      <c r="Q258" s="766"/>
      <c r="R258" s="767"/>
      <c r="S258" s="131"/>
    </row>
    <row r="259" spans="1:19" ht="19.5" customHeight="1" thickBot="1">
      <c r="A259" s="773"/>
      <c r="B259" s="137" t="s">
        <v>129</v>
      </c>
      <c r="C259" s="137" t="s">
        <v>125</v>
      </c>
      <c r="D259" s="137">
        <v>1</v>
      </c>
      <c r="E259" s="137">
        <v>1</v>
      </c>
      <c r="F259" s="591" t="s">
        <v>191</v>
      </c>
      <c r="G259" s="137">
        <v>1</v>
      </c>
      <c r="H259" s="144">
        <v>1</v>
      </c>
      <c r="I259" s="145">
        <f>INDEX('دورة1 دورة2'!B10:BJ30,MATCH("k",'دورة1 دورة2'!B10:B30,0),41)</f>
        <v>5</v>
      </c>
      <c r="J259" s="146">
        <f>IF(I259&lt;10,0,1)</f>
        <v>0</v>
      </c>
      <c r="K259" s="199" t="str">
        <f>INDEX('دورة1 دورة2'!B10:BJ30,MATCH("k",'دورة1 دورة2'!B10:B30,0),43)</f>
        <v>د1</v>
      </c>
      <c r="L259" s="147">
        <f>I259</f>
        <v>5</v>
      </c>
      <c r="M259" s="148">
        <f>J259</f>
        <v>0</v>
      </c>
      <c r="N259" s="199" t="str">
        <f>INDEX('دورة1 دورة2'!B10:BJ30,MATCH("k",'دورة1 دورة2'!B10:B30,0),43)</f>
        <v>د1</v>
      </c>
      <c r="O259" s="146">
        <f>LOOKUP("r",'دورة1 دورة2'!B:B,'دورة1 دورة2'!AU:AU)</f>
        <v>2018</v>
      </c>
      <c r="P259" s="765"/>
      <c r="Q259" s="766"/>
      <c r="R259" s="768"/>
      <c r="S259" s="131"/>
    </row>
    <row r="260" spans="1:19" ht="81" customHeight="1" thickBot="1">
      <c r="A260" s="342" t="s">
        <v>458</v>
      </c>
      <c r="B260" s="137" t="s">
        <v>126</v>
      </c>
      <c r="C260" s="137" t="s">
        <v>122</v>
      </c>
      <c r="D260" s="137">
        <v>18</v>
      </c>
      <c r="E260" s="137">
        <v>7</v>
      </c>
      <c r="F260" s="592" t="s">
        <v>213</v>
      </c>
      <c r="G260" s="137">
        <v>7</v>
      </c>
      <c r="H260" s="144">
        <v>2</v>
      </c>
      <c r="I260" s="145">
        <f>INDEX('دورة1 دورة2'!B10:BJ30,MATCH("k",'دورة1 دورة2'!B10:B30,0),54)</f>
        <v>0</v>
      </c>
      <c r="J260" s="146">
        <f>IF(I260&lt;300,0,30)</f>
        <v>0</v>
      </c>
      <c r="K260" s="199" t="str">
        <f>INDEX('دورة1 دورة2'!B10:BJ30,MATCH("k",'دورة1 دورة2'!B10:B30,0),56)</f>
        <v>د1</v>
      </c>
      <c r="L260" s="147">
        <f>(I260)/30</f>
        <v>0</v>
      </c>
      <c r="M260" s="148">
        <f>IF(L260&lt;10,J260,30)</f>
        <v>0</v>
      </c>
      <c r="N260" s="148" t="str">
        <f>INDEX('دورة1 دورة2'!B10:BJ30,MATCH("k",'دورة1 دورة2'!B10:B30,0),56)</f>
        <v>د1</v>
      </c>
      <c r="O260" s="148" t="e">
        <f>LOOKUP("r",'دورة1 دورة2'!B:B,'دورة1 دورة2'!#REF!)</f>
        <v>#REF!</v>
      </c>
      <c r="P260" s="341">
        <f>(I260)/30</f>
        <v>0</v>
      </c>
      <c r="Q260" s="146">
        <f>IF(P260&lt;10,M260,30)</f>
        <v>0</v>
      </c>
      <c r="R260" s="343" t="str">
        <f>INDEX('دورة1 دورة2'!B10:BJ30,MATCH("k",'دورة1 دورة2'!B10:B30,0),60)</f>
        <v>د1</v>
      </c>
      <c r="S260" s="131"/>
    </row>
    <row r="261" spans="1:18" ht="17.25" customHeight="1" thickBot="1">
      <c r="A261" s="62" t="s">
        <v>150</v>
      </c>
      <c r="B261" s="135">
        <f>(P253+P260)/2</f>
        <v>5.614285714285714</v>
      </c>
      <c r="C261" s="759" t="s">
        <v>461</v>
      </c>
      <c r="D261" s="760"/>
      <c r="E261" s="760"/>
      <c r="F261" s="761"/>
      <c r="G261" s="136">
        <f>Q253+Q260</f>
        <v>30</v>
      </c>
      <c r="H261" s="6"/>
      <c r="I261" s="6"/>
      <c r="J261" s="134" t="s">
        <v>72</v>
      </c>
      <c r="K261" s="6"/>
      <c r="L261" s="6"/>
      <c r="M261" s="6"/>
      <c r="N261" s="6"/>
      <c r="O261" s="6"/>
      <c r="P261" s="583">
        <v>120</v>
      </c>
      <c r="Q261" s="130"/>
      <c r="R261" s="130"/>
    </row>
    <row r="262" spans="1:18" ht="16.5" customHeight="1" thickBot="1">
      <c r="A262" s="62" t="s">
        <v>121</v>
      </c>
      <c r="B262" s="75" t="str">
        <f>IF(B261&lt;10,"راسب(ة)","ناجح(ة)")</f>
        <v>راسب(ة)</v>
      </c>
      <c r="G262" s="129"/>
      <c r="I262" s="80"/>
      <c r="J262" s="134" t="s">
        <v>73</v>
      </c>
      <c r="K262" s="6"/>
      <c r="L262" s="6"/>
      <c r="M262" s="6"/>
      <c r="N262" s="6"/>
      <c r="O262" s="6"/>
      <c r="P262" s="133">
        <v>120</v>
      </c>
      <c r="Q262" s="5"/>
      <c r="R262" s="5"/>
    </row>
    <row r="263" spans="1:7" ht="16.5" customHeight="1">
      <c r="A263" s="62" t="s">
        <v>120</v>
      </c>
      <c r="B263" s="77">
        <f ca="1">TODAY()</f>
        <v>43188</v>
      </c>
      <c r="G263" s="129"/>
    </row>
    <row r="264" spans="1:14" ht="16.5" customHeight="1">
      <c r="A264" s="62" t="s">
        <v>74</v>
      </c>
      <c r="B264" s="8" t="s">
        <v>119</v>
      </c>
      <c r="L264" s="762" t="s">
        <v>29</v>
      </c>
      <c r="M264" s="762"/>
      <c r="N264" s="75"/>
    </row>
    <row r="265" spans="1:17" ht="20.25">
      <c r="A265" s="187" t="s">
        <v>45</v>
      </c>
      <c r="B265" s="188"/>
      <c r="C265" s="188"/>
      <c r="D265" s="188"/>
      <c r="E265" s="188"/>
      <c r="F265" s="188"/>
      <c r="G265" s="188"/>
      <c r="H265" s="189"/>
      <c r="I265" s="189"/>
      <c r="J265" s="189"/>
      <c r="K265" s="189"/>
      <c r="L265" s="189"/>
      <c r="M265" s="78" t="s">
        <v>46</v>
      </c>
      <c r="N265" s="189"/>
      <c r="O265" s="78"/>
      <c r="P265" s="189"/>
      <c r="Q265" s="189"/>
    </row>
    <row r="266" spans="6:10" ht="15" customHeight="1">
      <c r="F266" s="191" t="s">
        <v>47</v>
      </c>
      <c r="G266" s="10" t="s">
        <v>19</v>
      </c>
      <c r="H266" s="10"/>
      <c r="I266" s="10"/>
      <c r="J266" s="10"/>
    </row>
    <row r="267" spans="6:10" ht="15" customHeight="1">
      <c r="F267" s="191" t="s">
        <v>48</v>
      </c>
      <c r="G267" s="10" t="s">
        <v>49</v>
      </c>
      <c r="H267" s="10"/>
      <c r="I267" s="10"/>
      <c r="J267" s="10"/>
    </row>
    <row r="268" spans="6:10" ht="15" customHeight="1">
      <c r="F268" s="191" t="s">
        <v>50</v>
      </c>
      <c r="G268" s="10" t="s">
        <v>51</v>
      </c>
      <c r="H268" s="10"/>
      <c r="I268" s="10"/>
      <c r="J268" s="10"/>
    </row>
    <row r="269" spans="4:11" ht="21" customHeight="1">
      <c r="D269" s="782" t="s">
        <v>99</v>
      </c>
      <c r="E269" s="782"/>
      <c r="F269" s="782"/>
      <c r="G269" s="782"/>
      <c r="H269" s="782"/>
      <c r="I269" s="782"/>
      <c r="J269" s="782"/>
      <c r="K269" s="782"/>
    </row>
    <row r="270" spans="1:18" ht="18">
      <c r="A270" s="2" t="s">
        <v>148</v>
      </c>
      <c r="B270" s="196" t="str">
        <f>B6</f>
        <v>2017/2018</v>
      </c>
      <c r="C270" s="62"/>
      <c r="E270" s="61"/>
      <c r="F270" s="62"/>
      <c r="G270" s="157"/>
      <c r="H270" s="62"/>
      <c r="I270" s="61"/>
      <c r="J270" s="61"/>
      <c r="K270" s="61"/>
      <c r="L270" s="151"/>
      <c r="M270" s="151"/>
      <c r="N270" s="151"/>
      <c r="O270" s="151"/>
      <c r="P270" s="61"/>
      <c r="Q270" s="61"/>
      <c r="R270" s="61"/>
    </row>
    <row r="271" spans="1:18" ht="15.75" customHeight="1">
      <c r="A271" s="62" t="s">
        <v>147</v>
      </c>
      <c r="B271" s="190" t="str">
        <f>INDEX('دورة1 دورة2'!B10:BJ30,MATCH("l",'دورة1 دورة2'!B10:B30,0),3)</f>
        <v>صولي </v>
      </c>
      <c r="C271" s="158" t="s">
        <v>146</v>
      </c>
      <c r="D271" s="186" t="str">
        <f>INDEX('دورة1 دورة2'!B10:BJ30,MATCH("l",'دورة1 دورة2'!B10:B30,0),4)</f>
        <v>هشام</v>
      </c>
      <c r="E271" s="62"/>
      <c r="F271" s="158" t="s">
        <v>52</v>
      </c>
      <c r="G271" s="783">
        <f>INDEX('دورة1 دورة2'!B10:BJ30,MATCH("l",'دورة1 دورة2'!B10:B30,0),6)</f>
        <v>0</v>
      </c>
      <c r="H271" s="783"/>
      <c r="I271" s="783"/>
      <c r="J271" s="61"/>
      <c r="K271" s="132" t="s">
        <v>53</v>
      </c>
      <c r="L271" s="784">
        <f>INDEX('دورة1 دورة2'!B10:BJ30,MATCH("l",'دورة1 دورة2'!B10:B30,0),7)</f>
        <v>0</v>
      </c>
      <c r="M271" s="784"/>
      <c r="O271" s="186"/>
      <c r="P271" s="8" t="s">
        <v>54</v>
      </c>
      <c r="Q271" s="784">
        <f>INDEX('دورة1 دورة2'!B10:BJ30,MATCH("l",'دورة1 دورة2'!B10:B30,0),8)</f>
        <v>0</v>
      </c>
      <c r="R271" s="784"/>
    </row>
    <row r="272" spans="1:18" ht="15" customHeight="1">
      <c r="A272" s="2" t="s">
        <v>149</v>
      </c>
      <c r="B272" s="190">
        <f>INDEX('دورة1 دورة2'!B10:BJ30,MATCH("l",'دورة1 دورة2'!B10:B30,0),5)</f>
        <v>0</v>
      </c>
      <c r="C272" s="166"/>
      <c r="D272" s="9" t="s">
        <v>55</v>
      </c>
      <c r="E272" s="11" t="s">
        <v>56</v>
      </c>
      <c r="F272" s="11"/>
      <c r="G272" s="156"/>
      <c r="H272" s="11"/>
      <c r="I272" s="9"/>
      <c r="J272" s="9" t="s">
        <v>57</v>
      </c>
      <c r="K272" s="9"/>
      <c r="L272" s="11"/>
      <c r="N272" s="4" t="s">
        <v>98</v>
      </c>
      <c r="O272" s="2" t="s">
        <v>98</v>
      </c>
      <c r="P272" s="10" t="s">
        <v>97</v>
      </c>
      <c r="R272" s="61"/>
    </row>
    <row r="273" spans="1:16" ht="15.75" thickBot="1">
      <c r="A273" s="3" t="s">
        <v>58</v>
      </c>
      <c r="B273" s="139" t="s">
        <v>200</v>
      </c>
      <c r="C273" s="139"/>
      <c r="G273" s="129"/>
      <c r="J273" s="4"/>
      <c r="K273" s="4"/>
      <c r="M273" s="4"/>
      <c r="N273" s="4"/>
      <c r="O273" s="126"/>
      <c r="P273" s="126"/>
    </row>
    <row r="274" spans="1:18" ht="24" customHeight="1" thickBot="1" thickTop="1">
      <c r="A274" s="775" t="s">
        <v>25</v>
      </c>
      <c r="B274" s="777" t="s">
        <v>59</v>
      </c>
      <c r="C274" s="777"/>
      <c r="D274" s="778"/>
      <c r="E274" s="777"/>
      <c r="F274" s="777" t="s">
        <v>60</v>
      </c>
      <c r="G274" s="777"/>
      <c r="H274" s="777"/>
      <c r="I274" s="777" t="s">
        <v>61</v>
      </c>
      <c r="J274" s="777"/>
      <c r="K274" s="777"/>
      <c r="L274" s="777"/>
      <c r="M274" s="777"/>
      <c r="N274" s="777"/>
      <c r="O274" s="777"/>
      <c r="P274" s="777"/>
      <c r="Q274" s="777"/>
      <c r="R274" s="779"/>
    </row>
    <row r="275" spans="1:18" ht="15.75" thickBot="1">
      <c r="A275" s="776"/>
      <c r="B275" s="780" t="s">
        <v>63</v>
      </c>
      <c r="C275" s="771" t="s">
        <v>62</v>
      </c>
      <c r="D275" s="149" t="s">
        <v>64</v>
      </c>
      <c r="E275" s="781" t="s">
        <v>65</v>
      </c>
      <c r="F275" s="771" t="s">
        <v>66</v>
      </c>
      <c r="G275" s="138" t="s">
        <v>64</v>
      </c>
      <c r="H275" s="771" t="s">
        <v>65</v>
      </c>
      <c r="I275" s="771" t="s">
        <v>67</v>
      </c>
      <c r="J275" s="771"/>
      <c r="K275" s="771"/>
      <c r="L275" s="771" t="s">
        <v>68</v>
      </c>
      <c r="M275" s="771"/>
      <c r="N275" s="771"/>
      <c r="O275" s="771"/>
      <c r="P275" s="771" t="s">
        <v>25</v>
      </c>
      <c r="Q275" s="771"/>
      <c r="R275" s="772"/>
    </row>
    <row r="276" spans="1:21" ht="15.75" thickBot="1">
      <c r="A276" s="776"/>
      <c r="B276" s="780"/>
      <c r="C276" s="771"/>
      <c r="D276" s="150" t="s">
        <v>69</v>
      </c>
      <c r="E276" s="781"/>
      <c r="F276" s="771"/>
      <c r="G276" s="138" t="s">
        <v>69</v>
      </c>
      <c r="H276" s="771"/>
      <c r="I276" s="133" t="s">
        <v>70</v>
      </c>
      <c r="J276" s="133" t="s">
        <v>100</v>
      </c>
      <c r="K276" s="133" t="s">
        <v>96</v>
      </c>
      <c r="L276" s="133" t="s">
        <v>70</v>
      </c>
      <c r="M276" s="133" t="s">
        <v>100</v>
      </c>
      <c r="N276" s="133" t="s">
        <v>96</v>
      </c>
      <c r="O276" s="133" t="s">
        <v>93</v>
      </c>
      <c r="P276" s="133" t="s">
        <v>70</v>
      </c>
      <c r="Q276" s="133" t="s">
        <v>100</v>
      </c>
      <c r="R276" s="140" t="s">
        <v>96</v>
      </c>
      <c r="U276" s="134"/>
    </row>
    <row r="277" spans="1:21" ht="19.5" customHeight="1" thickBot="1">
      <c r="A277" s="773" t="s">
        <v>457</v>
      </c>
      <c r="B277" s="769" t="s">
        <v>126</v>
      </c>
      <c r="C277" s="769" t="s">
        <v>122</v>
      </c>
      <c r="D277" s="774">
        <v>18</v>
      </c>
      <c r="E277" s="769">
        <v>7</v>
      </c>
      <c r="F277" s="588" t="s">
        <v>205</v>
      </c>
      <c r="G277" s="137">
        <v>7</v>
      </c>
      <c r="H277" s="144">
        <v>3</v>
      </c>
      <c r="I277" s="145">
        <f>INDEX('دورة1 دورة2'!B10:BJ30,MATCH("l",'دورة1 دورة2'!B10:B30,0),9)</f>
        <v>42</v>
      </c>
      <c r="J277" s="146">
        <f>IF(I277&lt;30,0,7)</f>
        <v>7</v>
      </c>
      <c r="K277" s="199" t="str">
        <f>INDEX('دورة1 دورة2'!B10:BJ30,MATCH("l",'دورة1 دورة2'!B10:B30,0),11)</f>
        <v>د1</v>
      </c>
      <c r="L277" s="770">
        <f>(I277+I278+I279)/7</f>
        <v>11.5</v>
      </c>
      <c r="M277" s="763">
        <f>IF(L277&lt;10,J277+J278+J279,18)</f>
        <v>18</v>
      </c>
      <c r="N277" s="763" t="str">
        <f>INDEX('دورة1 دورة2'!B10:BJ30,MATCH("l",'دورة1 دورة2'!B10:B30,0),20)</f>
        <v>د1</v>
      </c>
      <c r="O277" s="763">
        <f>LOOKUP("r",'دورة1 دورة2'!B:B,'دورة1 دورة2'!AG:AG)</f>
        <v>2018</v>
      </c>
      <c r="P277" s="765">
        <f>(I277+I278+I279+I280+I281+I282+I283)/14</f>
        <v>10.714285714285714</v>
      </c>
      <c r="Q277" s="766">
        <f>IF(P277&lt;10,M277+M280+M282+M283,30)</f>
        <v>30</v>
      </c>
      <c r="R277" s="767" t="str">
        <f>INDEX('دورة1 دورة2'!B10:BJ30,MATCH("l",'دورة1 دورة2'!B10:B30,0),51)</f>
        <v>د1</v>
      </c>
      <c r="S277" s="764"/>
      <c r="U277" s="134"/>
    </row>
    <row r="278" spans="1:19" ht="19.5" customHeight="1" thickBot="1">
      <c r="A278" s="773"/>
      <c r="B278" s="769"/>
      <c r="C278" s="769"/>
      <c r="D278" s="769"/>
      <c r="E278" s="769"/>
      <c r="F278" s="589" t="s">
        <v>206</v>
      </c>
      <c r="G278" s="137">
        <v>6</v>
      </c>
      <c r="H278" s="144">
        <v>2</v>
      </c>
      <c r="I278" s="145">
        <f>INDEX('دورة1 دورة2'!B10:BJ30,MATCH("l",'دورة1 دورة2'!B10:B30,0),12)</f>
        <v>16</v>
      </c>
      <c r="J278" s="146">
        <f>IF(I278&lt;20,0,6)</f>
        <v>0</v>
      </c>
      <c r="K278" s="199" t="str">
        <f>INDEX('دورة1 دورة2'!B10:BJ30,MATCH("l",'دورة1 دورة2'!B10:B30,0),14)</f>
        <v>د1</v>
      </c>
      <c r="L278" s="770"/>
      <c r="M278" s="763"/>
      <c r="N278" s="763"/>
      <c r="O278" s="763"/>
      <c r="P278" s="765"/>
      <c r="Q278" s="766"/>
      <c r="R278" s="767"/>
      <c r="S278" s="764"/>
    </row>
    <row r="279" spans="1:19" ht="19.5" customHeight="1" thickBot="1">
      <c r="A279" s="773"/>
      <c r="B279" s="769"/>
      <c r="C279" s="769"/>
      <c r="D279" s="769"/>
      <c r="E279" s="769"/>
      <c r="F279" s="589" t="s">
        <v>207</v>
      </c>
      <c r="G279" s="137">
        <v>5</v>
      </c>
      <c r="H279" s="144">
        <v>2</v>
      </c>
      <c r="I279" s="145">
        <f>INDEX('دورة1 دورة2'!B10:BJ30,MATCH("l",'دورة1 دورة2'!B10:B30,0),15)</f>
        <v>22.5</v>
      </c>
      <c r="J279" s="146">
        <f>IF(I279&lt;20,0,5)</f>
        <v>5</v>
      </c>
      <c r="K279" s="199" t="str">
        <f>INDEX('دورة1 دورة2'!B10:BJ30,MATCH("l",'دورة1 دورة2'!B10:B30,0),17)</f>
        <v>د1</v>
      </c>
      <c r="L279" s="770"/>
      <c r="M279" s="763"/>
      <c r="N279" s="763"/>
      <c r="O279" s="763"/>
      <c r="P279" s="765"/>
      <c r="Q279" s="766"/>
      <c r="R279" s="767"/>
      <c r="S279" s="764"/>
    </row>
    <row r="280" spans="1:19" ht="19.5" customHeight="1" thickBot="1">
      <c r="A280" s="773"/>
      <c r="B280" s="769" t="s">
        <v>127</v>
      </c>
      <c r="C280" s="769" t="s">
        <v>123</v>
      </c>
      <c r="D280" s="769">
        <v>9</v>
      </c>
      <c r="E280" s="769">
        <v>4</v>
      </c>
      <c r="F280" s="590" t="s">
        <v>208</v>
      </c>
      <c r="G280" s="137">
        <v>5</v>
      </c>
      <c r="H280" s="144">
        <v>2</v>
      </c>
      <c r="I280" s="145">
        <f>INDEX('دورة1 دورة2'!B10:BJ30,MATCH("l",'دورة1 دورة2'!B10:B30,0),23)</f>
        <v>16</v>
      </c>
      <c r="J280" s="146">
        <f>IF(I280&lt;20,0,5)</f>
        <v>0</v>
      </c>
      <c r="K280" s="199" t="str">
        <f>INDEX('دورة1 دورة2'!B10:BJ30,MATCH("l",'دورة1 دورة2'!B10:B30,0),25)</f>
        <v>د1</v>
      </c>
      <c r="L280" s="770">
        <f>(I281+I280)/4</f>
        <v>9.25</v>
      </c>
      <c r="M280" s="763">
        <f>IF(L280&lt;10,J281+J280,9)</f>
        <v>4</v>
      </c>
      <c r="N280" s="763" t="str">
        <f>INDEX('دورة1 دورة2'!B10:BJ30,MATCH("l",'دورة1 دورة2'!B10:B30,0),31)</f>
        <v>د1</v>
      </c>
      <c r="O280" s="763">
        <f>LOOKUP("r",'دورة1 دورة2'!B:B,'دورة1 دورة2'!AN:AN)</f>
        <v>2018</v>
      </c>
      <c r="P280" s="765"/>
      <c r="Q280" s="766"/>
      <c r="R280" s="767"/>
      <c r="S280" s="764"/>
    </row>
    <row r="281" spans="1:19" ht="19.5" customHeight="1" thickBot="1">
      <c r="A281" s="773"/>
      <c r="B281" s="769"/>
      <c r="C281" s="769"/>
      <c r="D281" s="769"/>
      <c r="E281" s="769"/>
      <c r="F281" s="589" t="s">
        <v>209</v>
      </c>
      <c r="G281" s="137">
        <v>4</v>
      </c>
      <c r="H281" s="144">
        <v>2</v>
      </c>
      <c r="I281" s="145">
        <f>INDEX('دورة1 دورة2'!B10:BJ30,MATCH("l",'دورة1 دورة2'!B10:B30,0),26)</f>
        <v>21</v>
      </c>
      <c r="J281" s="146">
        <f>IF(I281&lt;20,0,4)</f>
        <v>4</v>
      </c>
      <c r="K281" s="199" t="str">
        <f>INDEX('دورة1 دورة2'!B10:BJ30,MATCH("l",'دورة1 دورة2'!B10:B30,0),28)</f>
        <v>د1</v>
      </c>
      <c r="L281" s="770"/>
      <c r="M281" s="763"/>
      <c r="N281" s="763"/>
      <c r="O281" s="763"/>
      <c r="P281" s="765"/>
      <c r="Q281" s="766"/>
      <c r="R281" s="767"/>
      <c r="S281" s="764"/>
    </row>
    <row r="282" spans="1:19" ht="19.5" customHeight="1" thickBot="1">
      <c r="A282" s="773"/>
      <c r="B282" s="137" t="s">
        <v>128</v>
      </c>
      <c r="C282" s="137" t="s">
        <v>124</v>
      </c>
      <c r="D282" s="137">
        <v>2</v>
      </c>
      <c r="E282" s="137">
        <v>2</v>
      </c>
      <c r="F282" s="589" t="s">
        <v>211</v>
      </c>
      <c r="G282" s="137">
        <v>2</v>
      </c>
      <c r="H282" s="144">
        <v>2</v>
      </c>
      <c r="I282" s="145">
        <f>INDEX('دورة1 دورة2'!B10:BJ30,MATCH("l",'دورة1 دورة2'!B10:B30,0),34)</f>
        <v>24.5</v>
      </c>
      <c r="J282" s="146">
        <f>IF(I282&lt;20,0,2)</f>
        <v>2</v>
      </c>
      <c r="K282" s="199" t="str">
        <f>INDEX('دورة1 دورة2'!B10:BJ30,MATCH("l",'دورة1 دورة2'!B10:B30,0),36)</f>
        <v>د1</v>
      </c>
      <c r="L282" s="147">
        <f>I282/2</f>
        <v>12.25</v>
      </c>
      <c r="M282" s="148">
        <f>J282</f>
        <v>2</v>
      </c>
      <c r="N282" s="199" t="str">
        <f>INDEX('دورة1 دورة2'!B10:BJ30,MATCH("l",'دورة1 دورة2'!B10:B30,0),36)</f>
        <v>د1</v>
      </c>
      <c r="O282" s="146">
        <f>LOOKUP("r",'دورة1 دورة2'!B:B,'دورة1 دورة2'!AU:AU)</f>
        <v>2018</v>
      </c>
      <c r="P282" s="765"/>
      <c r="Q282" s="766"/>
      <c r="R282" s="767"/>
      <c r="S282" s="131"/>
    </row>
    <row r="283" spans="1:19" ht="19.5" customHeight="1" thickBot="1">
      <c r="A283" s="773"/>
      <c r="B283" s="137" t="s">
        <v>129</v>
      </c>
      <c r="C283" s="137" t="s">
        <v>125</v>
      </c>
      <c r="D283" s="137">
        <v>1</v>
      </c>
      <c r="E283" s="137">
        <v>1</v>
      </c>
      <c r="F283" s="591" t="s">
        <v>191</v>
      </c>
      <c r="G283" s="137">
        <v>1</v>
      </c>
      <c r="H283" s="144">
        <v>1</v>
      </c>
      <c r="I283" s="145">
        <f>INDEX('دورة1 دورة2'!B10:BJ30,MATCH("l",'دورة1 دورة2'!B10:B30,0),41)</f>
        <v>8</v>
      </c>
      <c r="J283" s="146">
        <f>IF(I283&lt;10,0,1)</f>
        <v>0</v>
      </c>
      <c r="K283" s="199" t="str">
        <f>INDEX('دورة1 دورة2'!B10:BJ30,MATCH("l",'دورة1 دورة2'!B10:B30,0),43)</f>
        <v>د1</v>
      </c>
      <c r="L283" s="147">
        <f>I283</f>
        <v>8</v>
      </c>
      <c r="M283" s="148">
        <f>J283</f>
        <v>0</v>
      </c>
      <c r="N283" s="199" t="str">
        <f>INDEX('دورة1 دورة2'!B10:BJ30,MATCH("l",'دورة1 دورة2'!B10:B30,0),43)</f>
        <v>د1</v>
      </c>
      <c r="O283" s="146">
        <f>LOOKUP("r",'دورة1 دورة2'!B:B,'دورة1 دورة2'!AU:AU)</f>
        <v>2018</v>
      </c>
      <c r="P283" s="765"/>
      <c r="Q283" s="766"/>
      <c r="R283" s="768"/>
      <c r="S283" s="131"/>
    </row>
    <row r="284" spans="1:19" ht="77.25" customHeight="1" thickBot="1">
      <c r="A284" s="342" t="s">
        <v>458</v>
      </c>
      <c r="B284" s="137" t="s">
        <v>126</v>
      </c>
      <c r="C284" s="137" t="s">
        <v>122</v>
      </c>
      <c r="D284" s="137">
        <v>18</v>
      </c>
      <c r="E284" s="137">
        <v>7</v>
      </c>
      <c r="F284" s="592" t="s">
        <v>213</v>
      </c>
      <c r="G284" s="137">
        <v>7</v>
      </c>
      <c r="H284" s="144">
        <v>2</v>
      </c>
      <c r="I284" s="145">
        <f>INDEX('دورة1 دورة2'!B10:BJ30,MATCH("l",'دورة1 دورة2'!B10:B30,0),54)</f>
        <v>0</v>
      </c>
      <c r="J284" s="146">
        <f>IF(I284&lt;300,0,30)</f>
        <v>0</v>
      </c>
      <c r="K284" s="199" t="str">
        <f>INDEX('دورة1 دورة2'!B10:BJ30,MATCH("l",'دورة1 دورة2'!B10:B30,0),56)</f>
        <v>د1</v>
      </c>
      <c r="L284" s="147">
        <f>(I284)/30</f>
        <v>0</v>
      </c>
      <c r="M284" s="148">
        <f>IF(L284&lt;10,J284,30)</f>
        <v>0</v>
      </c>
      <c r="N284" s="148" t="str">
        <f>INDEX('دورة1 دورة2'!B10:BJ30,MATCH("l",'دورة1 دورة2'!B10:B30,0),56)</f>
        <v>د1</v>
      </c>
      <c r="O284" s="148" t="e">
        <f>LOOKUP("r",'دورة1 دورة2'!B:B,'دورة1 دورة2'!#REF!)</f>
        <v>#REF!</v>
      </c>
      <c r="P284" s="341">
        <f>(I284)/30</f>
        <v>0</v>
      </c>
      <c r="Q284" s="146">
        <f>IF(P284&lt;10,M284,30)</f>
        <v>0</v>
      </c>
      <c r="R284" s="343" t="str">
        <f>INDEX('دورة1 دورة2'!B10:BJ30,MATCH("l",'دورة1 دورة2'!B10:B30,0),60)</f>
        <v>د1</v>
      </c>
      <c r="S284" s="131"/>
    </row>
    <row r="285" spans="1:18" ht="17.25" customHeight="1" thickBot="1">
      <c r="A285" s="62" t="s">
        <v>150</v>
      </c>
      <c r="B285" s="135">
        <f>(P277+P284)/2</f>
        <v>5.357142857142857</v>
      </c>
      <c r="C285" s="759" t="s">
        <v>461</v>
      </c>
      <c r="D285" s="760"/>
      <c r="E285" s="760"/>
      <c r="F285" s="761"/>
      <c r="G285" s="136">
        <f>Q277+Q284</f>
        <v>30</v>
      </c>
      <c r="H285" s="6"/>
      <c r="I285" s="6"/>
      <c r="J285" s="134" t="s">
        <v>72</v>
      </c>
      <c r="K285" s="6"/>
      <c r="L285" s="6"/>
      <c r="M285" s="6"/>
      <c r="N285" s="6"/>
      <c r="O285" s="6"/>
      <c r="P285" s="583">
        <v>120</v>
      </c>
      <c r="Q285" s="130"/>
      <c r="R285" s="130"/>
    </row>
    <row r="286" spans="1:18" ht="16.5" customHeight="1" thickBot="1">
      <c r="A286" s="62" t="s">
        <v>121</v>
      </c>
      <c r="B286" s="75" t="str">
        <f>IF(B285&lt;10,"راسب(ة)","ناجح(ة)")</f>
        <v>راسب(ة)</v>
      </c>
      <c r="G286" s="129"/>
      <c r="I286" s="80"/>
      <c r="J286" s="134" t="s">
        <v>73</v>
      </c>
      <c r="K286" s="6"/>
      <c r="L286" s="6"/>
      <c r="M286" s="6"/>
      <c r="N286" s="6"/>
      <c r="O286" s="6"/>
      <c r="P286" s="133">
        <v>120</v>
      </c>
      <c r="Q286" s="5"/>
      <c r="R286" s="5"/>
    </row>
    <row r="287" spans="1:7" ht="16.5" customHeight="1">
      <c r="A287" s="62" t="s">
        <v>120</v>
      </c>
      <c r="B287" s="77">
        <f ca="1">TODAY()</f>
        <v>43188</v>
      </c>
      <c r="G287" s="129"/>
    </row>
    <row r="288" spans="1:14" ht="16.5" customHeight="1">
      <c r="A288" s="62" t="s">
        <v>74</v>
      </c>
      <c r="B288" s="8" t="s">
        <v>119</v>
      </c>
      <c r="L288" s="762" t="s">
        <v>29</v>
      </c>
      <c r="M288" s="762"/>
      <c r="N288" s="75"/>
    </row>
    <row r="289" spans="1:17" ht="20.25">
      <c r="A289" s="187" t="s">
        <v>45</v>
      </c>
      <c r="B289" s="188"/>
      <c r="C289" s="188"/>
      <c r="D289" s="188"/>
      <c r="E289" s="188"/>
      <c r="F289" s="188"/>
      <c r="G289" s="188"/>
      <c r="H289" s="189"/>
      <c r="I289" s="189"/>
      <c r="J289" s="189"/>
      <c r="K289" s="189"/>
      <c r="L289" s="189"/>
      <c r="M289" s="78" t="s">
        <v>46</v>
      </c>
      <c r="N289" s="189"/>
      <c r="O289" s="78"/>
      <c r="P289" s="189"/>
      <c r="Q289" s="189"/>
    </row>
    <row r="290" spans="6:10" ht="15" customHeight="1">
      <c r="F290" s="191" t="s">
        <v>47</v>
      </c>
      <c r="G290" s="10" t="s">
        <v>19</v>
      </c>
      <c r="H290" s="10"/>
      <c r="I290" s="10"/>
      <c r="J290" s="10"/>
    </row>
    <row r="291" spans="6:10" ht="15" customHeight="1">
      <c r="F291" s="191" t="s">
        <v>48</v>
      </c>
      <c r="G291" s="10" t="s">
        <v>49</v>
      </c>
      <c r="H291" s="10"/>
      <c r="I291" s="10"/>
      <c r="J291" s="10"/>
    </row>
    <row r="292" spans="6:10" ht="15" customHeight="1">
      <c r="F292" s="191" t="s">
        <v>50</v>
      </c>
      <c r="G292" s="10" t="s">
        <v>51</v>
      </c>
      <c r="H292" s="10"/>
      <c r="I292" s="10"/>
      <c r="J292" s="10"/>
    </row>
    <row r="293" spans="4:11" ht="21" customHeight="1">
      <c r="D293" s="782" t="s">
        <v>99</v>
      </c>
      <c r="E293" s="782"/>
      <c r="F293" s="782"/>
      <c r="G293" s="782"/>
      <c r="H293" s="782"/>
      <c r="I293" s="782"/>
      <c r="J293" s="782"/>
      <c r="K293" s="782"/>
    </row>
    <row r="294" spans="1:18" ht="18">
      <c r="A294" s="2" t="s">
        <v>148</v>
      </c>
      <c r="B294" s="196" t="str">
        <f>B6</f>
        <v>2017/2018</v>
      </c>
      <c r="C294" s="62"/>
      <c r="E294" s="61"/>
      <c r="F294" s="62"/>
      <c r="G294" s="157"/>
      <c r="H294" s="62"/>
      <c r="I294" s="61"/>
      <c r="J294" s="61"/>
      <c r="K294" s="61"/>
      <c r="L294" s="151"/>
      <c r="M294" s="151"/>
      <c r="N294" s="151"/>
      <c r="O294" s="151"/>
      <c r="P294" s="61"/>
      <c r="Q294" s="61"/>
      <c r="R294" s="61"/>
    </row>
    <row r="295" spans="1:18" ht="15.75" customHeight="1">
      <c r="A295" s="62" t="s">
        <v>147</v>
      </c>
      <c r="B295" s="190" t="str">
        <f>INDEX('دورة1 دورة2'!B10:BJ30,MATCH("m",'دورة1 دورة2'!B10:B30,0),3)</f>
        <v>عطيل</v>
      </c>
      <c r="C295" s="158" t="s">
        <v>146</v>
      </c>
      <c r="D295" s="186" t="str">
        <f>INDEX('دورة1 دورة2'!B10:BJ30,MATCH("m",'دورة1 دورة2'!B10:B30,0),4)</f>
        <v>آسيا</v>
      </c>
      <c r="E295" s="62"/>
      <c r="F295" s="158" t="s">
        <v>52</v>
      </c>
      <c r="G295" s="783">
        <f>INDEX('دورة1 دورة2'!B10:BJ30,MATCH("m",'دورة1 دورة2'!B10:B30,0),6)</f>
        <v>0</v>
      </c>
      <c r="H295" s="783"/>
      <c r="I295" s="783"/>
      <c r="J295" s="61"/>
      <c r="K295" s="132" t="s">
        <v>53</v>
      </c>
      <c r="L295" s="784">
        <f>INDEX('دورة1 دورة2'!B10:BJ30,MATCH("m",'دورة1 دورة2'!B10:B30,0),7)</f>
        <v>0</v>
      </c>
      <c r="M295" s="784"/>
      <c r="O295" s="186"/>
      <c r="P295" s="8" t="s">
        <v>54</v>
      </c>
      <c r="Q295" s="784">
        <f>INDEX('دورة1 دورة2'!B10:BJ30,MATCH("m",'دورة1 دورة2'!B10:B30,0),8)</f>
        <v>0</v>
      </c>
      <c r="R295" s="784"/>
    </row>
    <row r="296" spans="1:18" ht="15" customHeight="1">
      <c r="A296" s="2" t="s">
        <v>149</v>
      </c>
      <c r="B296" s="190">
        <f>INDEX('دورة1 دورة2'!B10:BJ30,MATCH("m",'دورة1 دورة2'!B10:B30,0),5)</f>
        <v>0</v>
      </c>
      <c r="C296" s="166"/>
      <c r="D296" s="9" t="s">
        <v>55</v>
      </c>
      <c r="E296" s="11" t="s">
        <v>56</v>
      </c>
      <c r="F296" s="11"/>
      <c r="G296" s="156"/>
      <c r="H296" s="11"/>
      <c r="I296" s="9"/>
      <c r="J296" s="9" t="s">
        <v>57</v>
      </c>
      <c r="K296" s="9"/>
      <c r="L296" s="11"/>
      <c r="N296" s="4" t="s">
        <v>98</v>
      </c>
      <c r="O296" s="2" t="s">
        <v>98</v>
      </c>
      <c r="P296" s="10" t="s">
        <v>97</v>
      </c>
      <c r="R296" s="61"/>
    </row>
    <row r="297" spans="1:16" ht="15.75" thickBot="1">
      <c r="A297" s="3" t="s">
        <v>58</v>
      </c>
      <c r="B297" s="139" t="s">
        <v>200</v>
      </c>
      <c r="C297" s="139"/>
      <c r="G297" s="129"/>
      <c r="J297" s="4"/>
      <c r="K297" s="4"/>
      <c r="M297" s="4"/>
      <c r="N297" s="4"/>
      <c r="O297" s="126"/>
      <c r="P297" s="126"/>
    </row>
    <row r="298" spans="1:18" ht="27.75" customHeight="1" thickBot="1" thickTop="1">
      <c r="A298" s="775" t="s">
        <v>25</v>
      </c>
      <c r="B298" s="777" t="s">
        <v>59</v>
      </c>
      <c r="C298" s="777"/>
      <c r="D298" s="778"/>
      <c r="E298" s="777"/>
      <c r="F298" s="777" t="s">
        <v>60</v>
      </c>
      <c r="G298" s="777"/>
      <c r="H298" s="777"/>
      <c r="I298" s="777" t="s">
        <v>61</v>
      </c>
      <c r="J298" s="777"/>
      <c r="K298" s="777"/>
      <c r="L298" s="777"/>
      <c r="M298" s="777"/>
      <c r="N298" s="777"/>
      <c r="O298" s="777"/>
      <c r="P298" s="777"/>
      <c r="Q298" s="777"/>
      <c r="R298" s="779"/>
    </row>
    <row r="299" spans="1:18" ht="15.75" thickBot="1">
      <c r="A299" s="776"/>
      <c r="B299" s="780" t="s">
        <v>63</v>
      </c>
      <c r="C299" s="771" t="s">
        <v>62</v>
      </c>
      <c r="D299" s="149" t="s">
        <v>64</v>
      </c>
      <c r="E299" s="781" t="s">
        <v>65</v>
      </c>
      <c r="F299" s="771" t="s">
        <v>66</v>
      </c>
      <c r="G299" s="138" t="s">
        <v>64</v>
      </c>
      <c r="H299" s="771" t="s">
        <v>65</v>
      </c>
      <c r="I299" s="771" t="s">
        <v>67</v>
      </c>
      <c r="J299" s="771"/>
      <c r="K299" s="771"/>
      <c r="L299" s="771" t="s">
        <v>68</v>
      </c>
      <c r="M299" s="771"/>
      <c r="N299" s="771"/>
      <c r="O299" s="771"/>
      <c r="P299" s="771" t="s">
        <v>25</v>
      </c>
      <c r="Q299" s="771"/>
      <c r="R299" s="772"/>
    </row>
    <row r="300" spans="1:21" ht="15.75" thickBot="1">
      <c r="A300" s="776"/>
      <c r="B300" s="780"/>
      <c r="C300" s="771"/>
      <c r="D300" s="150" t="s">
        <v>69</v>
      </c>
      <c r="E300" s="781"/>
      <c r="F300" s="771"/>
      <c r="G300" s="138" t="s">
        <v>69</v>
      </c>
      <c r="H300" s="771"/>
      <c r="I300" s="133" t="s">
        <v>70</v>
      </c>
      <c r="J300" s="133" t="s">
        <v>100</v>
      </c>
      <c r="K300" s="133" t="s">
        <v>96</v>
      </c>
      <c r="L300" s="133" t="s">
        <v>70</v>
      </c>
      <c r="M300" s="133" t="s">
        <v>100</v>
      </c>
      <c r="N300" s="133" t="s">
        <v>96</v>
      </c>
      <c r="O300" s="133" t="s">
        <v>93</v>
      </c>
      <c r="P300" s="133" t="s">
        <v>70</v>
      </c>
      <c r="Q300" s="133" t="s">
        <v>100</v>
      </c>
      <c r="R300" s="140" t="s">
        <v>96</v>
      </c>
      <c r="U300" s="134"/>
    </row>
    <row r="301" spans="1:21" ht="18.75" customHeight="1" thickBot="1">
      <c r="A301" s="773" t="s">
        <v>457</v>
      </c>
      <c r="B301" s="769" t="s">
        <v>126</v>
      </c>
      <c r="C301" s="769" t="s">
        <v>122</v>
      </c>
      <c r="D301" s="774">
        <v>18</v>
      </c>
      <c r="E301" s="769">
        <v>7</v>
      </c>
      <c r="F301" s="588" t="s">
        <v>205</v>
      </c>
      <c r="G301" s="137">
        <v>7</v>
      </c>
      <c r="H301" s="144">
        <v>3</v>
      </c>
      <c r="I301" s="145">
        <f>INDEX('دورة1 دورة2'!B10:BJ30,MATCH("m",'دورة1 دورة2'!B10:B30,0),9)</f>
        <v>49.5</v>
      </c>
      <c r="J301" s="146">
        <f>IF(I301&lt;30,0,7)</f>
        <v>7</v>
      </c>
      <c r="K301" s="199" t="str">
        <f>INDEX('دورة1 دورة2'!B10:BJ30,MATCH("m",'دورة1 دورة2'!B10:B30,0),11)</f>
        <v>د1</v>
      </c>
      <c r="L301" s="770">
        <f>(I301+I302+I303)/7</f>
        <v>16.071428571428573</v>
      </c>
      <c r="M301" s="763">
        <f>IF(L301&lt;10,J301+J302+J303,18)</f>
        <v>18</v>
      </c>
      <c r="N301" s="763" t="str">
        <f>INDEX('دورة1 دورة2'!B10:BJ30,MATCH("m",'دورة1 دورة2'!B10:B30,0),20)</f>
        <v>د1</v>
      </c>
      <c r="O301" s="763">
        <f>LOOKUP("r",'دورة1 دورة2'!B:B,'دورة1 دورة2'!AG:AG)</f>
        <v>2018</v>
      </c>
      <c r="P301" s="765">
        <f>(I301+I302+I303+I304+I305+I306+I307)/14</f>
        <v>15.510714285714286</v>
      </c>
      <c r="Q301" s="766">
        <f>IF(P301&lt;10,M301+M304+M306+M307,30)</f>
        <v>30</v>
      </c>
      <c r="R301" s="767" t="str">
        <f>INDEX('دورة1 دورة2'!B10:BJ30,MATCH("m",'دورة1 دورة2'!B10:B30,0),51)</f>
        <v>د1</v>
      </c>
      <c r="S301" s="764"/>
      <c r="U301" s="134"/>
    </row>
    <row r="302" spans="1:19" ht="18.75" customHeight="1" thickBot="1">
      <c r="A302" s="773"/>
      <c r="B302" s="769"/>
      <c r="C302" s="769"/>
      <c r="D302" s="769"/>
      <c r="E302" s="769"/>
      <c r="F302" s="589" t="s">
        <v>206</v>
      </c>
      <c r="G302" s="137">
        <v>6</v>
      </c>
      <c r="H302" s="144">
        <v>2</v>
      </c>
      <c r="I302" s="145">
        <f>INDEX('دورة1 دورة2'!B10:BJ30,MATCH("m",'دورة1 دورة2'!B10:B30,0),12)</f>
        <v>31</v>
      </c>
      <c r="J302" s="146">
        <f>IF(I302&lt;20,0,6)</f>
        <v>6</v>
      </c>
      <c r="K302" s="199" t="str">
        <f>INDEX('دورة1 دورة2'!B10:BJ30,MATCH("m",'دورة1 دورة2'!B10:B30,0),14)</f>
        <v>د1</v>
      </c>
      <c r="L302" s="770"/>
      <c r="M302" s="763"/>
      <c r="N302" s="763"/>
      <c r="O302" s="763"/>
      <c r="P302" s="765"/>
      <c r="Q302" s="766"/>
      <c r="R302" s="767"/>
      <c r="S302" s="764"/>
    </row>
    <row r="303" spans="1:19" ht="18.75" customHeight="1" thickBot="1">
      <c r="A303" s="773"/>
      <c r="B303" s="769"/>
      <c r="C303" s="769"/>
      <c r="D303" s="769"/>
      <c r="E303" s="769"/>
      <c r="F303" s="589" t="s">
        <v>207</v>
      </c>
      <c r="G303" s="137">
        <v>5</v>
      </c>
      <c r="H303" s="144">
        <v>2</v>
      </c>
      <c r="I303" s="145">
        <f>INDEX('دورة1 دورة2'!B10:BJ30,MATCH("m",'دورة1 دورة2'!B10:B30,0),15)</f>
        <v>32</v>
      </c>
      <c r="J303" s="146">
        <f>IF(I303&lt;20,0,5)</f>
        <v>5</v>
      </c>
      <c r="K303" s="199" t="str">
        <f>INDEX('دورة1 دورة2'!B10:BJ30,MATCH("m",'دورة1 دورة2'!B10:B30,0),17)</f>
        <v>د1</v>
      </c>
      <c r="L303" s="770"/>
      <c r="M303" s="763"/>
      <c r="N303" s="763"/>
      <c r="O303" s="763"/>
      <c r="P303" s="765"/>
      <c r="Q303" s="766"/>
      <c r="R303" s="767"/>
      <c r="S303" s="764"/>
    </row>
    <row r="304" spans="1:19" ht="18.75" customHeight="1" thickBot="1">
      <c r="A304" s="773"/>
      <c r="B304" s="769" t="s">
        <v>127</v>
      </c>
      <c r="C304" s="769" t="s">
        <v>123</v>
      </c>
      <c r="D304" s="769">
        <v>9</v>
      </c>
      <c r="E304" s="769">
        <v>4</v>
      </c>
      <c r="F304" s="590" t="s">
        <v>208</v>
      </c>
      <c r="G304" s="137">
        <v>5</v>
      </c>
      <c r="H304" s="144">
        <v>2</v>
      </c>
      <c r="I304" s="145">
        <f>INDEX('دورة1 دورة2'!B10:BJ30,MATCH("m",'دورة1 دورة2'!B10:B30,0),23)</f>
        <v>35.4</v>
      </c>
      <c r="J304" s="146">
        <f>IF(I304&lt;20,0,5)</f>
        <v>5</v>
      </c>
      <c r="K304" s="199" t="str">
        <f>INDEX('دورة1 دورة2'!B10:BJ30,MATCH("m",'دورة1 دورة2'!B10:B30,0),25)</f>
        <v>د1</v>
      </c>
      <c r="L304" s="770">
        <f>(I305+I304)/4</f>
        <v>15.725</v>
      </c>
      <c r="M304" s="763">
        <f>IF(L304&lt;10,J305+J304,9)</f>
        <v>9</v>
      </c>
      <c r="N304" s="763" t="str">
        <f>INDEX('دورة1 دورة2'!B10:BJ30,MATCH("m",'دورة1 دورة2'!B10:B30,0),31)</f>
        <v>د1</v>
      </c>
      <c r="O304" s="763">
        <f>LOOKUP("r",'دورة1 دورة2'!B:B,'دورة1 دورة2'!AN:AN)</f>
        <v>2018</v>
      </c>
      <c r="P304" s="765"/>
      <c r="Q304" s="766"/>
      <c r="R304" s="767"/>
      <c r="S304" s="764"/>
    </row>
    <row r="305" spans="1:19" ht="18.75" customHeight="1" thickBot="1">
      <c r="A305" s="773"/>
      <c r="B305" s="769"/>
      <c r="C305" s="769"/>
      <c r="D305" s="769"/>
      <c r="E305" s="769"/>
      <c r="F305" s="589" t="s">
        <v>209</v>
      </c>
      <c r="G305" s="137">
        <v>4</v>
      </c>
      <c r="H305" s="144">
        <v>2</v>
      </c>
      <c r="I305" s="145">
        <f>INDEX('دورة1 دورة2'!B10:BJ30,MATCH("m",'دورة1 دورة2'!B10:B30,0),26)</f>
        <v>27.5</v>
      </c>
      <c r="J305" s="146">
        <f>IF(I305&lt;20,0,4)</f>
        <v>4</v>
      </c>
      <c r="K305" s="199" t="str">
        <f>INDEX('دورة1 دورة2'!B10:BJ30,MATCH("m",'دورة1 دورة2'!B10:B30,0),28)</f>
        <v>د1</v>
      </c>
      <c r="L305" s="770"/>
      <c r="M305" s="763"/>
      <c r="N305" s="763"/>
      <c r="O305" s="763"/>
      <c r="P305" s="765"/>
      <c r="Q305" s="766"/>
      <c r="R305" s="767"/>
      <c r="S305" s="764"/>
    </row>
    <row r="306" spans="1:19" ht="18.75" customHeight="1" thickBot="1">
      <c r="A306" s="773"/>
      <c r="B306" s="137" t="s">
        <v>128</v>
      </c>
      <c r="C306" s="137" t="s">
        <v>124</v>
      </c>
      <c r="D306" s="137">
        <v>2</v>
      </c>
      <c r="E306" s="137">
        <v>2</v>
      </c>
      <c r="F306" s="589" t="s">
        <v>211</v>
      </c>
      <c r="G306" s="137">
        <v>2</v>
      </c>
      <c r="H306" s="144">
        <v>2</v>
      </c>
      <c r="I306" s="145">
        <f>INDEX('دورة1 دورة2'!B10:BJ30,MATCH("m",'دورة1 دورة2'!B10:B30,0),34)</f>
        <v>28.5</v>
      </c>
      <c r="J306" s="146">
        <f>IF(I306&lt;20,0,2)</f>
        <v>2</v>
      </c>
      <c r="K306" s="199" t="str">
        <f>INDEX('دورة1 دورة2'!B10:BJ30,MATCH("m",'دورة1 دورة2'!B10:B30,0),36)</f>
        <v>د1</v>
      </c>
      <c r="L306" s="147">
        <f>I306/2</f>
        <v>14.25</v>
      </c>
      <c r="M306" s="148">
        <f>J306</f>
        <v>2</v>
      </c>
      <c r="N306" s="199" t="str">
        <f>INDEX('دورة1 دورة2'!B10:BJ30,MATCH("m",'دورة1 دورة2'!B10:B30,0),36)</f>
        <v>د1</v>
      </c>
      <c r="O306" s="146">
        <f>LOOKUP("r",'دورة1 دورة2'!B:B,'دورة1 دورة2'!AU:AU)</f>
        <v>2018</v>
      </c>
      <c r="P306" s="765"/>
      <c r="Q306" s="766"/>
      <c r="R306" s="767"/>
      <c r="S306" s="131"/>
    </row>
    <row r="307" spans="1:19" ht="18.75" customHeight="1" thickBot="1">
      <c r="A307" s="773"/>
      <c r="B307" s="137" t="s">
        <v>129</v>
      </c>
      <c r="C307" s="137" t="s">
        <v>125</v>
      </c>
      <c r="D307" s="137">
        <v>1</v>
      </c>
      <c r="E307" s="137">
        <v>1</v>
      </c>
      <c r="F307" s="591" t="s">
        <v>191</v>
      </c>
      <c r="G307" s="137">
        <v>1</v>
      </c>
      <c r="H307" s="144">
        <v>1</v>
      </c>
      <c r="I307" s="145">
        <f>INDEX('دورة1 دورة2'!B10:BJ30,MATCH("m",'دورة1 دورة2'!B10:B30,0),41)</f>
        <v>13.25</v>
      </c>
      <c r="J307" s="146">
        <f>IF(I307&lt;10,0,1)</f>
        <v>1</v>
      </c>
      <c r="K307" s="199" t="str">
        <f>INDEX('دورة1 دورة2'!B10:BJ30,MATCH("m",'دورة1 دورة2'!B10:B30,0),43)</f>
        <v>د1</v>
      </c>
      <c r="L307" s="147">
        <f>I307</f>
        <v>13.25</v>
      </c>
      <c r="M307" s="148">
        <f>J307</f>
        <v>1</v>
      </c>
      <c r="N307" s="199" t="str">
        <f>INDEX('دورة1 دورة2'!B10:BJ30,MATCH("m",'دورة1 دورة2'!B10:B30,0),43)</f>
        <v>د1</v>
      </c>
      <c r="O307" s="146">
        <f>LOOKUP("r",'دورة1 دورة2'!B:B,'دورة1 دورة2'!AU:AU)</f>
        <v>2018</v>
      </c>
      <c r="P307" s="765"/>
      <c r="Q307" s="766"/>
      <c r="R307" s="768"/>
      <c r="S307" s="131"/>
    </row>
    <row r="308" spans="1:19" ht="81" customHeight="1" thickBot="1">
      <c r="A308" s="342" t="s">
        <v>458</v>
      </c>
      <c r="B308" s="137" t="s">
        <v>126</v>
      </c>
      <c r="C308" s="137" t="s">
        <v>122</v>
      </c>
      <c r="D308" s="137">
        <v>18</v>
      </c>
      <c r="E308" s="137">
        <v>7</v>
      </c>
      <c r="F308" s="592" t="s">
        <v>213</v>
      </c>
      <c r="G308" s="137">
        <v>7</v>
      </c>
      <c r="H308" s="144">
        <v>2</v>
      </c>
      <c r="I308" s="145">
        <f>INDEX('دورة1 دورة2'!B10:BJ30,MATCH("m",'دورة1 دورة2'!B10:B30,0),54)</f>
        <v>0</v>
      </c>
      <c r="J308" s="146">
        <f>IF(I308&lt;300,0,30)</f>
        <v>0</v>
      </c>
      <c r="K308" s="199" t="str">
        <f>INDEX('دورة1 دورة2'!B10:BJ30,MATCH("m",'دورة1 دورة2'!B10:B30,0),56)</f>
        <v>د1</v>
      </c>
      <c r="L308" s="147">
        <f>(I308)/30</f>
        <v>0</v>
      </c>
      <c r="M308" s="148">
        <f>IF(L308&lt;10,J308,30)</f>
        <v>0</v>
      </c>
      <c r="N308" s="148" t="str">
        <f>INDEX('دورة1 دورة2'!B10:BJ30,MATCH("m",'دورة1 دورة2'!B10:B30,0),56)</f>
        <v>د1</v>
      </c>
      <c r="O308" s="148" t="e">
        <f>LOOKUP("r",'دورة1 دورة2'!B:B,'دورة1 دورة2'!#REF!)</f>
        <v>#REF!</v>
      </c>
      <c r="P308" s="341">
        <f>(I308)/30</f>
        <v>0</v>
      </c>
      <c r="Q308" s="146">
        <f>IF(P308&lt;10,M308,30)</f>
        <v>0</v>
      </c>
      <c r="R308" s="343" t="str">
        <f>INDEX('دورة1 دورة2'!B10:BJ30,MATCH("m",'دورة1 دورة2'!B10:B30,0),60)</f>
        <v>د1</v>
      </c>
      <c r="S308" s="131"/>
    </row>
    <row r="309" spans="1:18" ht="17.25" customHeight="1" thickBot="1">
      <c r="A309" s="62" t="s">
        <v>150</v>
      </c>
      <c r="B309" s="135">
        <f>(P301+P308)/2</f>
        <v>7.755357142857143</v>
      </c>
      <c r="C309" s="759" t="s">
        <v>461</v>
      </c>
      <c r="D309" s="760"/>
      <c r="E309" s="760"/>
      <c r="F309" s="761"/>
      <c r="G309" s="136">
        <f>Q301+Q308</f>
        <v>30</v>
      </c>
      <c r="H309" s="6"/>
      <c r="I309" s="6"/>
      <c r="J309" s="134" t="s">
        <v>72</v>
      </c>
      <c r="K309" s="6"/>
      <c r="L309" s="6"/>
      <c r="M309" s="6"/>
      <c r="N309" s="6"/>
      <c r="O309" s="6"/>
      <c r="P309" s="583">
        <v>120</v>
      </c>
      <c r="Q309" s="130"/>
      <c r="R309" s="130"/>
    </row>
    <row r="310" spans="1:18" ht="16.5" customHeight="1" thickBot="1">
      <c r="A310" s="62" t="s">
        <v>121</v>
      </c>
      <c r="B310" s="75" t="str">
        <f>IF(B309&lt;10,"راسب(ة)","ناجح(ة)")</f>
        <v>راسب(ة)</v>
      </c>
      <c r="G310" s="129"/>
      <c r="I310" s="80"/>
      <c r="J310" s="134" t="s">
        <v>73</v>
      </c>
      <c r="K310" s="6"/>
      <c r="L310" s="6"/>
      <c r="M310" s="6"/>
      <c r="N310" s="6"/>
      <c r="O310" s="6"/>
      <c r="P310" s="133">
        <v>120</v>
      </c>
      <c r="Q310" s="5"/>
      <c r="R310" s="5"/>
    </row>
    <row r="311" spans="1:7" ht="16.5" customHeight="1">
      <c r="A311" s="62" t="s">
        <v>120</v>
      </c>
      <c r="B311" s="77">
        <f ca="1">TODAY()</f>
        <v>43188</v>
      </c>
      <c r="G311" s="129"/>
    </row>
    <row r="312" spans="1:14" ht="16.5" customHeight="1">
      <c r="A312" s="62" t="s">
        <v>74</v>
      </c>
      <c r="B312" s="8" t="s">
        <v>119</v>
      </c>
      <c r="L312" s="762" t="s">
        <v>29</v>
      </c>
      <c r="M312" s="762"/>
      <c r="N312" s="75"/>
    </row>
    <row r="313" spans="1:17" ht="20.25">
      <c r="A313" s="187" t="s">
        <v>45</v>
      </c>
      <c r="B313" s="188"/>
      <c r="C313" s="188"/>
      <c r="D313" s="188"/>
      <c r="E313" s="188"/>
      <c r="F313" s="188"/>
      <c r="G313" s="188"/>
      <c r="H313" s="189"/>
      <c r="I313" s="189"/>
      <c r="J313" s="189"/>
      <c r="K313" s="189"/>
      <c r="L313" s="189"/>
      <c r="M313" s="78" t="s">
        <v>46</v>
      </c>
      <c r="N313" s="189"/>
      <c r="O313" s="78"/>
      <c r="P313" s="189"/>
      <c r="Q313" s="189"/>
    </row>
    <row r="314" spans="6:10" ht="15" customHeight="1">
      <c r="F314" s="191" t="s">
        <v>47</v>
      </c>
      <c r="G314" s="10" t="s">
        <v>19</v>
      </c>
      <c r="H314" s="10"/>
      <c r="I314" s="10"/>
      <c r="J314" s="10"/>
    </row>
    <row r="315" spans="6:10" ht="15" customHeight="1">
      <c r="F315" s="191" t="s">
        <v>48</v>
      </c>
      <c r="G315" s="10" t="s">
        <v>49</v>
      </c>
      <c r="H315" s="10"/>
      <c r="I315" s="10"/>
      <c r="J315" s="10"/>
    </row>
    <row r="316" spans="6:10" ht="15" customHeight="1">
      <c r="F316" s="191" t="s">
        <v>50</v>
      </c>
      <c r="G316" s="10" t="s">
        <v>51</v>
      </c>
      <c r="H316" s="10"/>
      <c r="I316" s="10"/>
      <c r="J316" s="10"/>
    </row>
    <row r="317" spans="4:11" ht="21" customHeight="1">
      <c r="D317" s="782" t="s">
        <v>99</v>
      </c>
      <c r="E317" s="782"/>
      <c r="F317" s="782"/>
      <c r="G317" s="782"/>
      <c r="H317" s="782"/>
      <c r="I317" s="782"/>
      <c r="J317" s="782"/>
      <c r="K317" s="782"/>
    </row>
    <row r="318" spans="1:18" ht="18">
      <c r="A318" s="2" t="s">
        <v>148</v>
      </c>
      <c r="B318" s="196" t="str">
        <f>B6</f>
        <v>2017/2018</v>
      </c>
      <c r="C318" s="62"/>
      <c r="E318" s="61"/>
      <c r="F318" s="62"/>
      <c r="G318" s="157"/>
      <c r="H318" s="62"/>
      <c r="I318" s="61"/>
      <c r="J318" s="61"/>
      <c r="K318" s="61"/>
      <c r="L318" s="151"/>
      <c r="M318" s="151"/>
      <c r="N318" s="151"/>
      <c r="O318" s="151"/>
      <c r="P318" s="61"/>
      <c r="Q318" s="61"/>
      <c r="R318" s="61"/>
    </row>
    <row r="319" spans="1:18" ht="15.75" customHeight="1">
      <c r="A319" s="62" t="s">
        <v>147</v>
      </c>
      <c r="B319" s="190" t="str">
        <f>INDEX('دورة1 دورة2'!B10:BJ30,MATCH("n",'دورة1 دورة2'!B10:B30,0),3)</f>
        <v>عيدود </v>
      </c>
      <c r="C319" s="158" t="s">
        <v>146</v>
      </c>
      <c r="D319" s="186" t="str">
        <f>INDEX('دورة1 دورة2'!B10:BJ30,MATCH("n",'دورة1 دورة2'!B10:B30,0),4)</f>
        <v>صبرينة</v>
      </c>
      <c r="E319" s="62"/>
      <c r="F319" s="158" t="s">
        <v>52</v>
      </c>
      <c r="G319" s="783">
        <f>INDEX('دورة1 دورة2'!B10:BJ30,MATCH("n",'دورة1 دورة2'!B10:B30,0),6)</f>
        <v>0</v>
      </c>
      <c r="H319" s="783"/>
      <c r="I319" s="783"/>
      <c r="J319" s="61"/>
      <c r="K319" s="132" t="s">
        <v>53</v>
      </c>
      <c r="L319" s="784" t="str">
        <f>INDEX('دورة1 دورة2'!B10:BJ30,MATCH("n",'دورة1 دورة2'!B10:B30,0),7)</f>
        <v>عنابه</v>
      </c>
      <c r="M319" s="784"/>
      <c r="O319" s="186"/>
      <c r="P319" s="8" t="s">
        <v>54</v>
      </c>
      <c r="Q319" s="784" t="str">
        <f>INDEX('دورة1 دورة2'!B10:BJ30,MATCH("n",'دورة1 دورة2'!B10:B30,0),8)</f>
        <v>عنابه</v>
      </c>
      <c r="R319" s="784"/>
    </row>
    <row r="320" spans="1:18" ht="15" customHeight="1">
      <c r="A320" s="2" t="s">
        <v>149</v>
      </c>
      <c r="B320" s="190">
        <f>INDEX('دورة1 دورة2'!B10:BJ30,MATCH("n",'دورة1 دورة2'!B10:B30,0),5)</f>
        <v>0</v>
      </c>
      <c r="C320" s="166"/>
      <c r="D320" s="9" t="s">
        <v>55</v>
      </c>
      <c r="E320" s="11" t="s">
        <v>56</v>
      </c>
      <c r="F320" s="11"/>
      <c r="G320" s="156"/>
      <c r="H320" s="11"/>
      <c r="I320" s="9"/>
      <c r="J320" s="9" t="s">
        <v>57</v>
      </c>
      <c r="K320" s="9"/>
      <c r="L320" s="11"/>
      <c r="N320" s="4" t="s">
        <v>98</v>
      </c>
      <c r="O320" s="2" t="s">
        <v>98</v>
      </c>
      <c r="P320" s="10" t="s">
        <v>97</v>
      </c>
      <c r="R320" s="61"/>
    </row>
    <row r="321" spans="1:16" ht="15.75" thickBot="1">
      <c r="A321" s="3" t="s">
        <v>58</v>
      </c>
      <c r="B321" s="139" t="s">
        <v>200</v>
      </c>
      <c r="C321" s="139"/>
      <c r="G321" s="129"/>
      <c r="J321" s="4"/>
      <c r="K321" s="4"/>
      <c r="M321" s="4"/>
      <c r="N321" s="4"/>
      <c r="O321" s="126"/>
      <c r="P321" s="126"/>
    </row>
    <row r="322" spans="1:18" ht="29.25" customHeight="1" thickBot="1" thickTop="1">
      <c r="A322" s="775" t="s">
        <v>25</v>
      </c>
      <c r="B322" s="777" t="s">
        <v>59</v>
      </c>
      <c r="C322" s="777"/>
      <c r="D322" s="778"/>
      <c r="E322" s="777"/>
      <c r="F322" s="777" t="s">
        <v>60</v>
      </c>
      <c r="G322" s="777"/>
      <c r="H322" s="777"/>
      <c r="I322" s="777" t="s">
        <v>61</v>
      </c>
      <c r="J322" s="777"/>
      <c r="K322" s="777"/>
      <c r="L322" s="777"/>
      <c r="M322" s="777"/>
      <c r="N322" s="777"/>
      <c r="O322" s="777"/>
      <c r="P322" s="777"/>
      <c r="Q322" s="777"/>
      <c r="R322" s="779"/>
    </row>
    <row r="323" spans="1:18" ht="15.75" thickBot="1">
      <c r="A323" s="776"/>
      <c r="B323" s="780" t="s">
        <v>63</v>
      </c>
      <c r="C323" s="771" t="s">
        <v>62</v>
      </c>
      <c r="D323" s="149" t="s">
        <v>64</v>
      </c>
      <c r="E323" s="781" t="s">
        <v>65</v>
      </c>
      <c r="F323" s="771" t="s">
        <v>66</v>
      </c>
      <c r="G323" s="138" t="s">
        <v>64</v>
      </c>
      <c r="H323" s="771" t="s">
        <v>65</v>
      </c>
      <c r="I323" s="771" t="s">
        <v>67</v>
      </c>
      <c r="J323" s="771"/>
      <c r="K323" s="771"/>
      <c r="L323" s="771" t="s">
        <v>68</v>
      </c>
      <c r="M323" s="771"/>
      <c r="N323" s="771"/>
      <c r="O323" s="771"/>
      <c r="P323" s="771" t="s">
        <v>25</v>
      </c>
      <c r="Q323" s="771"/>
      <c r="R323" s="772"/>
    </row>
    <row r="324" spans="1:21" ht="15.75" thickBot="1">
      <c r="A324" s="776"/>
      <c r="B324" s="780"/>
      <c r="C324" s="771"/>
      <c r="D324" s="150" t="s">
        <v>69</v>
      </c>
      <c r="E324" s="781"/>
      <c r="F324" s="771"/>
      <c r="G324" s="138" t="s">
        <v>69</v>
      </c>
      <c r="H324" s="771"/>
      <c r="I324" s="133" t="s">
        <v>70</v>
      </c>
      <c r="J324" s="133" t="s">
        <v>100</v>
      </c>
      <c r="K324" s="133" t="s">
        <v>96</v>
      </c>
      <c r="L324" s="133" t="s">
        <v>70</v>
      </c>
      <c r="M324" s="133" t="s">
        <v>100</v>
      </c>
      <c r="N324" s="133" t="s">
        <v>96</v>
      </c>
      <c r="O324" s="133" t="s">
        <v>93</v>
      </c>
      <c r="P324" s="133" t="s">
        <v>70</v>
      </c>
      <c r="Q324" s="133" t="s">
        <v>100</v>
      </c>
      <c r="R324" s="140" t="s">
        <v>96</v>
      </c>
      <c r="U324" s="134"/>
    </row>
    <row r="325" spans="1:21" ht="20.25" customHeight="1" thickBot="1">
      <c r="A325" s="773" t="s">
        <v>457</v>
      </c>
      <c r="B325" s="769" t="s">
        <v>126</v>
      </c>
      <c r="C325" s="769" t="s">
        <v>122</v>
      </c>
      <c r="D325" s="774">
        <v>18</v>
      </c>
      <c r="E325" s="769">
        <v>7</v>
      </c>
      <c r="F325" s="588" t="s">
        <v>205</v>
      </c>
      <c r="G325" s="137">
        <v>7</v>
      </c>
      <c r="H325" s="144">
        <v>3</v>
      </c>
      <c r="I325" s="145">
        <f>INDEX('دورة1 دورة2'!B10:BJ30,MATCH("n",'دورة1 دورة2'!B10:B30,0),9)</f>
        <v>38.25</v>
      </c>
      <c r="J325" s="146">
        <f>IF(I325&lt;30,0,7)</f>
        <v>7</v>
      </c>
      <c r="K325" s="199" t="str">
        <f>INDEX('دورة1 دورة2'!B10:BJ30,MATCH("n",'دورة1 دورة2'!B10:B30,0),11)</f>
        <v>د1</v>
      </c>
      <c r="L325" s="770">
        <f>(I325+I326+I327)/7</f>
        <v>9.321428571428571</v>
      </c>
      <c r="M325" s="763">
        <f>IF(L325&lt;10,J325+J326+J327,18)</f>
        <v>7</v>
      </c>
      <c r="N325" s="763" t="str">
        <f>INDEX('دورة1 دورة2'!B10:BJ30,MATCH("n",'دورة1 دورة2'!B10:B30,0),20)</f>
        <v>د1</v>
      </c>
      <c r="O325" s="763">
        <f>LOOKUP("r",'دورة1 دورة2'!B:B,'دورة1 دورة2'!AG:AG)</f>
        <v>2018</v>
      </c>
      <c r="P325" s="765">
        <f>(I325+I326+I327+I328+I329+I330+I331)/14</f>
        <v>9.492857142857144</v>
      </c>
      <c r="Q325" s="766">
        <f>IF(P325&lt;10,M325+M328+M330+M331,30)</f>
        <v>13</v>
      </c>
      <c r="R325" s="767" t="str">
        <f>INDEX('دورة1 دورة2'!B10:BJ30,MATCH("n",'دورة1 دورة2'!B10:B30,0),51)</f>
        <v>د1</v>
      </c>
      <c r="S325" s="764"/>
      <c r="U325" s="134"/>
    </row>
    <row r="326" spans="1:19" ht="20.25" customHeight="1" thickBot="1">
      <c r="A326" s="773"/>
      <c r="B326" s="769"/>
      <c r="C326" s="769"/>
      <c r="D326" s="769"/>
      <c r="E326" s="769"/>
      <c r="F326" s="589" t="s">
        <v>206</v>
      </c>
      <c r="G326" s="137">
        <v>6</v>
      </c>
      <c r="H326" s="144">
        <v>2</v>
      </c>
      <c r="I326" s="145">
        <f>INDEX('دورة1 دورة2'!B10:BJ30,MATCH("n",'دورة1 دورة2'!B10:B30,0),12)</f>
        <v>12</v>
      </c>
      <c r="J326" s="146">
        <f>IF(I326&lt;20,0,6)</f>
        <v>0</v>
      </c>
      <c r="K326" s="199" t="str">
        <f>INDEX('دورة1 دورة2'!B10:BJ30,MATCH("n",'دورة1 دورة2'!B10:B30,0),14)</f>
        <v>د1</v>
      </c>
      <c r="L326" s="770"/>
      <c r="M326" s="763"/>
      <c r="N326" s="763"/>
      <c r="O326" s="763"/>
      <c r="P326" s="765"/>
      <c r="Q326" s="766"/>
      <c r="R326" s="767"/>
      <c r="S326" s="764"/>
    </row>
    <row r="327" spans="1:19" ht="20.25" customHeight="1" thickBot="1">
      <c r="A327" s="773"/>
      <c r="B327" s="769"/>
      <c r="C327" s="769"/>
      <c r="D327" s="769"/>
      <c r="E327" s="769"/>
      <c r="F327" s="589" t="s">
        <v>207</v>
      </c>
      <c r="G327" s="137">
        <v>5</v>
      </c>
      <c r="H327" s="144">
        <v>2</v>
      </c>
      <c r="I327" s="145">
        <f>INDEX('دورة1 دورة2'!B10:BJ30,MATCH("n",'دورة1 دورة2'!B10:B30,0),15)</f>
        <v>15</v>
      </c>
      <c r="J327" s="146">
        <f>IF(I327&lt;20,0,5)</f>
        <v>0</v>
      </c>
      <c r="K327" s="199" t="str">
        <f>INDEX('دورة1 دورة2'!B10:BJ30,MATCH("n",'دورة1 دورة2'!B10:B30,0),17)</f>
        <v>د1</v>
      </c>
      <c r="L327" s="770"/>
      <c r="M327" s="763"/>
      <c r="N327" s="763"/>
      <c r="O327" s="763"/>
      <c r="P327" s="765"/>
      <c r="Q327" s="766"/>
      <c r="R327" s="767"/>
      <c r="S327" s="764"/>
    </row>
    <row r="328" spans="1:19" ht="20.25" customHeight="1" thickBot="1">
      <c r="A328" s="773"/>
      <c r="B328" s="769" t="s">
        <v>127</v>
      </c>
      <c r="C328" s="769" t="s">
        <v>123</v>
      </c>
      <c r="D328" s="769">
        <v>9</v>
      </c>
      <c r="E328" s="769">
        <v>4</v>
      </c>
      <c r="F328" s="590" t="s">
        <v>208</v>
      </c>
      <c r="G328" s="137">
        <v>5</v>
      </c>
      <c r="H328" s="144">
        <v>2</v>
      </c>
      <c r="I328" s="145">
        <f>INDEX('دورة1 دورة2'!B10:BJ30,MATCH("n",'دورة1 دورة2'!B10:B30,0),23)</f>
        <v>16.4</v>
      </c>
      <c r="J328" s="146">
        <f>IF(I328&lt;20,0,5)</f>
        <v>0</v>
      </c>
      <c r="K328" s="199" t="str">
        <f>INDEX('دورة1 دورة2'!B10:BJ30,MATCH("n",'دورة1 دورة2'!B10:B30,0),25)</f>
        <v>د1</v>
      </c>
      <c r="L328" s="770">
        <f>(I329+I328)/4</f>
        <v>9.6</v>
      </c>
      <c r="M328" s="763">
        <f>IF(L328&lt;10,J329+J328,9)</f>
        <v>4</v>
      </c>
      <c r="N328" s="763" t="str">
        <f>INDEX('دورة1 دورة2'!B10:BJ30,MATCH("n",'دورة1 دورة2'!B10:B30,0),31)</f>
        <v>د1</v>
      </c>
      <c r="O328" s="763">
        <f>LOOKUP("r",'دورة1 دورة2'!B:B,'دورة1 دورة2'!AN:AN)</f>
        <v>2018</v>
      </c>
      <c r="P328" s="765"/>
      <c r="Q328" s="766"/>
      <c r="R328" s="767"/>
      <c r="S328" s="764"/>
    </row>
    <row r="329" spans="1:19" ht="20.25" customHeight="1" thickBot="1">
      <c r="A329" s="773"/>
      <c r="B329" s="769"/>
      <c r="C329" s="769"/>
      <c r="D329" s="769"/>
      <c r="E329" s="769"/>
      <c r="F329" s="589" t="s">
        <v>209</v>
      </c>
      <c r="G329" s="137">
        <v>4</v>
      </c>
      <c r="H329" s="144">
        <v>2</v>
      </c>
      <c r="I329" s="145">
        <f>INDEX('دورة1 دورة2'!B10:BJ30,MATCH("n",'دورة1 دورة2'!B10:B30,0),26)</f>
        <v>22</v>
      </c>
      <c r="J329" s="146">
        <f>IF(I329&lt;20,0,4)</f>
        <v>4</v>
      </c>
      <c r="K329" s="199" t="str">
        <f>INDEX('دورة1 دورة2'!B10:BJ30,MATCH("n",'دورة1 دورة2'!B10:B30,0),28)</f>
        <v>د1</v>
      </c>
      <c r="L329" s="770"/>
      <c r="M329" s="763"/>
      <c r="N329" s="763"/>
      <c r="O329" s="763"/>
      <c r="P329" s="765"/>
      <c r="Q329" s="766"/>
      <c r="R329" s="767"/>
      <c r="S329" s="764"/>
    </row>
    <row r="330" spans="1:19" ht="20.25" customHeight="1" thickBot="1">
      <c r="A330" s="773"/>
      <c r="B330" s="137" t="s">
        <v>128</v>
      </c>
      <c r="C330" s="137" t="s">
        <v>124</v>
      </c>
      <c r="D330" s="137">
        <v>2</v>
      </c>
      <c r="E330" s="137">
        <v>2</v>
      </c>
      <c r="F330" s="589" t="s">
        <v>211</v>
      </c>
      <c r="G330" s="137">
        <v>2</v>
      </c>
      <c r="H330" s="144">
        <v>2</v>
      </c>
      <c r="I330" s="145">
        <f>INDEX('دورة1 دورة2'!B10:BJ30,MATCH("n",'دورة1 دورة2'!B10:B30,0),34)</f>
        <v>21</v>
      </c>
      <c r="J330" s="146">
        <f>IF(I330&lt;20,0,2)</f>
        <v>2</v>
      </c>
      <c r="K330" s="199" t="str">
        <f>INDEX('دورة1 دورة2'!B10:BJ30,MATCH("n",'دورة1 دورة2'!B10:B30,0),36)</f>
        <v>د1</v>
      </c>
      <c r="L330" s="147">
        <f>I330/2</f>
        <v>10.5</v>
      </c>
      <c r="M330" s="148">
        <f>J330</f>
        <v>2</v>
      </c>
      <c r="N330" s="199" t="str">
        <f>INDEX('دورة1 دورة2'!B10:BJ30,MATCH("n",'دورة1 دورة2'!B10:B30,0),36)</f>
        <v>د1</v>
      </c>
      <c r="O330" s="146">
        <f>LOOKUP("r",'دورة1 دورة2'!B:B,'دورة1 دورة2'!AU:AU)</f>
        <v>2018</v>
      </c>
      <c r="P330" s="765"/>
      <c r="Q330" s="766"/>
      <c r="R330" s="767"/>
      <c r="S330" s="131"/>
    </row>
    <row r="331" spans="1:19" ht="20.25" customHeight="1" thickBot="1">
      <c r="A331" s="773"/>
      <c r="B331" s="137" t="s">
        <v>129</v>
      </c>
      <c r="C331" s="137" t="s">
        <v>125</v>
      </c>
      <c r="D331" s="137">
        <v>1</v>
      </c>
      <c r="E331" s="137">
        <v>1</v>
      </c>
      <c r="F331" s="591" t="s">
        <v>191</v>
      </c>
      <c r="G331" s="137">
        <v>1</v>
      </c>
      <c r="H331" s="144">
        <v>1</v>
      </c>
      <c r="I331" s="145">
        <f>INDEX('دورة1 دورة2'!B10:BJ30,MATCH("n",'دورة1 دورة2'!B10:B30,0),41)</f>
        <v>8.25</v>
      </c>
      <c r="J331" s="146">
        <f>IF(I331&lt;10,0,1)</f>
        <v>0</v>
      </c>
      <c r="K331" s="199" t="str">
        <f>INDEX('دورة1 دورة2'!B10:BJ30,MATCH("n",'دورة1 دورة2'!B10:B30,0),43)</f>
        <v>د1</v>
      </c>
      <c r="L331" s="147">
        <f>I331</f>
        <v>8.25</v>
      </c>
      <c r="M331" s="148">
        <f>J331</f>
        <v>0</v>
      </c>
      <c r="N331" s="199" t="str">
        <f>INDEX('دورة1 دورة2'!B10:BJ30,MATCH("n",'دورة1 دورة2'!B10:B30,0),43)</f>
        <v>د1</v>
      </c>
      <c r="O331" s="146">
        <f>LOOKUP("r",'دورة1 دورة2'!B:B,'دورة1 دورة2'!AU:AU)</f>
        <v>2018</v>
      </c>
      <c r="P331" s="765"/>
      <c r="Q331" s="766"/>
      <c r="R331" s="768"/>
      <c r="S331" s="131"/>
    </row>
    <row r="332" spans="1:19" ht="78.75" customHeight="1" thickBot="1">
      <c r="A332" s="342" t="s">
        <v>458</v>
      </c>
      <c r="B332" s="137" t="s">
        <v>126</v>
      </c>
      <c r="C332" s="137" t="s">
        <v>122</v>
      </c>
      <c r="D332" s="137">
        <v>18</v>
      </c>
      <c r="E332" s="137">
        <v>7</v>
      </c>
      <c r="F332" s="592" t="s">
        <v>213</v>
      </c>
      <c r="G332" s="137">
        <v>7</v>
      </c>
      <c r="H332" s="144">
        <v>2</v>
      </c>
      <c r="I332" s="145">
        <f>INDEX('دورة1 دورة2'!B10:BJ30,MATCH("n",'دورة1 دورة2'!B10:B30,0),54)</f>
        <v>0</v>
      </c>
      <c r="J332" s="146">
        <f>IF(I332&lt;300,0,30)</f>
        <v>0</v>
      </c>
      <c r="K332" s="199" t="str">
        <f>INDEX('دورة1 دورة2'!B10:BJ30,MATCH("n",'دورة1 دورة2'!B10:B30,0),56)</f>
        <v>د1</v>
      </c>
      <c r="L332" s="147">
        <f>(I332)/30</f>
        <v>0</v>
      </c>
      <c r="M332" s="148">
        <f>IF(L332&lt;10,J332,30)</f>
        <v>0</v>
      </c>
      <c r="N332" s="148" t="str">
        <f>INDEX('دورة1 دورة2'!B10:BJ30,MATCH("n",'دورة1 دورة2'!B10:B30,0),56)</f>
        <v>د1</v>
      </c>
      <c r="O332" s="148" t="e">
        <f>LOOKUP("r",'دورة1 دورة2'!B:B,'دورة1 دورة2'!#REF!)</f>
        <v>#REF!</v>
      </c>
      <c r="P332" s="341">
        <f>(I332)/30</f>
        <v>0</v>
      </c>
      <c r="Q332" s="146">
        <f>IF(P332&lt;10,M332,30)</f>
        <v>0</v>
      </c>
      <c r="R332" s="343" t="str">
        <f>INDEX('دورة1 دورة2'!B10:BJ30,MATCH("n",'دورة1 دورة2'!B10:B30,0),60)</f>
        <v>د1</v>
      </c>
      <c r="S332" s="131"/>
    </row>
    <row r="333" spans="1:18" ht="17.25" customHeight="1" thickBot="1">
      <c r="A333" s="62" t="s">
        <v>150</v>
      </c>
      <c r="B333" s="135">
        <f>(P325+P332)/2</f>
        <v>4.746428571428572</v>
      </c>
      <c r="C333" s="759" t="s">
        <v>461</v>
      </c>
      <c r="D333" s="760"/>
      <c r="E333" s="760"/>
      <c r="F333" s="761"/>
      <c r="G333" s="136">
        <f>Q325+Q332</f>
        <v>13</v>
      </c>
      <c r="H333" s="6"/>
      <c r="I333" s="6"/>
      <c r="J333" s="134" t="s">
        <v>72</v>
      </c>
      <c r="K333" s="6"/>
      <c r="L333" s="6"/>
      <c r="M333" s="6"/>
      <c r="N333" s="6"/>
      <c r="O333" s="6"/>
      <c r="P333" s="583">
        <v>120</v>
      </c>
      <c r="Q333" s="130"/>
      <c r="R333" s="130"/>
    </row>
    <row r="334" spans="1:18" ht="16.5" customHeight="1" thickBot="1">
      <c r="A334" s="62" t="s">
        <v>121</v>
      </c>
      <c r="B334" s="75" t="str">
        <f>IF(B333&lt;10,"راسب(ة)","ناجح(ة)")</f>
        <v>راسب(ة)</v>
      </c>
      <c r="G334" s="129"/>
      <c r="I334" s="80"/>
      <c r="J334" s="134" t="s">
        <v>73</v>
      </c>
      <c r="K334" s="6"/>
      <c r="L334" s="6"/>
      <c r="M334" s="6"/>
      <c r="N334" s="6"/>
      <c r="O334" s="6"/>
      <c r="P334" s="133">
        <v>120</v>
      </c>
      <c r="Q334" s="5"/>
      <c r="R334" s="5"/>
    </row>
    <row r="335" spans="1:7" ht="16.5" customHeight="1">
      <c r="A335" s="62" t="s">
        <v>120</v>
      </c>
      <c r="B335" s="77">
        <f ca="1">TODAY()</f>
        <v>43188</v>
      </c>
      <c r="G335" s="129"/>
    </row>
    <row r="336" spans="1:14" ht="16.5" customHeight="1">
      <c r="A336" s="62" t="s">
        <v>74</v>
      </c>
      <c r="B336" s="8" t="s">
        <v>119</v>
      </c>
      <c r="L336" s="762" t="s">
        <v>29</v>
      </c>
      <c r="M336" s="762"/>
      <c r="N336" s="75"/>
    </row>
    <row r="337" spans="1:17" ht="20.25">
      <c r="A337" s="187" t="s">
        <v>45</v>
      </c>
      <c r="B337" s="188"/>
      <c r="C337" s="188"/>
      <c r="D337" s="188"/>
      <c r="E337" s="188"/>
      <c r="F337" s="188"/>
      <c r="G337" s="188"/>
      <c r="H337" s="189"/>
      <c r="I337" s="189"/>
      <c r="J337" s="189"/>
      <c r="K337" s="189"/>
      <c r="L337" s="189"/>
      <c r="M337" s="78" t="s">
        <v>46</v>
      </c>
      <c r="N337" s="189"/>
      <c r="O337" s="78"/>
      <c r="P337" s="189"/>
      <c r="Q337" s="189"/>
    </row>
    <row r="338" spans="6:10" ht="15" customHeight="1">
      <c r="F338" s="191" t="s">
        <v>47</v>
      </c>
      <c r="G338" s="10" t="s">
        <v>19</v>
      </c>
      <c r="H338" s="10"/>
      <c r="I338" s="10"/>
      <c r="J338" s="10"/>
    </row>
    <row r="339" spans="6:10" ht="15" customHeight="1">
      <c r="F339" s="191" t="s">
        <v>48</v>
      </c>
      <c r="G339" s="10" t="s">
        <v>49</v>
      </c>
      <c r="H339" s="10"/>
      <c r="I339" s="10"/>
      <c r="J339" s="10"/>
    </row>
    <row r="340" spans="6:10" ht="15" customHeight="1">
      <c r="F340" s="191" t="s">
        <v>50</v>
      </c>
      <c r="G340" s="10" t="s">
        <v>51</v>
      </c>
      <c r="H340" s="10"/>
      <c r="I340" s="10"/>
      <c r="J340" s="10"/>
    </row>
    <row r="341" spans="4:11" ht="21" customHeight="1">
      <c r="D341" s="782" t="s">
        <v>99</v>
      </c>
      <c r="E341" s="782"/>
      <c r="F341" s="782"/>
      <c r="G341" s="782"/>
      <c r="H341" s="782"/>
      <c r="I341" s="782"/>
      <c r="J341" s="782"/>
      <c r="K341" s="782"/>
    </row>
    <row r="342" spans="1:18" ht="18">
      <c r="A342" s="2" t="s">
        <v>148</v>
      </c>
      <c r="B342" s="196" t="str">
        <f>B6</f>
        <v>2017/2018</v>
      </c>
      <c r="C342" s="62"/>
      <c r="E342" s="61"/>
      <c r="F342" s="62"/>
      <c r="G342" s="157"/>
      <c r="H342" s="62"/>
      <c r="I342" s="61"/>
      <c r="J342" s="61"/>
      <c r="K342" s="61"/>
      <c r="L342" s="151"/>
      <c r="M342" s="151"/>
      <c r="N342" s="151"/>
      <c r="O342" s="151"/>
      <c r="P342" s="61"/>
      <c r="Q342" s="61"/>
      <c r="R342" s="61"/>
    </row>
    <row r="343" spans="1:18" ht="15.75" customHeight="1">
      <c r="A343" s="62" t="s">
        <v>147</v>
      </c>
      <c r="B343" s="190" t="str">
        <f>INDEX('دورة1 دورة2'!B10:BJ30,MATCH("o",'دورة1 دورة2'!B10:B30,0),3)</f>
        <v>قايدي </v>
      </c>
      <c r="C343" s="158" t="s">
        <v>146</v>
      </c>
      <c r="D343" s="186" t="str">
        <f>INDEX('دورة1 دورة2'!B10:BJ30,MATCH("o",'دورة1 دورة2'!B10:B30,0),4)</f>
        <v>مريم</v>
      </c>
      <c r="E343" s="62"/>
      <c r="F343" s="158" t="s">
        <v>52</v>
      </c>
      <c r="G343" s="783">
        <f>INDEX('دورة1 دورة2'!B10:BJ30,MATCH("o",'دورة1 دورة2'!B10:B30,0),6)</f>
        <v>0</v>
      </c>
      <c r="H343" s="783"/>
      <c r="I343" s="783"/>
      <c r="J343" s="61"/>
      <c r="K343" s="132" t="s">
        <v>53</v>
      </c>
      <c r="L343" s="784" t="str">
        <f>INDEX('دورة1 دورة2'!B10:BJ30,MATCH("o",'دورة1 دورة2'!B10:B30,0),7)</f>
        <v>عنابه</v>
      </c>
      <c r="M343" s="784"/>
      <c r="O343" s="186"/>
      <c r="P343" s="8" t="s">
        <v>54</v>
      </c>
      <c r="Q343" s="784" t="str">
        <f>INDEX('دورة1 دورة2'!B10:BJ30,MATCH("o",'دورة1 دورة2'!B10:B30,0),8)</f>
        <v>عنابه</v>
      </c>
      <c r="R343" s="784"/>
    </row>
    <row r="344" spans="1:18" ht="15" customHeight="1">
      <c r="A344" s="2" t="s">
        <v>149</v>
      </c>
      <c r="B344" s="190">
        <f>INDEX('دورة1 دورة2'!B10:BJ30,MATCH("o",'دورة1 دورة2'!B10:B30,0),5)</f>
        <v>0</v>
      </c>
      <c r="C344" s="166"/>
      <c r="D344" s="9" t="s">
        <v>55</v>
      </c>
      <c r="E344" s="11" t="s">
        <v>56</v>
      </c>
      <c r="F344" s="11"/>
      <c r="G344" s="156"/>
      <c r="H344" s="11"/>
      <c r="I344" s="9"/>
      <c r="J344" s="9" t="s">
        <v>57</v>
      </c>
      <c r="K344" s="9"/>
      <c r="L344" s="11"/>
      <c r="N344" s="4" t="s">
        <v>98</v>
      </c>
      <c r="O344" s="2" t="s">
        <v>98</v>
      </c>
      <c r="P344" s="10" t="s">
        <v>97</v>
      </c>
      <c r="R344" s="61"/>
    </row>
    <row r="345" spans="1:16" ht="15.75" thickBot="1">
      <c r="A345" s="3" t="s">
        <v>58</v>
      </c>
      <c r="B345" s="139" t="s">
        <v>200</v>
      </c>
      <c r="C345" s="139"/>
      <c r="G345" s="129"/>
      <c r="J345" s="4"/>
      <c r="K345" s="4"/>
      <c r="M345" s="4"/>
      <c r="N345" s="4"/>
      <c r="O345" s="126"/>
      <c r="P345" s="126"/>
    </row>
    <row r="346" spans="1:18" ht="28.5" customHeight="1" thickBot="1" thickTop="1">
      <c r="A346" s="775" t="s">
        <v>25</v>
      </c>
      <c r="B346" s="777" t="s">
        <v>59</v>
      </c>
      <c r="C346" s="777"/>
      <c r="D346" s="778"/>
      <c r="E346" s="777"/>
      <c r="F346" s="777" t="s">
        <v>60</v>
      </c>
      <c r="G346" s="777"/>
      <c r="H346" s="777"/>
      <c r="I346" s="777" t="s">
        <v>61</v>
      </c>
      <c r="J346" s="777"/>
      <c r="K346" s="777"/>
      <c r="L346" s="777"/>
      <c r="M346" s="777"/>
      <c r="N346" s="777"/>
      <c r="O346" s="777"/>
      <c r="P346" s="777"/>
      <c r="Q346" s="777"/>
      <c r="R346" s="779"/>
    </row>
    <row r="347" spans="1:18" ht="15.75" thickBot="1">
      <c r="A347" s="776"/>
      <c r="B347" s="780" t="s">
        <v>63</v>
      </c>
      <c r="C347" s="771" t="s">
        <v>62</v>
      </c>
      <c r="D347" s="149" t="s">
        <v>64</v>
      </c>
      <c r="E347" s="781" t="s">
        <v>65</v>
      </c>
      <c r="F347" s="771" t="s">
        <v>66</v>
      </c>
      <c r="G347" s="138" t="s">
        <v>64</v>
      </c>
      <c r="H347" s="771" t="s">
        <v>65</v>
      </c>
      <c r="I347" s="771" t="s">
        <v>67</v>
      </c>
      <c r="J347" s="771"/>
      <c r="K347" s="771"/>
      <c r="L347" s="771" t="s">
        <v>68</v>
      </c>
      <c r="M347" s="771"/>
      <c r="N347" s="771"/>
      <c r="O347" s="771"/>
      <c r="P347" s="771" t="s">
        <v>25</v>
      </c>
      <c r="Q347" s="771"/>
      <c r="R347" s="772"/>
    </row>
    <row r="348" spans="1:21" ht="15.75" thickBot="1">
      <c r="A348" s="776"/>
      <c r="B348" s="780"/>
      <c r="C348" s="771"/>
      <c r="D348" s="150" t="s">
        <v>69</v>
      </c>
      <c r="E348" s="781"/>
      <c r="F348" s="771"/>
      <c r="G348" s="138" t="s">
        <v>69</v>
      </c>
      <c r="H348" s="771"/>
      <c r="I348" s="133" t="s">
        <v>70</v>
      </c>
      <c r="J348" s="133" t="s">
        <v>100</v>
      </c>
      <c r="K348" s="133" t="s">
        <v>96</v>
      </c>
      <c r="L348" s="133" t="s">
        <v>70</v>
      </c>
      <c r="M348" s="133" t="s">
        <v>100</v>
      </c>
      <c r="N348" s="133" t="s">
        <v>96</v>
      </c>
      <c r="O348" s="133" t="s">
        <v>93</v>
      </c>
      <c r="P348" s="133" t="s">
        <v>70</v>
      </c>
      <c r="Q348" s="133" t="s">
        <v>100</v>
      </c>
      <c r="R348" s="140" t="s">
        <v>96</v>
      </c>
      <c r="U348" s="134"/>
    </row>
    <row r="349" spans="1:21" ht="18.75" customHeight="1" thickBot="1">
      <c r="A349" s="773" t="s">
        <v>457</v>
      </c>
      <c r="B349" s="769" t="s">
        <v>126</v>
      </c>
      <c r="C349" s="769" t="s">
        <v>122</v>
      </c>
      <c r="D349" s="774">
        <v>18</v>
      </c>
      <c r="E349" s="769">
        <v>7</v>
      </c>
      <c r="F349" s="588" t="s">
        <v>205</v>
      </c>
      <c r="G349" s="137">
        <v>7</v>
      </c>
      <c r="H349" s="144">
        <v>3</v>
      </c>
      <c r="I349" s="145">
        <f>INDEX('دورة1 دورة2'!B10:BJ30,MATCH("o",'دورة1 دورة2'!B10:B30,0),9)</f>
        <v>39.75</v>
      </c>
      <c r="J349" s="146">
        <f>IF(I349&lt;30,0,7)</f>
        <v>7</v>
      </c>
      <c r="K349" s="199" t="str">
        <f>INDEX('دورة1 دورة2'!B10:BJ30,MATCH("o",'دورة1 دورة2'!B10:B30,0),11)</f>
        <v>د1</v>
      </c>
      <c r="L349" s="770">
        <f>(I349+I350+I351)/7</f>
        <v>12.464285714285714</v>
      </c>
      <c r="M349" s="763">
        <f>IF(L349&lt;10,J349+J350+J351,18)</f>
        <v>18</v>
      </c>
      <c r="N349" s="763" t="str">
        <f>INDEX('دورة1 دورة2'!B10:BJ30,MATCH("o",'دورة1 دورة2'!B10:B30,0),20)</f>
        <v>د1</v>
      </c>
      <c r="O349" s="763">
        <f>LOOKUP("r",'دورة1 دورة2'!B:B,'دورة1 دورة2'!AG:AG)</f>
        <v>2018</v>
      </c>
      <c r="P349" s="765">
        <f>(I349+I350+I351+I352+I353+I354+I355)/14</f>
        <v>11.5</v>
      </c>
      <c r="Q349" s="766">
        <f>IF(P349&lt;10,M349+M352+M354+M355,30)</f>
        <v>30</v>
      </c>
      <c r="R349" s="767" t="str">
        <f>INDEX('دورة1 دورة2'!B10:BJ30,MATCH("o",'دورة1 دورة2'!B10:B30,0),51)</f>
        <v>د1</v>
      </c>
      <c r="S349" s="764"/>
      <c r="U349" s="134"/>
    </row>
    <row r="350" spans="1:19" ht="18.75" customHeight="1" thickBot="1">
      <c r="A350" s="773"/>
      <c r="B350" s="769"/>
      <c r="C350" s="769"/>
      <c r="D350" s="769"/>
      <c r="E350" s="769"/>
      <c r="F350" s="589" t="s">
        <v>206</v>
      </c>
      <c r="G350" s="137">
        <v>6</v>
      </c>
      <c r="H350" s="144">
        <v>2</v>
      </c>
      <c r="I350" s="145">
        <f>INDEX('دورة1 دورة2'!B10:BJ30,MATCH("o",'دورة1 دورة2'!B10:B30,0),12)</f>
        <v>25.5</v>
      </c>
      <c r="J350" s="146">
        <f>IF(I350&lt;20,0,6)</f>
        <v>6</v>
      </c>
      <c r="K350" s="199" t="str">
        <f>INDEX('دورة1 دورة2'!B10:BJ30,MATCH("o",'دورة1 دورة2'!B10:B30,0),14)</f>
        <v>د1</v>
      </c>
      <c r="L350" s="770"/>
      <c r="M350" s="763"/>
      <c r="N350" s="763"/>
      <c r="O350" s="763"/>
      <c r="P350" s="765"/>
      <c r="Q350" s="766"/>
      <c r="R350" s="767"/>
      <c r="S350" s="764"/>
    </row>
    <row r="351" spans="1:19" ht="18.75" customHeight="1" thickBot="1">
      <c r="A351" s="773"/>
      <c r="B351" s="769"/>
      <c r="C351" s="769"/>
      <c r="D351" s="769"/>
      <c r="E351" s="769"/>
      <c r="F351" s="589" t="s">
        <v>207</v>
      </c>
      <c r="G351" s="137">
        <v>5</v>
      </c>
      <c r="H351" s="144">
        <v>2</v>
      </c>
      <c r="I351" s="145">
        <f>INDEX('دورة1 دورة2'!B10:BJ30,MATCH("o",'دورة1 دورة2'!B10:B30,0),15)</f>
        <v>22</v>
      </c>
      <c r="J351" s="146">
        <f>IF(I351&lt;20,0,5)</f>
        <v>5</v>
      </c>
      <c r="K351" s="199" t="str">
        <f>INDEX('دورة1 دورة2'!B10:BJ30,MATCH("o",'دورة1 دورة2'!B10:B30,0),17)</f>
        <v>د1</v>
      </c>
      <c r="L351" s="770"/>
      <c r="M351" s="763"/>
      <c r="N351" s="763"/>
      <c r="O351" s="763"/>
      <c r="P351" s="765"/>
      <c r="Q351" s="766"/>
      <c r="R351" s="767"/>
      <c r="S351" s="764"/>
    </row>
    <row r="352" spans="1:19" ht="18.75" customHeight="1" thickBot="1">
      <c r="A352" s="773"/>
      <c r="B352" s="769" t="s">
        <v>127</v>
      </c>
      <c r="C352" s="769" t="s">
        <v>123</v>
      </c>
      <c r="D352" s="769">
        <v>9</v>
      </c>
      <c r="E352" s="769">
        <v>4</v>
      </c>
      <c r="F352" s="590" t="s">
        <v>208</v>
      </c>
      <c r="G352" s="137">
        <v>5</v>
      </c>
      <c r="H352" s="144">
        <v>2</v>
      </c>
      <c r="I352" s="145">
        <f>INDEX('دورة1 دورة2'!B10:BJ30,MATCH("o",'دورة1 دورة2'!B10:B30,0),23)</f>
        <v>20</v>
      </c>
      <c r="J352" s="146">
        <f>IF(I352&lt;20,0,5)</f>
        <v>5</v>
      </c>
      <c r="K352" s="199" t="str">
        <f>INDEX('دورة1 دورة2'!B10:BJ30,MATCH("o",'دورة1 دورة2'!B10:B30,0),25)</f>
        <v>د1</v>
      </c>
      <c r="L352" s="770">
        <f>(I353+I352)/4</f>
        <v>11.625</v>
      </c>
      <c r="M352" s="763">
        <f>IF(L352&lt;10,J353+J352,9)</f>
        <v>9</v>
      </c>
      <c r="N352" s="763" t="str">
        <f>INDEX('دورة1 دورة2'!B10:BJ30,MATCH("o",'دورة1 دورة2'!B10:B30,0),31)</f>
        <v>د1</v>
      </c>
      <c r="O352" s="763">
        <f>LOOKUP("r",'دورة1 دورة2'!B:B,'دورة1 دورة2'!AN:AN)</f>
        <v>2018</v>
      </c>
      <c r="P352" s="765"/>
      <c r="Q352" s="766"/>
      <c r="R352" s="767"/>
      <c r="S352" s="764"/>
    </row>
    <row r="353" spans="1:19" ht="18.75" customHeight="1" thickBot="1">
      <c r="A353" s="773"/>
      <c r="B353" s="769"/>
      <c r="C353" s="769"/>
      <c r="D353" s="769"/>
      <c r="E353" s="769"/>
      <c r="F353" s="589" t="s">
        <v>209</v>
      </c>
      <c r="G353" s="137">
        <v>4</v>
      </c>
      <c r="H353" s="144">
        <v>2</v>
      </c>
      <c r="I353" s="145">
        <f>INDEX('دورة1 دورة2'!B10:BJ30,MATCH("o",'دورة1 دورة2'!B10:B30,0),26)</f>
        <v>26.5</v>
      </c>
      <c r="J353" s="146">
        <f>IF(I353&lt;20,0,4)</f>
        <v>4</v>
      </c>
      <c r="K353" s="199" t="str">
        <f>INDEX('دورة1 دورة2'!B10:BJ30,MATCH("o",'دورة1 دورة2'!B10:B30,0),28)</f>
        <v>د1</v>
      </c>
      <c r="L353" s="770"/>
      <c r="M353" s="763"/>
      <c r="N353" s="763"/>
      <c r="O353" s="763"/>
      <c r="P353" s="765"/>
      <c r="Q353" s="766"/>
      <c r="R353" s="767"/>
      <c r="S353" s="764"/>
    </row>
    <row r="354" spans="1:19" ht="18.75" customHeight="1" thickBot="1">
      <c r="A354" s="773"/>
      <c r="B354" s="137" t="s">
        <v>128</v>
      </c>
      <c r="C354" s="137" t="s">
        <v>124</v>
      </c>
      <c r="D354" s="137">
        <v>2</v>
      </c>
      <c r="E354" s="137">
        <v>2</v>
      </c>
      <c r="F354" s="589" t="s">
        <v>211</v>
      </c>
      <c r="G354" s="137">
        <v>2</v>
      </c>
      <c r="H354" s="144">
        <v>2</v>
      </c>
      <c r="I354" s="145">
        <f>INDEX('دورة1 دورة2'!B10:BJ30,MATCH("o",'دورة1 دورة2'!B10:B30,0),34)</f>
        <v>20</v>
      </c>
      <c r="J354" s="146">
        <f>IF(I354&lt;20,0,2)</f>
        <v>2</v>
      </c>
      <c r="K354" s="199" t="str">
        <f>INDEX('دورة1 دورة2'!B10:BJ30,MATCH("o",'دورة1 دورة2'!B10:B30,0),36)</f>
        <v>د1</v>
      </c>
      <c r="L354" s="147">
        <f>I354/2</f>
        <v>10</v>
      </c>
      <c r="M354" s="148">
        <f>J354</f>
        <v>2</v>
      </c>
      <c r="N354" s="199" t="str">
        <f>INDEX('دورة1 دورة2'!B10:BJ30,MATCH("o",'دورة1 دورة2'!B10:B30,0),36)</f>
        <v>د1</v>
      </c>
      <c r="O354" s="146">
        <f>LOOKUP("r",'دورة1 دورة2'!B:B,'دورة1 دورة2'!AU:AU)</f>
        <v>2018</v>
      </c>
      <c r="P354" s="765"/>
      <c r="Q354" s="766"/>
      <c r="R354" s="767"/>
      <c r="S354" s="131"/>
    </row>
    <row r="355" spans="1:19" ht="18.75" customHeight="1" thickBot="1">
      <c r="A355" s="773"/>
      <c r="B355" s="137" t="s">
        <v>129</v>
      </c>
      <c r="C355" s="137" t="s">
        <v>125</v>
      </c>
      <c r="D355" s="137">
        <v>1</v>
      </c>
      <c r="E355" s="137">
        <v>1</v>
      </c>
      <c r="F355" s="591" t="s">
        <v>191</v>
      </c>
      <c r="G355" s="137">
        <v>1</v>
      </c>
      <c r="H355" s="144">
        <v>1</v>
      </c>
      <c r="I355" s="145">
        <f>INDEX('دورة1 دورة2'!B10:BJ30,MATCH("o",'دورة1 دورة2'!B10:B30,0),41)</f>
        <v>7.25</v>
      </c>
      <c r="J355" s="146">
        <f>IF(I355&lt;10,0,1)</f>
        <v>0</v>
      </c>
      <c r="K355" s="199" t="str">
        <f>INDEX('دورة1 دورة2'!B10:BJ30,MATCH("o",'دورة1 دورة2'!B10:B30,0),43)</f>
        <v>د1</v>
      </c>
      <c r="L355" s="147">
        <f>I355</f>
        <v>7.25</v>
      </c>
      <c r="M355" s="148">
        <f>J355</f>
        <v>0</v>
      </c>
      <c r="N355" s="199" t="str">
        <f>INDEX('دورة1 دورة2'!B10:BJ30,MATCH("o",'دورة1 دورة2'!B10:B30,0),43)</f>
        <v>د1</v>
      </c>
      <c r="O355" s="146">
        <f>LOOKUP("r",'دورة1 دورة2'!B:B,'دورة1 دورة2'!AU:AU)</f>
        <v>2018</v>
      </c>
      <c r="P355" s="765"/>
      <c r="Q355" s="766"/>
      <c r="R355" s="768"/>
      <c r="S355" s="131"/>
    </row>
    <row r="356" spans="1:19" ht="78" customHeight="1" thickBot="1">
      <c r="A356" s="342" t="s">
        <v>458</v>
      </c>
      <c r="B356" s="137" t="s">
        <v>126</v>
      </c>
      <c r="C356" s="137" t="s">
        <v>122</v>
      </c>
      <c r="D356" s="137">
        <v>18</v>
      </c>
      <c r="E356" s="137">
        <v>7</v>
      </c>
      <c r="F356" s="592" t="s">
        <v>213</v>
      </c>
      <c r="G356" s="137">
        <v>7</v>
      </c>
      <c r="H356" s="144">
        <v>2</v>
      </c>
      <c r="I356" s="145">
        <f>INDEX('دورة1 دورة2'!B10:BJ30,MATCH("o",'دورة1 دورة2'!B10:B30,0),54)</f>
        <v>0</v>
      </c>
      <c r="J356" s="146">
        <f>IF(I356&lt;300,0,30)</f>
        <v>0</v>
      </c>
      <c r="K356" s="199" t="str">
        <f>INDEX('دورة1 دورة2'!B10:BJ30,MATCH("o",'دورة1 دورة2'!B10:B30,0),56)</f>
        <v>د1</v>
      </c>
      <c r="L356" s="147">
        <f>(I356)/30</f>
        <v>0</v>
      </c>
      <c r="M356" s="148">
        <f>IF(L356&lt;10,J356,30)</f>
        <v>0</v>
      </c>
      <c r="N356" s="148" t="str">
        <f>INDEX('دورة1 دورة2'!B10:BJ30,MATCH("o",'دورة1 دورة2'!B10:B30,0),56)</f>
        <v>د1</v>
      </c>
      <c r="O356" s="148" t="e">
        <f>LOOKUP("r",'دورة1 دورة2'!B:B,'دورة1 دورة2'!#REF!)</f>
        <v>#REF!</v>
      </c>
      <c r="P356" s="341">
        <f>(I356)/30</f>
        <v>0</v>
      </c>
      <c r="Q356" s="146">
        <f>IF(P356&lt;10,M356,30)</f>
        <v>0</v>
      </c>
      <c r="R356" s="343" t="str">
        <f>INDEX('دورة1 دورة2'!B10:BJ30,MATCH("o",'دورة1 دورة2'!B10:B30,0),60)</f>
        <v>د1</v>
      </c>
      <c r="S356" s="131"/>
    </row>
    <row r="357" spans="1:18" ht="17.25" customHeight="1" thickBot="1">
      <c r="A357" s="62" t="s">
        <v>150</v>
      </c>
      <c r="B357" s="135">
        <f>(P349+P356)/2</f>
        <v>5.75</v>
      </c>
      <c r="C357" s="759" t="s">
        <v>461</v>
      </c>
      <c r="D357" s="760"/>
      <c r="E357" s="760"/>
      <c r="F357" s="761"/>
      <c r="G357" s="136">
        <f>Q349+Q356</f>
        <v>30</v>
      </c>
      <c r="H357" s="6"/>
      <c r="I357" s="6"/>
      <c r="J357" s="134" t="s">
        <v>72</v>
      </c>
      <c r="K357" s="6"/>
      <c r="L357" s="6"/>
      <c r="M357" s="6"/>
      <c r="N357" s="6"/>
      <c r="O357" s="6"/>
      <c r="P357" s="583">
        <v>120</v>
      </c>
      <c r="Q357" s="130"/>
      <c r="R357" s="130"/>
    </row>
    <row r="358" spans="1:18" ht="16.5" customHeight="1" thickBot="1">
      <c r="A358" s="62" t="s">
        <v>121</v>
      </c>
      <c r="B358" s="75" t="str">
        <f>IF(B357&lt;10,"راسب(ة)","ناجح(ة)")</f>
        <v>راسب(ة)</v>
      </c>
      <c r="G358" s="129"/>
      <c r="I358" s="80"/>
      <c r="J358" s="134" t="s">
        <v>73</v>
      </c>
      <c r="K358" s="6"/>
      <c r="L358" s="6"/>
      <c r="M358" s="6"/>
      <c r="N358" s="6"/>
      <c r="O358" s="6"/>
      <c r="P358" s="133">
        <v>120</v>
      </c>
      <c r="Q358" s="5"/>
      <c r="R358" s="5"/>
    </row>
    <row r="359" spans="1:7" ht="16.5" customHeight="1">
      <c r="A359" s="62" t="s">
        <v>120</v>
      </c>
      <c r="B359" s="77">
        <f ca="1">TODAY()</f>
        <v>43188</v>
      </c>
      <c r="G359" s="129"/>
    </row>
    <row r="360" spans="1:14" ht="16.5" customHeight="1">
      <c r="A360" s="62" t="s">
        <v>74</v>
      </c>
      <c r="B360" s="8" t="s">
        <v>119</v>
      </c>
      <c r="L360" s="762" t="s">
        <v>29</v>
      </c>
      <c r="M360" s="762"/>
      <c r="N360" s="75"/>
    </row>
    <row r="361" spans="1:17" ht="20.25">
      <c r="A361" s="187" t="s">
        <v>45</v>
      </c>
      <c r="B361" s="188"/>
      <c r="C361" s="188"/>
      <c r="D361" s="188"/>
      <c r="E361" s="188"/>
      <c r="F361" s="188"/>
      <c r="G361" s="188"/>
      <c r="H361" s="189"/>
      <c r="I361" s="189"/>
      <c r="J361" s="189"/>
      <c r="K361" s="189"/>
      <c r="L361" s="189"/>
      <c r="M361" s="78" t="s">
        <v>46</v>
      </c>
      <c r="N361" s="189"/>
      <c r="O361" s="78"/>
      <c r="P361" s="189"/>
      <c r="Q361" s="189"/>
    </row>
    <row r="362" spans="6:10" ht="15" customHeight="1">
      <c r="F362" s="191" t="s">
        <v>47</v>
      </c>
      <c r="G362" s="10" t="s">
        <v>19</v>
      </c>
      <c r="H362" s="10"/>
      <c r="I362" s="10"/>
      <c r="J362" s="10"/>
    </row>
    <row r="363" spans="6:10" ht="15" customHeight="1">
      <c r="F363" s="191" t="s">
        <v>48</v>
      </c>
      <c r="G363" s="10" t="s">
        <v>49</v>
      </c>
      <c r="H363" s="10"/>
      <c r="I363" s="10"/>
      <c r="J363" s="10"/>
    </row>
    <row r="364" spans="6:10" ht="15" customHeight="1">
      <c r="F364" s="191" t="s">
        <v>50</v>
      </c>
      <c r="G364" s="10" t="s">
        <v>51</v>
      </c>
      <c r="H364" s="10"/>
      <c r="I364" s="10"/>
      <c r="J364" s="10"/>
    </row>
    <row r="365" spans="4:11" ht="21" customHeight="1">
      <c r="D365" s="782" t="s">
        <v>99</v>
      </c>
      <c r="E365" s="782"/>
      <c r="F365" s="782"/>
      <c r="G365" s="782"/>
      <c r="H365" s="782"/>
      <c r="I365" s="782"/>
      <c r="J365" s="782"/>
      <c r="K365" s="782"/>
    </row>
    <row r="366" spans="1:18" ht="18">
      <c r="A366" s="2" t="s">
        <v>148</v>
      </c>
      <c r="B366" s="196" t="str">
        <f>B6</f>
        <v>2017/2018</v>
      </c>
      <c r="C366" s="62"/>
      <c r="E366" s="61"/>
      <c r="F366" s="62"/>
      <c r="G366" s="157"/>
      <c r="H366" s="62"/>
      <c r="I366" s="61"/>
      <c r="J366" s="61"/>
      <c r="K366" s="61"/>
      <c r="L366" s="151"/>
      <c r="M366" s="151"/>
      <c r="N366" s="151"/>
      <c r="O366" s="151"/>
      <c r="P366" s="61"/>
      <c r="Q366" s="61"/>
      <c r="R366" s="61"/>
    </row>
    <row r="367" spans="1:18" ht="15.75" customHeight="1">
      <c r="A367" s="62" t="s">
        <v>147</v>
      </c>
      <c r="B367" s="190" t="str">
        <f>INDEX('دورة1 دورة2'!B10:BJ30,MATCH("p",'دورة1 دورة2'!B10:B30,0),3)</f>
        <v>قرايفية </v>
      </c>
      <c r="C367" s="158" t="s">
        <v>146</v>
      </c>
      <c r="D367" s="186" t="str">
        <f>INDEX('دورة1 دورة2'!B10:BJ30,MATCH("p",'دورة1 دورة2'!B10:B30,0),4)</f>
        <v>فؤاد</v>
      </c>
      <c r="E367" s="62"/>
      <c r="F367" s="158" t="s">
        <v>52</v>
      </c>
      <c r="G367" s="783">
        <f>INDEX('دورة1 دورة2'!B10:BJ30,MATCH("p",'دورة1 دورة2'!B10:B30,0),6)</f>
        <v>0</v>
      </c>
      <c r="H367" s="783"/>
      <c r="I367" s="783"/>
      <c r="J367" s="61"/>
      <c r="K367" s="132" t="s">
        <v>53</v>
      </c>
      <c r="L367" s="784">
        <f>INDEX('دورة1 دورة2'!B10:BJ30,MATCH("p",'دورة1 دورة2'!B10:B30,0),7)</f>
        <v>0</v>
      </c>
      <c r="M367" s="784"/>
      <c r="O367" s="186"/>
      <c r="P367" s="8" t="s">
        <v>54</v>
      </c>
      <c r="Q367" s="784">
        <f>INDEX('دورة1 دورة2'!B10:BJ30,MATCH("p",'دورة1 دورة2'!B10:B30,0),8)</f>
        <v>0</v>
      </c>
      <c r="R367" s="784"/>
    </row>
    <row r="368" spans="1:18" ht="15" customHeight="1">
      <c r="A368" s="2" t="s">
        <v>149</v>
      </c>
      <c r="B368" s="190">
        <f>INDEX('دورة1 دورة2'!B10:BJ30,MATCH("p",'دورة1 دورة2'!B10:B30,0),5)</f>
        <v>0</v>
      </c>
      <c r="C368" s="166"/>
      <c r="D368" s="9" t="s">
        <v>55</v>
      </c>
      <c r="E368" s="11" t="s">
        <v>56</v>
      </c>
      <c r="F368" s="11"/>
      <c r="G368" s="156"/>
      <c r="H368" s="11"/>
      <c r="I368" s="9"/>
      <c r="J368" s="9" t="s">
        <v>57</v>
      </c>
      <c r="K368" s="9"/>
      <c r="L368" s="11"/>
      <c r="N368" s="4" t="s">
        <v>98</v>
      </c>
      <c r="O368" s="2" t="s">
        <v>98</v>
      </c>
      <c r="P368" s="10" t="s">
        <v>97</v>
      </c>
      <c r="R368" s="61"/>
    </row>
    <row r="369" spans="1:16" ht="15.75" thickBot="1">
      <c r="A369" s="3" t="s">
        <v>58</v>
      </c>
      <c r="B369" s="139" t="s">
        <v>200</v>
      </c>
      <c r="C369" s="139"/>
      <c r="G369" s="129"/>
      <c r="J369" s="4"/>
      <c r="K369" s="4"/>
      <c r="M369" s="4"/>
      <c r="N369" s="4"/>
      <c r="O369" s="126"/>
      <c r="P369" s="126"/>
    </row>
    <row r="370" spans="1:18" ht="27" customHeight="1" thickBot="1" thickTop="1">
      <c r="A370" s="775" t="s">
        <v>25</v>
      </c>
      <c r="B370" s="777" t="s">
        <v>59</v>
      </c>
      <c r="C370" s="777"/>
      <c r="D370" s="778"/>
      <c r="E370" s="777"/>
      <c r="F370" s="777" t="s">
        <v>60</v>
      </c>
      <c r="G370" s="777"/>
      <c r="H370" s="777"/>
      <c r="I370" s="777" t="s">
        <v>61</v>
      </c>
      <c r="J370" s="777"/>
      <c r="K370" s="777"/>
      <c r="L370" s="777"/>
      <c r="M370" s="777"/>
      <c r="N370" s="777"/>
      <c r="O370" s="777"/>
      <c r="P370" s="777"/>
      <c r="Q370" s="777"/>
      <c r="R370" s="779"/>
    </row>
    <row r="371" spans="1:18" ht="15.75" thickBot="1">
      <c r="A371" s="776"/>
      <c r="B371" s="780" t="s">
        <v>63</v>
      </c>
      <c r="C371" s="771" t="s">
        <v>62</v>
      </c>
      <c r="D371" s="149" t="s">
        <v>64</v>
      </c>
      <c r="E371" s="781" t="s">
        <v>65</v>
      </c>
      <c r="F371" s="771" t="s">
        <v>66</v>
      </c>
      <c r="G371" s="138" t="s">
        <v>64</v>
      </c>
      <c r="H371" s="771" t="s">
        <v>65</v>
      </c>
      <c r="I371" s="771" t="s">
        <v>67</v>
      </c>
      <c r="J371" s="771"/>
      <c r="K371" s="771"/>
      <c r="L371" s="771" t="s">
        <v>68</v>
      </c>
      <c r="M371" s="771"/>
      <c r="N371" s="771"/>
      <c r="O371" s="771"/>
      <c r="P371" s="771" t="s">
        <v>25</v>
      </c>
      <c r="Q371" s="771"/>
      <c r="R371" s="772"/>
    </row>
    <row r="372" spans="1:21" ht="15.75" thickBot="1">
      <c r="A372" s="776"/>
      <c r="B372" s="780"/>
      <c r="C372" s="771"/>
      <c r="D372" s="150" t="s">
        <v>69</v>
      </c>
      <c r="E372" s="781"/>
      <c r="F372" s="771"/>
      <c r="G372" s="138" t="s">
        <v>69</v>
      </c>
      <c r="H372" s="771"/>
      <c r="I372" s="133" t="s">
        <v>70</v>
      </c>
      <c r="J372" s="133" t="s">
        <v>100</v>
      </c>
      <c r="K372" s="133" t="s">
        <v>96</v>
      </c>
      <c r="L372" s="133" t="s">
        <v>70</v>
      </c>
      <c r="M372" s="133" t="s">
        <v>100</v>
      </c>
      <c r="N372" s="133" t="s">
        <v>96</v>
      </c>
      <c r="O372" s="133" t="s">
        <v>93</v>
      </c>
      <c r="P372" s="133" t="s">
        <v>70</v>
      </c>
      <c r="Q372" s="133" t="s">
        <v>100</v>
      </c>
      <c r="R372" s="140" t="s">
        <v>96</v>
      </c>
      <c r="U372" s="134"/>
    </row>
    <row r="373" spans="1:21" ht="21.75" customHeight="1" thickBot="1">
      <c r="A373" s="773" t="s">
        <v>457</v>
      </c>
      <c r="B373" s="769" t="s">
        <v>126</v>
      </c>
      <c r="C373" s="769" t="s">
        <v>122</v>
      </c>
      <c r="D373" s="774">
        <v>18</v>
      </c>
      <c r="E373" s="769">
        <v>7</v>
      </c>
      <c r="F373" s="588" t="s">
        <v>205</v>
      </c>
      <c r="G373" s="137">
        <v>7</v>
      </c>
      <c r="H373" s="144">
        <v>3</v>
      </c>
      <c r="I373" s="145">
        <f>INDEX('دورة1 دورة2'!B10:BJ30,MATCH("p",'دورة1 دورة2'!B10:B30,0),9)</f>
        <v>42.75</v>
      </c>
      <c r="J373" s="146">
        <f>IF(I373&lt;30,0,7)</f>
        <v>7</v>
      </c>
      <c r="K373" s="199" t="str">
        <f>INDEX('دورة1 دورة2'!B10:BJ30,MATCH("p",'دورة1 دورة2'!B10:B30,0),11)</f>
        <v>د1</v>
      </c>
      <c r="L373" s="770">
        <f>(I373+I374+I375)/7</f>
        <v>11.392857142857142</v>
      </c>
      <c r="M373" s="763">
        <f>IF(L373&lt;10,J373+J374+J375,18)</f>
        <v>18</v>
      </c>
      <c r="N373" s="763" t="str">
        <f>INDEX('دورة1 دورة2'!B10:BJ30,MATCH("p",'دورة1 دورة2'!B10:B30,0),20)</f>
        <v>د1</v>
      </c>
      <c r="O373" s="763">
        <f>LOOKUP("r",'دورة1 دورة2'!B:B,'دورة1 دورة2'!AG:AG)</f>
        <v>2018</v>
      </c>
      <c r="P373" s="765">
        <f>(I373+I374+I375+I376+I377+I378+I379)/14</f>
        <v>11.532142857142857</v>
      </c>
      <c r="Q373" s="766">
        <f>IF(P373&lt;10,M373+M376+M378+M379,30)</f>
        <v>30</v>
      </c>
      <c r="R373" s="767" t="str">
        <f>INDEX('دورة1 دورة2'!B10:BJ30,MATCH("p",'دورة1 دورة2'!B10:B30,0),51)</f>
        <v>د1</v>
      </c>
      <c r="S373" s="764"/>
      <c r="U373" s="134"/>
    </row>
    <row r="374" spans="1:19" ht="21.75" customHeight="1" thickBot="1">
      <c r="A374" s="773"/>
      <c r="B374" s="769"/>
      <c r="C374" s="769"/>
      <c r="D374" s="769"/>
      <c r="E374" s="769"/>
      <c r="F374" s="589" t="s">
        <v>206</v>
      </c>
      <c r="G374" s="137">
        <v>6</v>
      </c>
      <c r="H374" s="144">
        <v>2</v>
      </c>
      <c r="I374" s="145">
        <f>INDEX('دورة1 دورة2'!B10:BJ30,MATCH("p",'دورة1 دورة2'!B10:B30,0),12)</f>
        <v>14</v>
      </c>
      <c r="J374" s="146">
        <f>IF(I374&lt;20,0,6)</f>
        <v>0</v>
      </c>
      <c r="K374" s="199" t="str">
        <f>INDEX('دورة1 دورة2'!B10:BJ30,MATCH("p",'دورة1 دورة2'!B10:B30,0),14)</f>
        <v>د1</v>
      </c>
      <c r="L374" s="770"/>
      <c r="M374" s="763"/>
      <c r="N374" s="763"/>
      <c r="O374" s="763"/>
      <c r="P374" s="765"/>
      <c r="Q374" s="766"/>
      <c r="R374" s="767"/>
      <c r="S374" s="764"/>
    </row>
    <row r="375" spans="1:19" ht="21.75" customHeight="1" thickBot="1">
      <c r="A375" s="773"/>
      <c r="B375" s="769"/>
      <c r="C375" s="769"/>
      <c r="D375" s="769"/>
      <c r="E375" s="769"/>
      <c r="F375" s="589" t="s">
        <v>207</v>
      </c>
      <c r="G375" s="137">
        <v>5</v>
      </c>
      <c r="H375" s="144">
        <v>2</v>
      </c>
      <c r="I375" s="145">
        <f>INDEX('دورة1 دورة2'!B10:BJ30,MATCH("p",'دورة1 دورة2'!B10:B30,0),15)</f>
        <v>23</v>
      </c>
      <c r="J375" s="146">
        <f>IF(I375&lt;20,0,5)</f>
        <v>5</v>
      </c>
      <c r="K375" s="199" t="str">
        <f>INDEX('دورة1 دورة2'!B10:BJ30,MATCH("p",'دورة1 دورة2'!B10:B30,0),17)</f>
        <v>د1</v>
      </c>
      <c r="L375" s="770"/>
      <c r="M375" s="763"/>
      <c r="N375" s="763"/>
      <c r="O375" s="763"/>
      <c r="P375" s="765"/>
      <c r="Q375" s="766"/>
      <c r="R375" s="767"/>
      <c r="S375" s="764"/>
    </row>
    <row r="376" spans="1:19" ht="21.75" customHeight="1" thickBot="1">
      <c r="A376" s="773"/>
      <c r="B376" s="769" t="s">
        <v>127</v>
      </c>
      <c r="C376" s="769" t="s">
        <v>123</v>
      </c>
      <c r="D376" s="769">
        <v>9</v>
      </c>
      <c r="E376" s="769">
        <v>4</v>
      </c>
      <c r="F376" s="590" t="s">
        <v>208</v>
      </c>
      <c r="G376" s="137">
        <v>5</v>
      </c>
      <c r="H376" s="144">
        <v>2</v>
      </c>
      <c r="I376" s="145">
        <f>INDEX('دورة1 دورة2'!B10:BJ30,MATCH("p",'دورة1 دورة2'!B10:B30,0),23)</f>
        <v>24.2</v>
      </c>
      <c r="J376" s="146">
        <f>IF(I376&lt;20,0,5)</f>
        <v>5</v>
      </c>
      <c r="K376" s="199" t="str">
        <f>INDEX('دورة1 دورة2'!B10:BJ30,MATCH("p",'دورة1 دورة2'!B10:B30,0),25)</f>
        <v>د1</v>
      </c>
      <c r="L376" s="770">
        <f>(I377+I376)/4</f>
        <v>12.425</v>
      </c>
      <c r="M376" s="763">
        <f>IF(L376&lt;10,J377+J376,9)</f>
        <v>9</v>
      </c>
      <c r="N376" s="763" t="str">
        <f>INDEX('دورة1 دورة2'!B10:BJ30,MATCH("p",'دورة1 دورة2'!B10:B30,0),31)</f>
        <v>د1</v>
      </c>
      <c r="O376" s="763">
        <f>LOOKUP("r",'دورة1 دورة2'!B:B,'دورة1 دورة2'!AN:AN)</f>
        <v>2018</v>
      </c>
      <c r="P376" s="765"/>
      <c r="Q376" s="766"/>
      <c r="R376" s="767"/>
      <c r="S376" s="764"/>
    </row>
    <row r="377" spans="1:19" ht="21.75" customHeight="1" thickBot="1">
      <c r="A377" s="773"/>
      <c r="B377" s="769"/>
      <c r="C377" s="769"/>
      <c r="D377" s="769"/>
      <c r="E377" s="769"/>
      <c r="F377" s="589" t="s">
        <v>209</v>
      </c>
      <c r="G377" s="137">
        <v>4</v>
      </c>
      <c r="H377" s="144">
        <v>2</v>
      </c>
      <c r="I377" s="145">
        <f>INDEX('دورة1 دورة2'!B10:BJ30,MATCH("p",'دورة1 دورة2'!B10:B30,0),26)</f>
        <v>25.5</v>
      </c>
      <c r="J377" s="146">
        <f>IF(I377&lt;20,0,4)</f>
        <v>4</v>
      </c>
      <c r="K377" s="199" t="str">
        <f>INDEX('دورة1 دورة2'!B10:BJ30,MATCH("p",'دورة1 دورة2'!B10:B30,0),28)</f>
        <v>د1</v>
      </c>
      <c r="L377" s="770"/>
      <c r="M377" s="763"/>
      <c r="N377" s="763"/>
      <c r="O377" s="763"/>
      <c r="P377" s="765"/>
      <c r="Q377" s="766"/>
      <c r="R377" s="767"/>
      <c r="S377" s="764"/>
    </row>
    <row r="378" spans="1:19" ht="21.75" customHeight="1" thickBot="1">
      <c r="A378" s="773"/>
      <c r="B378" s="137" t="s">
        <v>128</v>
      </c>
      <c r="C378" s="137" t="s">
        <v>124</v>
      </c>
      <c r="D378" s="137">
        <v>2</v>
      </c>
      <c r="E378" s="137">
        <v>2</v>
      </c>
      <c r="F378" s="589" t="s">
        <v>211</v>
      </c>
      <c r="G378" s="137">
        <v>2</v>
      </c>
      <c r="H378" s="144">
        <v>2</v>
      </c>
      <c r="I378" s="145">
        <f>INDEX('دورة1 دورة2'!B10:BJ30,MATCH("p",'دورة1 دورة2'!B10:B30,0),34)</f>
        <v>27</v>
      </c>
      <c r="J378" s="146">
        <f>IF(I378&lt;20,0,2)</f>
        <v>2</v>
      </c>
      <c r="K378" s="199" t="str">
        <f>INDEX('دورة1 دورة2'!B10:BJ30,MATCH("p",'دورة1 دورة2'!B10:B30,0),36)</f>
        <v>د1</v>
      </c>
      <c r="L378" s="147">
        <f>I378/2</f>
        <v>13.5</v>
      </c>
      <c r="M378" s="148">
        <f>J378</f>
        <v>2</v>
      </c>
      <c r="N378" s="199" t="str">
        <f>INDEX('دورة1 دورة2'!B10:BJ30,MATCH("p",'دورة1 دورة2'!B10:B30,0),36)</f>
        <v>د1</v>
      </c>
      <c r="O378" s="146">
        <f>LOOKUP("r",'دورة1 دورة2'!B:B,'دورة1 دورة2'!AU:AU)</f>
        <v>2018</v>
      </c>
      <c r="P378" s="765"/>
      <c r="Q378" s="766"/>
      <c r="R378" s="767"/>
      <c r="S378" s="131"/>
    </row>
    <row r="379" spans="1:19" ht="21.75" customHeight="1" thickBot="1">
      <c r="A379" s="773"/>
      <c r="B379" s="137" t="s">
        <v>129</v>
      </c>
      <c r="C379" s="137" t="s">
        <v>125</v>
      </c>
      <c r="D379" s="137">
        <v>1</v>
      </c>
      <c r="E379" s="137">
        <v>1</v>
      </c>
      <c r="F379" s="591" t="s">
        <v>191</v>
      </c>
      <c r="G379" s="137">
        <v>1</v>
      </c>
      <c r="H379" s="144">
        <v>1</v>
      </c>
      <c r="I379" s="145">
        <f>INDEX('دورة1 دورة2'!B10:BJ30,MATCH("p",'دورة1 دورة2'!B10:B30,0),41)</f>
        <v>5</v>
      </c>
      <c r="J379" s="146">
        <f>IF(I379&lt;10,0,1)</f>
        <v>0</v>
      </c>
      <c r="K379" s="199" t="str">
        <f>INDEX('دورة1 دورة2'!B10:BJ30,MATCH("p",'دورة1 دورة2'!B10:B30,0),43)</f>
        <v>د1</v>
      </c>
      <c r="L379" s="147">
        <f>I379</f>
        <v>5</v>
      </c>
      <c r="M379" s="148">
        <f>J379</f>
        <v>0</v>
      </c>
      <c r="N379" s="199" t="str">
        <f>INDEX('دورة1 دورة2'!B10:BJ30,MATCH("p",'دورة1 دورة2'!B10:B30,0),43)</f>
        <v>د1</v>
      </c>
      <c r="O379" s="146">
        <f>LOOKUP("r",'دورة1 دورة2'!B:B,'دورة1 دورة2'!AU:AU)</f>
        <v>2018</v>
      </c>
      <c r="P379" s="765"/>
      <c r="Q379" s="766"/>
      <c r="R379" s="768"/>
      <c r="S379" s="131"/>
    </row>
    <row r="380" spans="1:19" ht="74.25" customHeight="1" thickBot="1">
      <c r="A380" s="342" t="s">
        <v>458</v>
      </c>
      <c r="B380" s="137" t="s">
        <v>126</v>
      </c>
      <c r="C380" s="137" t="s">
        <v>122</v>
      </c>
      <c r="D380" s="137">
        <v>18</v>
      </c>
      <c r="E380" s="137">
        <v>7</v>
      </c>
      <c r="F380" s="592" t="s">
        <v>213</v>
      </c>
      <c r="G380" s="137">
        <v>7</v>
      </c>
      <c r="H380" s="144">
        <v>2</v>
      </c>
      <c r="I380" s="145">
        <f>INDEX('دورة1 دورة2'!B10:BJ30,MATCH("p",'دورة1 دورة2'!B10:B30,0),54)</f>
        <v>0</v>
      </c>
      <c r="J380" s="146">
        <f>IF(I380&lt;300,0,30)</f>
        <v>0</v>
      </c>
      <c r="K380" s="199" t="str">
        <f>INDEX('دورة1 دورة2'!B10:BJ30,MATCH("p",'دورة1 دورة2'!B10:B30,0),56)</f>
        <v>د1</v>
      </c>
      <c r="L380" s="147">
        <f>(I380)/30</f>
        <v>0</v>
      </c>
      <c r="M380" s="148">
        <f>IF(L380&lt;10,J380,30)</f>
        <v>0</v>
      </c>
      <c r="N380" s="148" t="str">
        <f>INDEX('دورة1 دورة2'!B10:BJ30,MATCH("p",'دورة1 دورة2'!B10:B30,0),56)</f>
        <v>د1</v>
      </c>
      <c r="O380" s="148" t="e">
        <f>LOOKUP("r",'دورة1 دورة2'!B:B,'دورة1 دورة2'!#REF!)</f>
        <v>#REF!</v>
      </c>
      <c r="P380" s="341">
        <f>(I380)/30</f>
        <v>0</v>
      </c>
      <c r="Q380" s="146">
        <f>IF(P380&lt;10,M380,30)</f>
        <v>0</v>
      </c>
      <c r="R380" s="343" t="str">
        <f>INDEX('دورة1 دورة2'!B10:BJ30,MATCH("p",'دورة1 دورة2'!B10:B30,0),60)</f>
        <v>د1</v>
      </c>
      <c r="S380" s="131"/>
    </row>
    <row r="381" spans="1:18" ht="17.25" customHeight="1" thickBot="1">
      <c r="A381" s="62" t="s">
        <v>150</v>
      </c>
      <c r="B381" s="135">
        <f>(P373+P380)/2</f>
        <v>5.766071428571428</v>
      </c>
      <c r="C381" s="759" t="s">
        <v>461</v>
      </c>
      <c r="D381" s="760"/>
      <c r="E381" s="760"/>
      <c r="F381" s="761"/>
      <c r="G381" s="136">
        <f>Q373+Q380</f>
        <v>30</v>
      </c>
      <c r="H381" s="6"/>
      <c r="I381" s="6"/>
      <c r="J381" s="134" t="s">
        <v>72</v>
      </c>
      <c r="K381" s="6"/>
      <c r="L381" s="6"/>
      <c r="M381" s="6"/>
      <c r="N381" s="6"/>
      <c r="O381" s="6"/>
      <c r="P381" s="583">
        <v>120</v>
      </c>
      <c r="Q381" s="130"/>
      <c r="R381" s="130"/>
    </row>
    <row r="382" spans="1:18" ht="16.5" customHeight="1" thickBot="1">
      <c r="A382" s="62" t="s">
        <v>121</v>
      </c>
      <c r="B382" s="75" t="str">
        <f>IF(B381&lt;10,"راسب(ة)","ناجح(ة)")</f>
        <v>راسب(ة)</v>
      </c>
      <c r="G382" s="129"/>
      <c r="I382" s="80"/>
      <c r="J382" s="134" t="s">
        <v>73</v>
      </c>
      <c r="K382" s="6"/>
      <c r="L382" s="6"/>
      <c r="M382" s="6"/>
      <c r="N382" s="6"/>
      <c r="O382" s="6"/>
      <c r="P382" s="133">
        <v>120</v>
      </c>
      <c r="Q382" s="5"/>
      <c r="R382" s="5"/>
    </row>
    <row r="383" spans="1:7" ht="16.5" customHeight="1">
      <c r="A383" s="62" t="s">
        <v>120</v>
      </c>
      <c r="B383" s="77">
        <f ca="1">TODAY()</f>
        <v>43188</v>
      </c>
      <c r="G383" s="129"/>
    </row>
    <row r="384" spans="1:14" ht="16.5" customHeight="1">
      <c r="A384" s="62" t="s">
        <v>74</v>
      </c>
      <c r="B384" s="8" t="s">
        <v>119</v>
      </c>
      <c r="L384" s="762" t="s">
        <v>29</v>
      </c>
      <c r="M384" s="762"/>
      <c r="N384" s="75"/>
    </row>
    <row r="385" spans="1:17" ht="20.25">
      <c r="A385" s="187" t="s">
        <v>45</v>
      </c>
      <c r="B385" s="188"/>
      <c r="C385" s="188"/>
      <c r="D385" s="188"/>
      <c r="E385" s="188"/>
      <c r="F385" s="188"/>
      <c r="G385" s="188"/>
      <c r="H385" s="189"/>
      <c r="I385" s="189"/>
      <c r="J385" s="189"/>
      <c r="K385" s="189"/>
      <c r="L385" s="189"/>
      <c r="M385" s="78" t="s">
        <v>46</v>
      </c>
      <c r="N385" s="189"/>
      <c r="O385" s="78"/>
      <c r="P385" s="189"/>
      <c r="Q385" s="189"/>
    </row>
    <row r="386" spans="6:10" ht="15" customHeight="1">
      <c r="F386" s="191" t="s">
        <v>47</v>
      </c>
      <c r="G386" s="10" t="s">
        <v>19</v>
      </c>
      <c r="H386" s="10"/>
      <c r="I386" s="10"/>
      <c r="J386" s="10"/>
    </row>
    <row r="387" spans="6:10" ht="15" customHeight="1">
      <c r="F387" s="191" t="s">
        <v>48</v>
      </c>
      <c r="G387" s="10" t="s">
        <v>49</v>
      </c>
      <c r="H387" s="10"/>
      <c r="I387" s="10"/>
      <c r="J387" s="10"/>
    </row>
    <row r="388" spans="6:10" ht="15" customHeight="1">
      <c r="F388" s="191" t="s">
        <v>50</v>
      </c>
      <c r="G388" s="10" t="s">
        <v>51</v>
      </c>
      <c r="H388" s="10"/>
      <c r="I388" s="10"/>
      <c r="J388" s="10"/>
    </row>
    <row r="389" spans="4:11" ht="21" customHeight="1">
      <c r="D389" s="782" t="s">
        <v>99</v>
      </c>
      <c r="E389" s="782"/>
      <c r="F389" s="782"/>
      <c r="G389" s="782"/>
      <c r="H389" s="782"/>
      <c r="I389" s="782"/>
      <c r="J389" s="782"/>
      <c r="K389" s="782"/>
    </row>
    <row r="390" spans="1:18" ht="18">
      <c r="A390" s="2" t="s">
        <v>148</v>
      </c>
      <c r="B390" s="196" t="str">
        <f>B6</f>
        <v>2017/2018</v>
      </c>
      <c r="C390" s="62"/>
      <c r="E390" s="61"/>
      <c r="F390" s="62"/>
      <c r="G390" s="157"/>
      <c r="H390" s="62"/>
      <c r="I390" s="61"/>
      <c r="J390" s="61"/>
      <c r="K390" s="61"/>
      <c r="L390" s="151"/>
      <c r="M390" s="151"/>
      <c r="N390" s="151"/>
      <c r="O390" s="151"/>
      <c r="P390" s="61"/>
      <c r="Q390" s="61"/>
      <c r="R390" s="61"/>
    </row>
    <row r="391" spans="1:18" ht="15.75" customHeight="1">
      <c r="A391" s="62" t="s">
        <v>147</v>
      </c>
      <c r="B391" s="190" t="str">
        <f>INDEX('دورة1 دورة2'!B10:BJ30,MATCH("q",'دورة1 دورة2'!B10:B30,0),3)</f>
        <v>قوادرية</v>
      </c>
      <c r="C391" s="158" t="s">
        <v>146</v>
      </c>
      <c r="D391" s="186" t="str">
        <f>INDEX('دورة1 دورة2'!B10:BJ30,MATCH("q",'دورة1 دورة2'!B10:B30,0),4)</f>
        <v>مريم</v>
      </c>
      <c r="E391" s="62"/>
      <c r="F391" s="158" t="s">
        <v>52</v>
      </c>
      <c r="G391" s="783">
        <f>INDEX('دورة1 دورة2'!B10:BJ30,MATCH("q",'دورة1 دورة2'!B10:B30,0),6)</f>
        <v>0</v>
      </c>
      <c r="H391" s="783"/>
      <c r="I391" s="783"/>
      <c r="J391" s="61"/>
      <c r="K391" s="132" t="s">
        <v>53</v>
      </c>
      <c r="L391" s="784">
        <f>INDEX('دورة1 دورة2'!B10:BJ30,MATCH("q",'دورة1 دورة2'!B10:B30,0),7)</f>
        <v>0</v>
      </c>
      <c r="M391" s="784"/>
      <c r="O391" s="186"/>
      <c r="P391" s="8" t="s">
        <v>54</v>
      </c>
      <c r="Q391" s="784">
        <f>INDEX('دورة1 دورة2'!B10:BJ30,MATCH("q",'دورة1 دورة2'!B10:B30,0),8)</f>
        <v>0</v>
      </c>
      <c r="R391" s="784"/>
    </row>
    <row r="392" spans="1:18" ht="15" customHeight="1">
      <c r="A392" s="2" t="s">
        <v>149</v>
      </c>
      <c r="B392" s="190">
        <f>INDEX('دورة1 دورة2'!B10:BJ30,MATCH("q",'دورة1 دورة2'!B10:B30,0),5)</f>
        <v>0</v>
      </c>
      <c r="C392" s="166"/>
      <c r="D392" s="9" t="s">
        <v>55</v>
      </c>
      <c r="E392" s="11" t="s">
        <v>56</v>
      </c>
      <c r="F392" s="11"/>
      <c r="G392" s="156"/>
      <c r="H392" s="11"/>
      <c r="I392" s="9"/>
      <c r="J392" s="9" t="s">
        <v>57</v>
      </c>
      <c r="K392" s="9"/>
      <c r="L392" s="11"/>
      <c r="N392" s="4" t="s">
        <v>98</v>
      </c>
      <c r="O392" s="2" t="s">
        <v>98</v>
      </c>
      <c r="P392" s="10" t="s">
        <v>97</v>
      </c>
      <c r="R392" s="61"/>
    </row>
    <row r="393" spans="1:16" ht="15.75" thickBot="1">
      <c r="A393" s="3" t="s">
        <v>58</v>
      </c>
      <c r="B393" s="139" t="s">
        <v>200</v>
      </c>
      <c r="C393" s="139"/>
      <c r="G393" s="129"/>
      <c r="J393" s="4"/>
      <c r="K393" s="4"/>
      <c r="M393" s="4"/>
      <c r="N393" s="4"/>
      <c r="O393" s="126"/>
      <c r="P393" s="126"/>
    </row>
    <row r="394" spans="1:18" ht="31.5" customHeight="1" thickBot="1" thickTop="1">
      <c r="A394" s="775" t="s">
        <v>25</v>
      </c>
      <c r="B394" s="777" t="s">
        <v>59</v>
      </c>
      <c r="C394" s="777"/>
      <c r="D394" s="778"/>
      <c r="E394" s="777"/>
      <c r="F394" s="777" t="s">
        <v>60</v>
      </c>
      <c r="G394" s="777"/>
      <c r="H394" s="777"/>
      <c r="I394" s="777" t="s">
        <v>61</v>
      </c>
      <c r="J394" s="777"/>
      <c r="K394" s="777"/>
      <c r="L394" s="777"/>
      <c r="M394" s="777"/>
      <c r="N394" s="777"/>
      <c r="O394" s="777"/>
      <c r="P394" s="777"/>
      <c r="Q394" s="777"/>
      <c r="R394" s="779"/>
    </row>
    <row r="395" spans="1:18" ht="15.75" thickBot="1">
      <c r="A395" s="776"/>
      <c r="B395" s="780" t="s">
        <v>63</v>
      </c>
      <c r="C395" s="771" t="s">
        <v>62</v>
      </c>
      <c r="D395" s="149" t="s">
        <v>64</v>
      </c>
      <c r="E395" s="781" t="s">
        <v>65</v>
      </c>
      <c r="F395" s="771" t="s">
        <v>66</v>
      </c>
      <c r="G395" s="138" t="s">
        <v>64</v>
      </c>
      <c r="H395" s="771" t="s">
        <v>65</v>
      </c>
      <c r="I395" s="771" t="s">
        <v>67</v>
      </c>
      <c r="J395" s="771"/>
      <c r="K395" s="771"/>
      <c r="L395" s="771" t="s">
        <v>68</v>
      </c>
      <c r="M395" s="771"/>
      <c r="N395" s="771"/>
      <c r="O395" s="771"/>
      <c r="P395" s="771" t="s">
        <v>25</v>
      </c>
      <c r="Q395" s="771"/>
      <c r="R395" s="772"/>
    </row>
    <row r="396" spans="1:21" ht="15.75" thickBot="1">
      <c r="A396" s="776"/>
      <c r="B396" s="780"/>
      <c r="C396" s="771"/>
      <c r="D396" s="150" t="s">
        <v>69</v>
      </c>
      <c r="E396" s="781"/>
      <c r="F396" s="771"/>
      <c r="G396" s="138" t="s">
        <v>69</v>
      </c>
      <c r="H396" s="771"/>
      <c r="I396" s="133" t="s">
        <v>70</v>
      </c>
      <c r="J396" s="133" t="s">
        <v>100</v>
      </c>
      <c r="K396" s="133" t="s">
        <v>96</v>
      </c>
      <c r="L396" s="133" t="s">
        <v>70</v>
      </c>
      <c r="M396" s="133" t="s">
        <v>100</v>
      </c>
      <c r="N396" s="133" t="s">
        <v>96</v>
      </c>
      <c r="O396" s="133" t="s">
        <v>93</v>
      </c>
      <c r="P396" s="133" t="s">
        <v>70</v>
      </c>
      <c r="Q396" s="133" t="s">
        <v>100</v>
      </c>
      <c r="R396" s="140" t="s">
        <v>96</v>
      </c>
      <c r="U396" s="134"/>
    </row>
    <row r="397" spans="1:21" ht="19.5" customHeight="1" thickBot="1">
      <c r="A397" s="773" t="s">
        <v>457</v>
      </c>
      <c r="B397" s="769" t="s">
        <v>126</v>
      </c>
      <c r="C397" s="769" t="s">
        <v>122</v>
      </c>
      <c r="D397" s="774">
        <v>18</v>
      </c>
      <c r="E397" s="769">
        <v>7</v>
      </c>
      <c r="F397" s="588" t="s">
        <v>205</v>
      </c>
      <c r="G397" s="137">
        <v>7</v>
      </c>
      <c r="H397" s="144">
        <v>3</v>
      </c>
      <c r="I397" s="145">
        <f>INDEX('دورة1 دورة2'!B10:BJ30,MATCH("q",'دورة1 دورة2'!B10:B30,0),9)</f>
        <v>50.25</v>
      </c>
      <c r="J397" s="146">
        <f>IF(I397&lt;30,0,7)</f>
        <v>7</v>
      </c>
      <c r="K397" s="199" t="str">
        <f>INDEX('دورة1 دورة2'!B10:BJ30,MATCH("q",'دورة1 دورة2'!B10:B30,0),11)</f>
        <v>د1</v>
      </c>
      <c r="L397" s="770">
        <f>(I397+I398+I399)/7</f>
        <v>16.892857142857142</v>
      </c>
      <c r="M397" s="763">
        <f>IF(L397&lt;10,J397+J398+J399,18)</f>
        <v>18</v>
      </c>
      <c r="N397" s="763" t="str">
        <f>INDEX('دورة1 دورة2'!B10:BJ30,MATCH("q",'دورة1 دورة2'!B10:B30,0),20)</f>
        <v>د1</v>
      </c>
      <c r="O397" s="763">
        <f>LOOKUP("r",'دورة1 دورة2'!B:B,'دورة1 دورة2'!AG:AG)</f>
        <v>2018</v>
      </c>
      <c r="P397" s="765">
        <f>(I397+I398+I399+I400+I401+I402+I403)/14</f>
        <v>16.217857142857145</v>
      </c>
      <c r="Q397" s="766">
        <f>IF(P397&lt;10,M397+M400+M402+M403,30)</f>
        <v>30</v>
      </c>
      <c r="R397" s="767" t="str">
        <f>INDEX('دورة1 دورة2'!B10:BJ30,MATCH("q",'دورة1 دورة2'!B10:B30,0),51)</f>
        <v>د1</v>
      </c>
      <c r="S397" s="764"/>
      <c r="U397" s="134"/>
    </row>
    <row r="398" spans="1:19" ht="19.5" customHeight="1" thickBot="1">
      <c r="A398" s="773"/>
      <c r="B398" s="769"/>
      <c r="C398" s="769"/>
      <c r="D398" s="769"/>
      <c r="E398" s="769"/>
      <c r="F398" s="589" t="s">
        <v>206</v>
      </c>
      <c r="G398" s="137">
        <v>6</v>
      </c>
      <c r="H398" s="144">
        <v>2</v>
      </c>
      <c r="I398" s="145">
        <f>INDEX('دورة1 دورة2'!B10:BJ30,MATCH("q",'دورة1 دورة2'!B10:B30,0),12)</f>
        <v>35</v>
      </c>
      <c r="J398" s="146">
        <f>IF(I398&lt;20,0,6)</f>
        <v>6</v>
      </c>
      <c r="K398" s="199" t="str">
        <f>INDEX('دورة1 دورة2'!B10:BJ30,MATCH("q",'دورة1 دورة2'!B10:B30,0),14)</f>
        <v>د1</v>
      </c>
      <c r="L398" s="770"/>
      <c r="M398" s="763"/>
      <c r="N398" s="763"/>
      <c r="O398" s="763"/>
      <c r="P398" s="765"/>
      <c r="Q398" s="766"/>
      <c r="R398" s="767"/>
      <c r="S398" s="764"/>
    </row>
    <row r="399" spans="1:19" ht="19.5" customHeight="1" thickBot="1">
      <c r="A399" s="773"/>
      <c r="B399" s="769"/>
      <c r="C399" s="769"/>
      <c r="D399" s="769"/>
      <c r="E399" s="769"/>
      <c r="F399" s="589" t="s">
        <v>207</v>
      </c>
      <c r="G399" s="137">
        <v>5</v>
      </c>
      <c r="H399" s="144">
        <v>2</v>
      </c>
      <c r="I399" s="145">
        <f>INDEX('دورة1 دورة2'!B10:BJ30,MATCH("q",'دورة1 دورة2'!B10:B30,0),15)</f>
        <v>33</v>
      </c>
      <c r="J399" s="146">
        <f>IF(I399&lt;20,0,5)</f>
        <v>5</v>
      </c>
      <c r="K399" s="199" t="str">
        <f>INDEX('دورة1 دورة2'!B10:BJ30,MATCH("q",'دورة1 دورة2'!B10:B30,0),17)</f>
        <v>د1</v>
      </c>
      <c r="L399" s="770"/>
      <c r="M399" s="763"/>
      <c r="N399" s="763"/>
      <c r="O399" s="763"/>
      <c r="P399" s="765"/>
      <c r="Q399" s="766"/>
      <c r="R399" s="767"/>
      <c r="S399" s="764"/>
    </row>
    <row r="400" spans="1:19" ht="19.5" customHeight="1" thickBot="1">
      <c r="A400" s="773"/>
      <c r="B400" s="769" t="s">
        <v>127</v>
      </c>
      <c r="C400" s="769" t="s">
        <v>123</v>
      </c>
      <c r="D400" s="769">
        <v>9</v>
      </c>
      <c r="E400" s="769">
        <v>4</v>
      </c>
      <c r="F400" s="590" t="s">
        <v>208</v>
      </c>
      <c r="G400" s="137">
        <v>5</v>
      </c>
      <c r="H400" s="144">
        <v>2</v>
      </c>
      <c r="I400" s="145">
        <f>INDEX('دورة1 دورة2'!B10:BJ30,MATCH("q",'دورة1 دورة2'!B10:B30,0),23)</f>
        <v>37.3</v>
      </c>
      <c r="J400" s="146">
        <f>IF(I400&lt;20,0,5)</f>
        <v>5</v>
      </c>
      <c r="K400" s="199" t="str">
        <f>INDEX('دورة1 دورة2'!B10:BJ30,MATCH("q",'دورة1 دورة2'!B10:B30,0),25)</f>
        <v>د1</v>
      </c>
      <c r="L400" s="770">
        <f>(I401+I400)/4</f>
        <v>16.45</v>
      </c>
      <c r="M400" s="763">
        <f>IF(L400&lt;10,J401+J400,9)</f>
        <v>9</v>
      </c>
      <c r="N400" s="763" t="str">
        <f>INDEX('دورة1 دورة2'!B10:BJ30,MATCH("q",'دورة1 دورة2'!B10:B30,0),31)</f>
        <v>د1</v>
      </c>
      <c r="O400" s="763">
        <f>LOOKUP("r",'دورة1 دورة2'!B:B,'دورة1 دورة2'!AN:AN)</f>
        <v>2018</v>
      </c>
      <c r="P400" s="765"/>
      <c r="Q400" s="766"/>
      <c r="R400" s="767"/>
      <c r="S400" s="764"/>
    </row>
    <row r="401" spans="1:19" ht="19.5" customHeight="1" thickBot="1">
      <c r="A401" s="773"/>
      <c r="B401" s="769"/>
      <c r="C401" s="769"/>
      <c r="D401" s="769"/>
      <c r="E401" s="769"/>
      <c r="F401" s="589" t="s">
        <v>209</v>
      </c>
      <c r="G401" s="137">
        <v>4</v>
      </c>
      <c r="H401" s="144">
        <v>2</v>
      </c>
      <c r="I401" s="145">
        <f>INDEX('دورة1 دورة2'!B10:BJ30,MATCH("q",'دورة1 دورة2'!B10:B30,0),26)</f>
        <v>28.5</v>
      </c>
      <c r="J401" s="146">
        <f>IF(I401&lt;20,0,4)</f>
        <v>4</v>
      </c>
      <c r="K401" s="199" t="str">
        <f>INDEX('دورة1 دورة2'!B10:BJ30,MATCH("q",'دورة1 دورة2'!B10:B30,0),28)</f>
        <v>د1</v>
      </c>
      <c r="L401" s="770"/>
      <c r="M401" s="763"/>
      <c r="N401" s="763"/>
      <c r="O401" s="763"/>
      <c r="P401" s="765"/>
      <c r="Q401" s="766"/>
      <c r="R401" s="767"/>
      <c r="S401" s="764"/>
    </row>
    <row r="402" spans="1:19" ht="19.5" customHeight="1" thickBot="1">
      <c r="A402" s="773"/>
      <c r="B402" s="137" t="s">
        <v>128</v>
      </c>
      <c r="C402" s="137" t="s">
        <v>124</v>
      </c>
      <c r="D402" s="137">
        <v>2</v>
      </c>
      <c r="E402" s="137">
        <v>2</v>
      </c>
      <c r="F402" s="589" t="s">
        <v>211</v>
      </c>
      <c r="G402" s="137">
        <v>2</v>
      </c>
      <c r="H402" s="144">
        <v>2</v>
      </c>
      <c r="I402" s="145">
        <f>INDEX('دورة1 دورة2'!B10:BJ30,MATCH("q",'دورة1 دورة2'!B10:B30,0),34)</f>
        <v>31</v>
      </c>
      <c r="J402" s="146">
        <f>IF(I402&lt;20,0,2)</f>
        <v>2</v>
      </c>
      <c r="K402" s="199" t="str">
        <f>INDEX('دورة1 دورة2'!B10:BJ30,MATCH("q",'دورة1 دورة2'!B10:B30,0),36)</f>
        <v>د1</v>
      </c>
      <c r="L402" s="147">
        <f>I402/2</f>
        <v>15.5</v>
      </c>
      <c r="M402" s="148">
        <f>J402</f>
        <v>2</v>
      </c>
      <c r="N402" s="199" t="str">
        <f>INDEX('دورة1 دورة2'!B10:BJ30,MATCH("q",'دورة1 دورة2'!B10:B30,0),36)</f>
        <v>د1</v>
      </c>
      <c r="O402" s="146">
        <f>LOOKUP("r",'دورة1 دورة2'!B:B,'دورة1 دورة2'!AU:AU)</f>
        <v>2018</v>
      </c>
      <c r="P402" s="765"/>
      <c r="Q402" s="766"/>
      <c r="R402" s="767"/>
      <c r="S402" s="131"/>
    </row>
    <row r="403" spans="1:19" ht="19.5" customHeight="1" thickBot="1">
      <c r="A403" s="773"/>
      <c r="B403" s="137" t="s">
        <v>129</v>
      </c>
      <c r="C403" s="137" t="s">
        <v>125</v>
      </c>
      <c r="D403" s="137">
        <v>1</v>
      </c>
      <c r="E403" s="137">
        <v>1</v>
      </c>
      <c r="F403" s="591" t="s">
        <v>191</v>
      </c>
      <c r="G403" s="137">
        <v>1</v>
      </c>
      <c r="H403" s="144">
        <v>1</v>
      </c>
      <c r="I403" s="145">
        <f>INDEX('دورة1 دورة2'!B10:BJ30,MATCH("q",'دورة1 دورة2'!B10:B30,0),41)</f>
        <v>12</v>
      </c>
      <c r="J403" s="146">
        <f>IF(I403&lt;10,0,1)</f>
        <v>1</v>
      </c>
      <c r="K403" s="199" t="str">
        <f>INDEX('دورة1 دورة2'!B10:BJ30,MATCH("q",'دورة1 دورة2'!B10:B30,0),43)</f>
        <v>د1</v>
      </c>
      <c r="L403" s="147">
        <f>I403</f>
        <v>12</v>
      </c>
      <c r="M403" s="148">
        <f>J403</f>
        <v>1</v>
      </c>
      <c r="N403" s="199" t="str">
        <f>INDEX('دورة1 دورة2'!B10:BJ30,MATCH("q",'دورة1 دورة2'!B10:B30,0),43)</f>
        <v>د1</v>
      </c>
      <c r="O403" s="146">
        <f>LOOKUP("r",'دورة1 دورة2'!B:B,'دورة1 دورة2'!AU:AU)</f>
        <v>2018</v>
      </c>
      <c r="P403" s="765"/>
      <c r="Q403" s="766"/>
      <c r="R403" s="768"/>
      <c r="S403" s="131"/>
    </row>
    <row r="404" spans="1:19" ht="74.25" customHeight="1" thickBot="1">
      <c r="A404" s="342" t="s">
        <v>458</v>
      </c>
      <c r="B404" s="137" t="s">
        <v>126</v>
      </c>
      <c r="C404" s="137" t="s">
        <v>122</v>
      </c>
      <c r="D404" s="137">
        <v>18</v>
      </c>
      <c r="E404" s="137">
        <v>7</v>
      </c>
      <c r="F404" s="592" t="s">
        <v>213</v>
      </c>
      <c r="G404" s="137">
        <v>7</v>
      </c>
      <c r="H404" s="144">
        <v>2</v>
      </c>
      <c r="I404" s="145">
        <f>INDEX('دورة1 دورة2'!B10:BJ30,MATCH("q",'دورة1 دورة2'!B10:B30,0),54)</f>
        <v>0</v>
      </c>
      <c r="J404" s="146">
        <f>IF(I404&lt;300,0,30)</f>
        <v>0</v>
      </c>
      <c r="K404" s="199" t="str">
        <f>INDEX('دورة1 دورة2'!B10:BJ30,MATCH("q",'دورة1 دورة2'!B10:B30,0),56)</f>
        <v>د1</v>
      </c>
      <c r="L404" s="147">
        <f>(I404)/30</f>
        <v>0</v>
      </c>
      <c r="M404" s="148">
        <f>IF(L404&lt;10,J404,30)</f>
        <v>0</v>
      </c>
      <c r="N404" s="148" t="str">
        <f>INDEX('دورة1 دورة2'!B10:BJ30,MATCH("q",'دورة1 دورة2'!B10:B30,0),56)</f>
        <v>د1</v>
      </c>
      <c r="O404" s="148" t="e">
        <f>LOOKUP("r",'دورة1 دورة2'!B:B,'دورة1 دورة2'!#REF!)</f>
        <v>#REF!</v>
      </c>
      <c r="P404" s="341">
        <f>(I404)/30</f>
        <v>0</v>
      </c>
      <c r="Q404" s="146">
        <f>IF(P404&lt;10,M404,30)</f>
        <v>0</v>
      </c>
      <c r="R404" s="343" t="str">
        <f>INDEX('دورة1 دورة2'!B10:BJ30,MATCH("q",'دورة1 دورة2'!B10:B30,0),60)</f>
        <v>د1</v>
      </c>
      <c r="S404" s="131"/>
    </row>
    <row r="405" spans="1:18" ht="17.25" customHeight="1" thickBot="1">
      <c r="A405" s="62" t="s">
        <v>150</v>
      </c>
      <c r="B405" s="135">
        <f>(P397+P404)/2</f>
        <v>8.108928571428573</v>
      </c>
      <c r="C405" s="759" t="s">
        <v>461</v>
      </c>
      <c r="D405" s="760"/>
      <c r="E405" s="760"/>
      <c r="F405" s="761"/>
      <c r="G405" s="136">
        <f>Q397+Q404</f>
        <v>30</v>
      </c>
      <c r="H405" s="6"/>
      <c r="I405" s="6"/>
      <c r="J405" s="134" t="s">
        <v>72</v>
      </c>
      <c r="K405" s="6"/>
      <c r="L405" s="6"/>
      <c r="M405" s="6"/>
      <c r="N405" s="6"/>
      <c r="O405" s="6"/>
      <c r="P405" s="583">
        <v>120</v>
      </c>
      <c r="Q405" s="130"/>
      <c r="R405" s="130"/>
    </row>
    <row r="406" spans="1:18" ht="16.5" customHeight="1" thickBot="1">
      <c r="A406" s="62" t="s">
        <v>121</v>
      </c>
      <c r="B406" s="75" t="str">
        <f>IF(B405&lt;10,"راسب(ة)","ناجح(ة)")</f>
        <v>راسب(ة)</v>
      </c>
      <c r="G406" s="129"/>
      <c r="I406" s="80"/>
      <c r="J406" s="134" t="s">
        <v>73</v>
      </c>
      <c r="K406" s="6"/>
      <c r="L406" s="6"/>
      <c r="M406" s="6"/>
      <c r="N406" s="6"/>
      <c r="O406" s="6"/>
      <c r="P406" s="133">
        <v>120</v>
      </c>
      <c r="Q406" s="5"/>
      <c r="R406" s="5"/>
    </row>
    <row r="407" spans="1:7" ht="16.5" customHeight="1">
      <c r="A407" s="62" t="s">
        <v>120</v>
      </c>
      <c r="B407" s="77">
        <f ca="1">TODAY()</f>
        <v>43188</v>
      </c>
      <c r="G407" s="129"/>
    </row>
    <row r="408" spans="1:14" ht="16.5" customHeight="1">
      <c r="A408" s="62" t="s">
        <v>74</v>
      </c>
      <c r="B408" s="8" t="s">
        <v>119</v>
      </c>
      <c r="L408" s="762" t="s">
        <v>29</v>
      </c>
      <c r="M408" s="762"/>
      <c r="N408" s="75"/>
    </row>
    <row r="409" spans="1:17" ht="20.25">
      <c r="A409" s="187" t="s">
        <v>45</v>
      </c>
      <c r="B409" s="188"/>
      <c r="C409" s="188"/>
      <c r="D409" s="188"/>
      <c r="E409" s="188"/>
      <c r="F409" s="188"/>
      <c r="G409" s="188"/>
      <c r="H409" s="189"/>
      <c r="I409" s="189"/>
      <c r="J409" s="189"/>
      <c r="K409" s="189"/>
      <c r="L409" s="189"/>
      <c r="M409" s="78" t="s">
        <v>46</v>
      </c>
      <c r="N409" s="189"/>
      <c r="O409" s="78"/>
      <c r="P409" s="189"/>
      <c r="Q409" s="189"/>
    </row>
    <row r="410" spans="6:10" ht="15" customHeight="1">
      <c r="F410" s="191" t="s">
        <v>47</v>
      </c>
      <c r="G410" s="10" t="s">
        <v>19</v>
      </c>
      <c r="H410" s="10"/>
      <c r="I410" s="10"/>
      <c r="J410" s="10"/>
    </row>
    <row r="411" spans="6:10" ht="15" customHeight="1">
      <c r="F411" s="191" t="s">
        <v>48</v>
      </c>
      <c r="G411" s="10" t="s">
        <v>49</v>
      </c>
      <c r="H411" s="10"/>
      <c r="I411" s="10"/>
      <c r="J411" s="10"/>
    </row>
    <row r="412" spans="6:10" ht="15" customHeight="1">
      <c r="F412" s="191" t="s">
        <v>50</v>
      </c>
      <c r="G412" s="10" t="s">
        <v>51</v>
      </c>
      <c r="H412" s="10"/>
      <c r="I412" s="10"/>
      <c r="J412" s="10"/>
    </row>
    <row r="413" spans="4:11" ht="21" customHeight="1">
      <c r="D413" s="782" t="s">
        <v>99</v>
      </c>
      <c r="E413" s="782"/>
      <c r="F413" s="782"/>
      <c r="G413" s="782"/>
      <c r="H413" s="782"/>
      <c r="I413" s="782"/>
      <c r="J413" s="782"/>
      <c r="K413" s="782"/>
    </row>
    <row r="414" spans="1:18" ht="18">
      <c r="A414" s="2" t="s">
        <v>148</v>
      </c>
      <c r="B414" s="196" t="str">
        <f>B6</f>
        <v>2017/2018</v>
      </c>
      <c r="C414" s="62"/>
      <c r="E414" s="61"/>
      <c r="F414" s="62"/>
      <c r="G414" s="157"/>
      <c r="H414" s="62"/>
      <c r="I414" s="61"/>
      <c r="J414" s="61"/>
      <c r="K414" s="61"/>
      <c r="L414" s="151"/>
      <c r="M414" s="151"/>
      <c r="N414" s="151"/>
      <c r="O414" s="151"/>
      <c r="P414" s="61"/>
      <c r="Q414" s="61"/>
      <c r="R414" s="61"/>
    </row>
    <row r="415" spans="1:18" ht="15.75" customHeight="1">
      <c r="A415" s="62" t="s">
        <v>147</v>
      </c>
      <c r="B415" s="190" t="str">
        <f>INDEX('دورة1 دورة2'!B10:BJ30,MATCH("r",'دورة1 دورة2'!B10:B30,0),3)</f>
        <v>محفوظ </v>
      </c>
      <c r="C415" s="158" t="s">
        <v>146</v>
      </c>
      <c r="D415" s="186" t="str">
        <f>INDEX('دورة1 دورة2'!B10:BJ30,MATCH("r",'دورة1 دورة2'!B10:B30,0),4)</f>
        <v>بشرى</v>
      </c>
      <c r="E415" s="62"/>
      <c r="F415" s="158" t="s">
        <v>52</v>
      </c>
      <c r="G415" s="783">
        <f>INDEX('دورة1 دورة2'!B10:BJ30,MATCH("r",'دورة1 دورة2'!B10:B30,0),6)</f>
        <v>0</v>
      </c>
      <c r="H415" s="783"/>
      <c r="I415" s="783"/>
      <c r="J415" s="61"/>
      <c r="K415" s="132" t="s">
        <v>53</v>
      </c>
      <c r="L415" s="784">
        <f>INDEX('دورة1 دورة2'!B10:BJ30,MATCH("r",'دورة1 دورة2'!B10:B30,0),7)</f>
        <v>0</v>
      </c>
      <c r="M415" s="784"/>
      <c r="O415" s="186"/>
      <c r="P415" s="8" t="s">
        <v>54</v>
      </c>
      <c r="Q415" s="784">
        <f>INDEX('دورة1 دورة2'!B10:BJ30,MATCH("r",'دورة1 دورة2'!B10:B30,0),8)</f>
        <v>0</v>
      </c>
      <c r="R415" s="784"/>
    </row>
    <row r="416" spans="1:18" ht="15" customHeight="1">
      <c r="A416" s="2" t="s">
        <v>149</v>
      </c>
      <c r="B416" s="190">
        <f>INDEX('دورة1 دورة2'!B10:BJ30,MATCH("r",'دورة1 دورة2'!B10:B30,0),5)</f>
        <v>0</v>
      </c>
      <c r="C416" s="166"/>
      <c r="D416" s="9" t="s">
        <v>55</v>
      </c>
      <c r="E416" s="11" t="s">
        <v>56</v>
      </c>
      <c r="F416" s="11"/>
      <c r="G416" s="156"/>
      <c r="H416" s="11"/>
      <c r="I416" s="9"/>
      <c r="J416" s="9" t="s">
        <v>57</v>
      </c>
      <c r="K416" s="9"/>
      <c r="L416" s="11"/>
      <c r="N416" s="4" t="s">
        <v>98</v>
      </c>
      <c r="O416" s="2" t="s">
        <v>98</v>
      </c>
      <c r="P416" s="10" t="s">
        <v>97</v>
      </c>
      <c r="R416" s="61"/>
    </row>
    <row r="417" spans="1:16" ht="15.75" thickBot="1">
      <c r="A417" s="3" t="s">
        <v>58</v>
      </c>
      <c r="B417" s="139" t="s">
        <v>200</v>
      </c>
      <c r="C417" s="139"/>
      <c r="G417" s="129"/>
      <c r="J417" s="4"/>
      <c r="K417" s="4"/>
      <c r="M417" s="4"/>
      <c r="N417" s="4"/>
      <c r="O417" s="126"/>
      <c r="P417" s="126"/>
    </row>
    <row r="418" spans="1:18" ht="24.75" customHeight="1" thickBot="1" thickTop="1">
      <c r="A418" s="775" t="s">
        <v>25</v>
      </c>
      <c r="B418" s="777" t="s">
        <v>59</v>
      </c>
      <c r="C418" s="777"/>
      <c r="D418" s="778"/>
      <c r="E418" s="777"/>
      <c r="F418" s="777" t="s">
        <v>60</v>
      </c>
      <c r="G418" s="777"/>
      <c r="H418" s="777"/>
      <c r="I418" s="777" t="s">
        <v>61</v>
      </c>
      <c r="J418" s="777"/>
      <c r="K418" s="777"/>
      <c r="L418" s="777"/>
      <c r="M418" s="777"/>
      <c r="N418" s="777"/>
      <c r="O418" s="777"/>
      <c r="P418" s="777"/>
      <c r="Q418" s="777"/>
      <c r="R418" s="779"/>
    </row>
    <row r="419" spans="1:18" ht="15.75" thickBot="1">
      <c r="A419" s="776"/>
      <c r="B419" s="780" t="s">
        <v>63</v>
      </c>
      <c r="C419" s="771" t="s">
        <v>62</v>
      </c>
      <c r="D419" s="149" t="s">
        <v>64</v>
      </c>
      <c r="E419" s="781" t="s">
        <v>65</v>
      </c>
      <c r="F419" s="771" t="s">
        <v>66</v>
      </c>
      <c r="G419" s="138" t="s">
        <v>64</v>
      </c>
      <c r="H419" s="771" t="s">
        <v>65</v>
      </c>
      <c r="I419" s="771" t="s">
        <v>67</v>
      </c>
      <c r="J419" s="771"/>
      <c r="K419" s="771"/>
      <c r="L419" s="771" t="s">
        <v>68</v>
      </c>
      <c r="M419" s="771"/>
      <c r="N419" s="771"/>
      <c r="O419" s="771"/>
      <c r="P419" s="771" t="s">
        <v>25</v>
      </c>
      <c r="Q419" s="771"/>
      <c r="R419" s="772"/>
    </row>
    <row r="420" spans="1:21" ht="15.75" thickBot="1">
      <c r="A420" s="776"/>
      <c r="B420" s="780"/>
      <c r="C420" s="771"/>
      <c r="D420" s="150" t="s">
        <v>69</v>
      </c>
      <c r="E420" s="781"/>
      <c r="F420" s="771"/>
      <c r="G420" s="138" t="s">
        <v>69</v>
      </c>
      <c r="H420" s="771"/>
      <c r="I420" s="133" t="s">
        <v>70</v>
      </c>
      <c r="J420" s="133" t="s">
        <v>100</v>
      </c>
      <c r="K420" s="133" t="s">
        <v>96</v>
      </c>
      <c r="L420" s="133" t="s">
        <v>70</v>
      </c>
      <c r="M420" s="133" t="s">
        <v>100</v>
      </c>
      <c r="N420" s="133" t="s">
        <v>96</v>
      </c>
      <c r="O420" s="133" t="s">
        <v>93</v>
      </c>
      <c r="P420" s="133" t="s">
        <v>70</v>
      </c>
      <c r="Q420" s="133" t="s">
        <v>100</v>
      </c>
      <c r="R420" s="140" t="s">
        <v>96</v>
      </c>
      <c r="U420" s="134"/>
    </row>
    <row r="421" spans="1:21" ht="18.75" customHeight="1" thickBot="1">
      <c r="A421" s="773" t="s">
        <v>457</v>
      </c>
      <c r="B421" s="769" t="s">
        <v>126</v>
      </c>
      <c r="C421" s="769" t="s">
        <v>122</v>
      </c>
      <c r="D421" s="774">
        <v>18</v>
      </c>
      <c r="E421" s="769">
        <v>7</v>
      </c>
      <c r="F421" s="588" t="s">
        <v>205</v>
      </c>
      <c r="G421" s="137">
        <v>7</v>
      </c>
      <c r="H421" s="144">
        <v>3</v>
      </c>
      <c r="I421" s="145">
        <f>INDEX('دورة1 دورة2'!B10:BJ30,MATCH("r",'دورة1 دورة2'!B10:B30,0),9)</f>
        <v>49.5</v>
      </c>
      <c r="J421" s="146">
        <f>IF(I421&lt;30,0,7)</f>
        <v>7</v>
      </c>
      <c r="K421" s="199" t="str">
        <f>INDEX('دورة1 دورة2'!B10:BJ30,MATCH("r",'دورة1 دورة2'!B10:B30,0),11)</f>
        <v>د1</v>
      </c>
      <c r="L421" s="770">
        <f>(I421+I422+I423)/7</f>
        <v>16.892857142857142</v>
      </c>
      <c r="M421" s="763">
        <f>IF(L421&lt;10,J421+J422+J423,18)</f>
        <v>18</v>
      </c>
      <c r="N421" s="763" t="str">
        <f>INDEX('دورة1 دورة2'!B10:BJ30,MATCH("r",'دورة1 دورة2'!B10:B30,0),20)</f>
        <v>د1</v>
      </c>
      <c r="O421" s="763">
        <f>LOOKUP("r",'دورة1 دورة2'!B:B,'دورة1 دورة2'!AG:AG)</f>
        <v>2018</v>
      </c>
      <c r="P421" s="765">
        <f>(I421+I422+I423+I424+I425+I426+I427)/14</f>
        <v>16.021428571428572</v>
      </c>
      <c r="Q421" s="766">
        <f>IF(P421&lt;10,M421+M424+M426+M427,30)</f>
        <v>30</v>
      </c>
      <c r="R421" s="767" t="str">
        <f>INDEX('دورة1 دورة2'!B10:BJ30,MATCH("r",'دورة1 دورة2'!B10:B30,0),51)</f>
        <v>د1</v>
      </c>
      <c r="S421" s="764"/>
      <c r="U421" s="134"/>
    </row>
    <row r="422" spans="1:19" ht="18.75" customHeight="1" thickBot="1">
      <c r="A422" s="773"/>
      <c r="B422" s="769"/>
      <c r="C422" s="769"/>
      <c r="D422" s="769"/>
      <c r="E422" s="769"/>
      <c r="F422" s="589" t="s">
        <v>206</v>
      </c>
      <c r="G422" s="137">
        <v>6</v>
      </c>
      <c r="H422" s="144">
        <v>2</v>
      </c>
      <c r="I422" s="145">
        <f>INDEX('دورة1 دورة2'!B10:BJ30,MATCH("r",'دورة1 دورة2'!B10:B30,0),12)</f>
        <v>36.75</v>
      </c>
      <c r="J422" s="146">
        <f>IF(I422&lt;20,0,6)</f>
        <v>6</v>
      </c>
      <c r="K422" s="199" t="str">
        <f>INDEX('دورة1 دورة2'!B10:BJ30,MATCH("r",'دورة1 دورة2'!B10:B30,0),14)</f>
        <v>د1</v>
      </c>
      <c r="L422" s="770"/>
      <c r="M422" s="763"/>
      <c r="N422" s="763"/>
      <c r="O422" s="763"/>
      <c r="P422" s="765"/>
      <c r="Q422" s="766"/>
      <c r="R422" s="767"/>
      <c r="S422" s="764"/>
    </row>
    <row r="423" spans="1:19" ht="18.75" customHeight="1" thickBot="1">
      <c r="A423" s="773"/>
      <c r="B423" s="769"/>
      <c r="C423" s="769"/>
      <c r="D423" s="769"/>
      <c r="E423" s="769"/>
      <c r="F423" s="589" t="s">
        <v>207</v>
      </c>
      <c r="G423" s="137">
        <v>5</v>
      </c>
      <c r="H423" s="144">
        <v>2</v>
      </c>
      <c r="I423" s="145">
        <f>INDEX('دورة1 دورة2'!B10:BJ30,MATCH("r",'دورة1 دورة2'!B10:B30,0),15)</f>
        <v>32</v>
      </c>
      <c r="J423" s="146">
        <f>IF(I423&lt;20,0,5)</f>
        <v>5</v>
      </c>
      <c r="K423" s="199" t="str">
        <f>INDEX('دورة1 دورة2'!B10:BJ30,MATCH("r",'دورة1 دورة2'!B10:B30,0),17)</f>
        <v>د1</v>
      </c>
      <c r="L423" s="770"/>
      <c r="M423" s="763"/>
      <c r="N423" s="763"/>
      <c r="O423" s="763"/>
      <c r="P423" s="765"/>
      <c r="Q423" s="766"/>
      <c r="R423" s="767"/>
      <c r="S423" s="764"/>
    </row>
    <row r="424" spans="1:19" ht="18.75" customHeight="1" thickBot="1">
      <c r="A424" s="773"/>
      <c r="B424" s="769" t="s">
        <v>127</v>
      </c>
      <c r="C424" s="769" t="s">
        <v>123</v>
      </c>
      <c r="D424" s="769">
        <v>9</v>
      </c>
      <c r="E424" s="769">
        <v>4</v>
      </c>
      <c r="F424" s="590" t="s">
        <v>208</v>
      </c>
      <c r="G424" s="137">
        <v>5</v>
      </c>
      <c r="H424" s="144">
        <v>2</v>
      </c>
      <c r="I424" s="145">
        <f>INDEX('دورة1 دورة2'!B10:BJ30,MATCH("r",'دورة1 دورة2'!B10:B30,0),23)</f>
        <v>36.8</v>
      </c>
      <c r="J424" s="146">
        <f>IF(I424&lt;20,0,5)</f>
        <v>5</v>
      </c>
      <c r="K424" s="199" t="str">
        <f>INDEX('دورة1 دورة2'!B10:BJ30,MATCH("r",'دورة1 دورة2'!B10:B30,0),25)</f>
        <v>د1</v>
      </c>
      <c r="L424" s="770">
        <f>(I425+I424)/4</f>
        <v>15.825</v>
      </c>
      <c r="M424" s="763">
        <f>IF(L424&lt;10,J425+J424,9)</f>
        <v>9</v>
      </c>
      <c r="N424" s="763" t="str">
        <f>INDEX('دورة1 دورة2'!B10:BJ30,MATCH("r",'دورة1 دورة2'!B10:B30,0),31)</f>
        <v>د1</v>
      </c>
      <c r="O424" s="763">
        <f>LOOKUP("r",'دورة1 دورة2'!B:B,'دورة1 دورة2'!AN:AN)</f>
        <v>2018</v>
      </c>
      <c r="P424" s="765"/>
      <c r="Q424" s="766"/>
      <c r="R424" s="767"/>
      <c r="S424" s="764"/>
    </row>
    <row r="425" spans="1:19" ht="18.75" customHeight="1" thickBot="1">
      <c r="A425" s="773"/>
      <c r="B425" s="769"/>
      <c r="C425" s="769"/>
      <c r="D425" s="769"/>
      <c r="E425" s="769"/>
      <c r="F425" s="589" t="s">
        <v>209</v>
      </c>
      <c r="G425" s="137">
        <v>4</v>
      </c>
      <c r="H425" s="144">
        <v>2</v>
      </c>
      <c r="I425" s="145">
        <f>INDEX('دورة1 دورة2'!B10:BJ30,MATCH("r",'دورة1 دورة2'!B10:B30,0),26)</f>
        <v>26.5</v>
      </c>
      <c r="J425" s="146">
        <f>IF(I425&lt;20,0,4)</f>
        <v>4</v>
      </c>
      <c r="K425" s="199" t="str">
        <f>INDEX('دورة1 دورة2'!B10:BJ30,MATCH("r",'دورة1 دورة2'!B10:B30,0),28)</f>
        <v>د1</v>
      </c>
      <c r="L425" s="770"/>
      <c r="M425" s="763"/>
      <c r="N425" s="763"/>
      <c r="O425" s="763"/>
      <c r="P425" s="765"/>
      <c r="Q425" s="766"/>
      <c r="R425" s="767"/>
      <c r="S425" s="764"/>
    </row>
    <row r="426" spans="1:19" ht="18.75" customHeight="1" thickBot="1">
      <c r="A426" s="773"/>
      <c r="B426" s="137" t="s">
        <v>128</v>
      </c>
      <c r="C426" s="137" t="s">
        <v>124</v>
      </c>
      <c r="D426" s="137">
        <v>2</v>
      </c>
      <c r="E426" s="137">
        <v>2</v>
      </c>
      <c r="F426" s="589" t="s">
        <v>211</v>
      </c>
      <c r="G426" s="137">
        <v>2</v>
      </c>
      <c r="H426" s="144">
        <v>2</v>
      </c>
      <c r="I426" s="145">
        <f>INDEX('دورة1 دورة2'!B10:BJ30,MATCH("r",'دورة1 دورة2'!B10:B30,0),34)</f>
        <v>31</v>
      </c>
      <c r="J426" s="146">
        <f>IF(I426&lt;20,0,2)</f>
        <v>2</v>
      </c>
      <c r="K426" s="199" t="str">
        <f>INDEX('دورة1 دورة2'!B10:BJ30,MATCH("r",'دورة1 دورة2'!B10:B30,0),36)</f>
        <v>د1</v>
      </c>
      <c r="L426" s="147">
        <f>I426/2</f>
        <v>15.5</v>
      </c>
      <c r="M426" s="148">
        <f>J426</f>
        <v>2</v>
      </c>
      <c r="N426" s="199" t="str">
        <f>INDEX('دورة1 دورة2'!B10:BJ30,MATCH("r",'دورة1 دورة2'!B10:B30,0),36)</f>
        <v>د1</v>
      </c>
      <c r="O426" s="146">
        <f>LOOKUP("r",'دورة1 دورة2'!B:B,'دورة1 دورة2'!AU:AU)</f>
        <v>2018</v>
      </c>
      <c r="P426" s="765"/>
      <c r="Q426" s="766"/>
      <c r="R426" s="767"/>
      <c r="S426" s="131"/>
    </row>
    <row r="427" spans="1:19" ht="18.75" customHeight="1" thickBot="1">
      <c r="A427" s="773"/>
      <c r="B427" s="137" t="s">
        <v>129</v>
      </c>
      <c r="C427" s="137" t="s">
        <v>125</v>
      </c>
      <c r="D427" s="137">
        <v>1</v>
      </c>
      <c r="E427" s="137">
        <v>1</v>
      </c>
      <c r="F427" s="591" t="s">
        <v>191</v>
      </c>
      <c r="G427" s="137">
        <v>1</v>
      </c>
      <c r="H427" s="144">
        <v>1</v>
      </c>
      <c r="I427" s="145">
        <f>INDEX('دورة1 دورة2'!B10:BJ30,MATCH("r",'دورة1 دورة2'!B10:B30,0),41)</f>
        <v>11.75</v>
      </c>
      <c r="J427" s="146">
        <f>IF(I427&lt;10,0,1)</f>
        <v>1</v>
      </c>
      <c r="K427" s="199" t="str">
        <f>INDEX('دورة1 دورة2'!B10:BJ30,MATCH("r",'دورة1 دورة2'!B10:B30,0),43)</f>
        <v>د1</v>
      </c>
      <c r="L427" s="147">
        <f>I427</f>
        <v>11.75</v>
      </c>
      <c r="M427" s="148">
        <f>J427</f>
        <v>1</v>
      </c>
      <c r="N427" s="199" t="str">
        <f>INDEX('دورة1 دورة2'!B10:BJ30,MATCH("r",'دورة1 دورة2'!B10:B30,0),43)</f>
        <v>د1</v>
      </c>
      <c r="O427" s="146">
        <f>LOOKUP("r",'دورة1 دورة2'!B:B,'دورة1 دورة2'!AU:AU)</f>
        <v>2018</v>
      </c>
      <c r="P427" s="765"/>
      <c r="Q427" s="766"/>
      <c r="R427" s="768"/>
      <c r="S427" s="131"/>
    </row>
    <row r="428" spans="1:19" ht="80.25" customHeight="1" thickBot="1">
      <c r="A428" s="342" t="s">
        <v>458</v>
      </c>
      <c r="B428" s="137" t="s">
        <v>126</v>
      </c>
      <c r="C428" s="137" t="s">
        <v>122</v>
      </c>
      <c r="D428" s="137">
        <v>18</v>
      </c>
      <c r="E428" s="137">
        <v>7</v>
      </c>
      <c r="F428" s="592" t="s">
        <v>213</v>
      </c>
      <c r="G428" s="137">
        <v>7</v>
      </c>
      <c r="H428" s="144">
        <v>2</v>
      </c>
      <c r="I428" s="145">
        <f>INDEX('دورة1 دورة2'!B10:BJ30,MATCH("r",'دورة1 دورة2'!B10:B30,0),54)</f>
        <v>0</v>
      </c>
      <c r="J428" s="146">
        <f>IF(I428&lt;300,0,30)</f>
        <v>0</v>
      </c>
      <c r="K428" s="199" t="str">
        <f>INDEX('دورة1 دورة2'!B10:BJ30,MATCH("r",'دورة1 دورة2'!B10:B30,0),56)</f>
        <v>د1</v>
      </c>
      <c r="L428" s="147">
        <f>(I428)/30</f>
        <v>0</v>
      </c>
      <c r="M428" s="148">
        <f>IF(L428&lt;10,J428,30)</f>
        <v>0</v>
      </c>
      <c r="N428" s="148" t="str">
        <f>INDEX('دورة1 دورة2'!B10:BJ30,MATCH("r",'دورة1 دورة2'!B10:B30,0),56)</f>
        <v>د1</v>
      </c>
      <c r="O428" s="148" t="e">
        <f>LOOKUP("r",'دورة1 دورة2'!B:B,'دورة1 دورة2'!#REF!)</f>
        <v>#REF!</v>
      </c>
      <c r="P428" s="341">
        <f>(I428)/30</f>
        <v>0</v>
      </c>
      <c r="Q428" s="146">
        <f>IF(P428&lt;10,M428,30)</f>
        <v>0</v>
      </c>
      <c r="R428" s="343" t="str">
        <f>INDEX('دورة1 دورة2'!B10:BJ30,MATCH("r",'دورة1 دورة2'!B10:B30,0),60)</f>
        <v>د1</v>
      </c>
      <c r="S428" s="131"/>
    </row>
    <row r="429" spans="1:18" ht="17.25" customHeight="1" thickBot="1">
      <c r="A429" s="62" t="s">
        <v>150</v>
      </c>
      <c r="B429" s="135">
        <f>(P421+P428)/2</f>
        <v>8.010714285714286</v>
      </c>
      <c r="C429" s="759" t="s">
        <v>461</v>
      </c>
      <c r="D429" s="760"/>
      <c r="E429" s="760"/>
      <c r="F429" s="761"/>
      <c r="G429" s="136">
        <f>Q421+Q428</f>
        <v>30</v>
      </c>
      <c r="H429" s="6"/>
      <c r="I429" s="6"/>
      <c r="J429" s="134" t="s">
        <v>72</v>
      </c>
      <c r="K429" s="6"/>
      <c r="L429" s="6"/>
      <c r="M429" s="6"/>
      <c r="N429" s="6"/>
      <c r="O429" s="6"/>
      <c r="P429" s="583">
        <v>120</v>
      </c>
      <c r="Q429" s="130"/>
      <c r="R429" s="130"/>
    </row>
    <row r="430" spans="1:18" ht="16.5" customHeight="1" thickBot="1">
      <c r="A430" s="62" t="s">
        <v>121</v>
      </c>
      <c r="B430" s="75" t="str">
        <f>IF(B429&lt;10,"راسب(ة)","ناجح(ة)")</f>
        <v>راسب(ة)</v>
      </c>
      <c r="G430" s="129"/>
      <c r="I430" s="80"/>
      <c r="J430" s="134" t="s">
        <v>73</v>
      </c>
      <c r="K430" s="6"/>
      <c r="L430" s="6"/>
      <c r="M430" s="6"/>
      <c r="N430" s="6"/>
      <c r="O430" s="6"/>
      <c r="P430" s="133">
        <v>120</v>
      </c>
      <c r="Q430" s="5"/>
      <c r="R430" s="5"/>
    </row>
    <row r="431" spans="1:7" ht="16.5" customHeight="1">
      <c r="A431" s="62" t="s">
        <v>120</v>
      </c>
      <c r="B431" s="77">
        <f ca="1">TODAY()</f>
        <v>43188</v>
      </c>
      <c r="G431" s="129"/>
    </row>
    <row r="432" spans="1:14" ht="16.5" customHeight="1">
      <c r="A432" s="62" t="s">
        <v>74</v>
      </c>
      <c r="B432" s="8" t="s">
        <v>119</v>
      </c>
      <c r="L432" s="762" t="s">
        <v>29</v>
      </c>
      <c r="M432" s="762"/>
      <c r="N432" s="75"/>
    </row>
    <row r="433" spans="1:17" ht="20.25">
      <c r="A433" s="187" t="s">
        <v>45</v>
      </c>
      <c r="B433" s="188"/>
      <c r="C433" s="188"/>
      <c r="D433" s="188"/>
      <c r="E433" s="188"/>
      <c r="F433" s="188"/>
      <c r="G433" s="188"/>
      <c r="H433" s="189"/>
      <c r="I433" s="189"/>
      <c r="J433" s="189"/>
      <c r="K433" s="189"/>
      <c r="L433" s="189"/>
      <c r="M433" s="78" t="s">
        <v>46</v>
      </c>
      <c r="N433" s="189"/>
      <c r="O433" s="78"/>
      <c r="P433" s="189"/>
      <c r="Q433" s="189"/>
    </row>
    <row r="434" spans="6:10" ht="15" customHeight="1">
      <c r="F434" s="191" t="s">
        <v>47</v>
      </c>
      <c r="G434" s="10" t="s">
        <v>19</v>
      </c>
      <c r="H434" s="10"/>
      <c r="I434" s="10"/>
      <c r="J434" s="10"/>
    </row>
    <row r="435" spans="6:10" ht="15" customHeight="1">
      <c r="F435" s="191" t="s">
        <v>48</v>
      </c>
      <c r="G435" s="10" t="s">
        <v>49</v>
      </c>
      <c r="H435" s="10"/>
      <c r="I435" s="10"/>
      <c r="J435" s="10"/>
    </row>
    <row r="436" spans="6:10" ht="15" customHeight="1">
      <c r="F436" s="191" t="s">
        <v>50</v>
      </c>
      <c r="G436" s="10" t="s">
        <v>51</v>
      </c>
      <c r="H436" s="10"/>
      <c r="I436" s="10"/>
      <c r="J436" s="10"/>
    </row>
    <row r="437" spans="4:11" ht="21" customHeight="1">
      <c r="D437" s="782" t="s">
        <v>99</v>
      </c>
      <c r="E437" s="782"/>
      <c r="F437" s="782"/>
      <c r="G437" s="782"/>
      <c r="H437" s="782"/>
      <c r="I437" s="782"/>
      <c r="J437" s="782"/>
      <c r="K437" s="782"/>
    </row>
    <row r="438" spans="1:18" ht="18">
      <c r="A438" s="2" t="s">
        <v>148</v>
      </c>
      <c r="B438" s="196" t="str">
        <f>B6</f>
        <v>2017/2018</v>
      </c>
      <c r="C438" s="62"/>
      <c r="E438" s="61"/>
      <c r="F438" s="62"/>
      <c r="G438" s="157"/>
      <c r="H438" s="62"/>
      <c r="I438" s="61"/>
      <c r="J438" s="61"/>
      <c r="K438" s="61"/>
      <c r="L438" s="151"/>
      <c r="M438" s="151"/>
      <c r="N438" s="151"/>
      <c r="O438" s="151"/>
      <c r="P438" s="61"/>
      <c r="Q438" s="61"/>
      <c r="R438" s="61"/>
    </row>
    <row r="439" spans="1:18" ht="15.75" customHeight="1">
      <c r="A439" s="62" t="s">
        <v>147</v>
      </c>
      <c r="B439" s="190" t="str">
        <f>INDEX('دورة1 دورة2'!B10:BJ30,MATCH("s",'دورة1 دورة2'!B10:B30,0),3)</f>
        <v>مسطوري </v>
      </c>
      <c r="C439" s="158" t="s">
        <v>146</v>
      </c>
      <c r="D439" s="186" t="str">
        <f>INDEX('دورة1 دورة2'!B10:BJ30,MATCH("s",'دورة1 دورة2'!B10:B30,0),4)</f>
        <v>سارة</v>
      </c>
      <c r="E439" s="62"/>
      <c r="F439" s="158" t="s">
        <v>52</v>
      </c>
      <c r="G439" s="783">
        <f>INDEX('دورة1 دورة2'!B10:BJ30,MATCH("s",'دورة1 دورة2'!B10:B30,0),6)</f>
        <v>0</v>
      </c>
      <c r="H439" s="783"/>
      <c r="I439" s="783"/>
      <c r="J439" s="61"/>
      <c r="K439" s="132" t="s">
        <v>53</v>
      </c>
      <c r="L439" s="784">
        <f>INDEX('دورة1 دورة2'!B10:BJ30,MATCH("s",'دورة1 دورة2'!B10:B30,0),7)</f>
        <v>0</v>
      </c>
      <c r="M439" s="784"/>
      <c r="O439" s="186"/>
      <c r="P439" s="8" t="s">
        <v>54</v>
      </c>
      <c r="Q439" s="784">
        <f>INDEX('دورة1 دورة2'!B10:BJ30,MATCH("s",'دورة1 دورة2'!B10:B30,0),8)</f>
        <v>0</v>
      </c>
      <c r="R439" s="784"/>
    </row>
    <row r="440" spans="1:18" ht="15" customHeight="1">
      <c r="A440" s="2" t="s">
        <v>149</v>
      </c>
      <c r="B440" s="190">
        <f>INDEX('دورة1 دورة2'!B10:BJ30,MATCH("s",'دورة1 دورة2'!B10:B30,0),5)</f>
        <v>0</v>
      </c>
      <c r="C440" s="166"/>
      <c r="D440" s="9" t="s">
        <v>55</v>
      </c>
      <c r="E440" s="11" t="s">
        <v>56</v>
      </c>
      <c r="F440" s="11"/>
      <c r="G440" s="156"/>
      <c r="H440" s="11"/>
      <c r="I440" s="9"/>
      <c r="J440" s="9" t="s">
        <v>57</v>
      </c>
      <c r="K440" s="9"/>
      <c r="L440" s="11"/>
      <c r="N440" s="4" t="s">
        <v>98</v>
      </c>
      <c r="O440" s="2" t="s">
        <v>98</v>
      </c>
      <c r="P440" s="10" t="s">
        <v>97</v>
      </c>
      <c r="R440" s="61"/>
    </row>
    <row r="441" spans="1:16" ht="15.75" thickBot="1">
      <c r="A441" s="3" t="s">
        <v>58</v>
      </c>
      <c r="B441" s="139" t="s">
        <v>200</v>
      </c>
      <c r="C441" s="139"/>
      <c r="G441" s="129"/>
      <c r="J441" s="4"/>
      <c r="K441" s="4"/>
      <c r="M441" s="4"/>
      <c r="N441" s="4"/>
      <c r="O441" s="126"/>
      <c r="P441" s="126"/>
    </row>
    <row r="442" spans="1:18" ht="28.5" customHeight="1" thickBot="1" thickTop="1">
      <c r="A442" s="775" t="s">
        <v>25</v>
      </c>
      <c r="B442" s="777" t="s">
        <v>59</v>
      </c>
      <c r="C442" s="777"/>
      <c r="D442" s="778"/>
      <c r="E442" s="777"/>
      <c r="F442" s="777" t="s">
        <v>60</v>
      </c>
      <c r="G442" s="777"/>
      <c r="H442" s="777"/>
      <c r="I442" s="777" t="s">
        <v>61</v>
      </c>
      <c r="J442" s="777"/>
      <c r="K442" s="777"/>
      <c r="L442" s="777"/>
      <c r="M442" s="777"/>
      <c r="N442" s="777"/>
      <c r="O442" s="777"/>
      <c r="P442" s="777"/>
      <c r="Q442" s="777"/>
      <c r="R442" s="779"/>
    </row>
    <row r="443" spans="1:18" ht="15.75" thickBot="1">
      <c r="A443" s="776"/>
      <c r="B443" s="780" t="s">
        <v>63</v>
      </c>
      <c r="C443" s="771" t="s">
        <v>62</v>
      </c>
      <c r="D443" s="149" t="s">
        <v>64</v>
      </c>
      <c r="E443" s="781" t="s">
        <v>65</v>
      </c>
      <c r="F443" s="771" t="s">
        <v>66</v>
      </c>
      <c r="G443" s="138" t="s">
        <v>64</v>
      </c>
      <c r="H443" s="771" t="s">
        <v>65</v>
      </c>
      <c r="I443" s="771" t="s">
        <v>67</v>
      </c>
      <c r="J443" s="771"/>
      <c r="K443" s="771"/>
      <c r="L443" s="771" t="s">
        <v>68</v>
      </c>
      <c r="M443" s="771"/>
      <c r="N443" s="771"/>
      <c r="O443" s="771"/>
      <c r="P443" s="771" t="s">
        <v>25</v>
      </c>
      <c r="Q443" s="771"/>
      <c r="R443" s="772"/>
    </row>
    <row r="444" spans="1:21" ht="15.75" thickBot="1">
      <c r="A444" s="776"/>
      <c r="B444" s="780"/>
      <c r="C444" s="771"/>
      <c r="D444" s="150" t="s">
        <v>69</v>
      </c>
      <c r="E444" s="781"/>
      <c r="F444" s="771"/>
      <c r="G444" s="138" t="s">
        <v>69</v>
      </c>
      <c r="H444" s="771"/>
      <c r="I444" s="133" t="s">
        <v>70</v>
      </c>
      <c r="J444" s="133" t="s">
        <v>100</v>
      </c>
      <c r="K444" s="133" t="s">
        <v>96</v>
      </c>
      <c r="L444" s="133" t="s">
        <v>70</v>
      </c>
      <c r="M444" s="133" t="s">
        <v>100</v>
      </c>
      <c r="N444" s="133" t="s">
        <v>96</v>
      </c>
      <c r="O444" s="133" t="s">
        <v>93</v>
      </c>
      <c r="P444" s="133" t="s">
        <v>70</v>
      </c>
      <c r="Q444" s="133" t="s">
        <v>100</v>
      </c>
      <c r="R444" s="140" t="s">
        <v>96</v>
      </c>
      <c r="U444" s="134"/>
    </row>
    <row r="445" spans="1:21" ht="18.75" customHeight="1" thickBot="1">
      <c r="A445" s="773" t="s">
        <v>457</v>
      </c>
      <c r="B445" s="769" t="s">
        <v>126</v>
      </c>
      <c r="C445" s="769" t="s">
        <v>122</v>
      </c>
      <c r="D445" s="774">
        <v>18</v>
      </c>
      <c r="E445" s="769">
        <v>7</v>
      </c>
      <c r="F445" s="588" t="s">
        <v>205</v>
      </c>
      <c r="G445" s="137">
        <v>7</v>
      </c>
      <c r="H445" s="144">
        <v>3</v>
      </c>
      <c r="I445" s="145">
        <f>INDEX('دورة1 دورة2'!B10:BJ30,MATCH("s",'دورة1 دورة2'!B10:B30,0),9)</f>
        <v>36</v>
      </c>
      <c r="J445" s="146">
        <f>IF(I445&lt;30,0,7)</f>
        <v>7</v>
      </c>
      <c r="K445" s="199" t="str">
        <f>INDEX('دورة1 دورة2'!B10:BJ30,MATCH("s",'دورة1 دورة2'!B10:B30,0),11)</f>
        <v>د1</v>
      </c>
      <c r="L445" s="770">
        <f>(I445+I446+I447)/7</f>
        <v>9.071428571428571</v>
      </c>
      <c r="M445" s="763">
        <f>IF(L445&lt;10,J445+J446+J447,18)</f>
        <v>7</v>
      </c>
      <c r="N445" s="763" t="str">
        <f>INDEX('دورة1 دورة2'!B10:BJ30,MATCH("s",'دورة1 دورة2'!B10:B30,0),20)</f>
        <v>د1</v>
      </c>
      <c r="O445" s="763">
        <f>LOOKUP("r",'دورة1 دورة2'!B:B,'دورة1 دورة2'!AG:AG)</f>
        <v>2018</v>
      </c>
      <c r="P445" s="765">
        <f>(I445+I446+I447+I448+I449+I450+I451)/14</f>
        <v>10.214285714285714</v>
      </c>
      <c r="Q445" s="766">
        <f>IF(P445&lt;10,M445+M448+M450+M451,30)</f>
        <v>30</v>
      </c>
      <c r="R445" s="767" t="str">
        <f>INDEX('دورة1 دورة2'!B10:BJ30,MATCH("s",'دورة1 دورة2'!B10:B30,0),51)</f>
        <v>د1</v>
      </c>
      <c r="S445" s="764"/>
      <c r="U445" s="134"/>
    </row>
    <row r="446" spans="1:19" ht="18.75" customHeight="1" thickBot="1">
      <c r="A446" s="773"/>
      <c r="B446" s="769"/>
      <c r="C446" s="769"/>
      <c r="D446" s="769"/>
      <c r="E446" s="769"/>
      <c r="F446" s="589" t="s">
        <v>206</v>
      </c>
      <c r="G446" s="137">
        <v>6</v>
      </c>
      <c r="H446" s="144">
        <v>2</v>
      </c>
      <c r="I446" s="145">
        <f>INDEX('دورة1 دورة2'!B10:BJ30,MATCH("s",'دورة1 دورة2'!B10:B30,0),12)</f>
        <v>12.5</v>
      </c>
      <c r="J446" s="146">
        <f>IF(I446&lt;20,0,6)</f>
        <v>0</v>
      </c>
      <c r="K446" s="199" t="str">
        <f>INDEX('دورة1 دورة2'!B10:BJ30,MATCH("s",'دورة1 دورة2'!B10:B30,0),14)</f>
        <v>د1</v>
      </c>
      <c r="L446" s="770"/>
      <c r="M446" s="763"/>
      <c r="N446" s="763"/>
      <c r="O446" s="763"/>
      <c r="P446" s="765"/>
      <c r="Q446" s="766"/>
      <c r="R446" s="767"/>
      <c r="S446" s="764"/>
    </row>
    <row r="447" spans="1:19" ht="18.75" customHeight="1" thickBot="1">
      <c r="A447" s="773"/>
      <c r="B447" s="769"/>
      <c r="C447" s="769"/>
      <c r="D447" s="769"/>
      <c r="E447" s="769"/>
      <c r="F447" s="589" t="s">
        <v>207</v>
      </c>
      <c r="G447" s="137">
        <v>5</v>
      </c>
      <c r="H447" s="144">
        <v>2</v>
      </c>
      <c r="I447" s="145">
        <f>INDEX('دورة1 دورة2'!B10:BJ30,MATCH("s",'دورة1 دورة2'!B10:B30,0),15)</f>
        <v>15</v>
      </c>
      <c r="J447" s="146">
        <f>IF(I447&lt;20,0,5)</f>
        <v>0</v>
      </c>
      <c r="K447" s="199" t="str">
        <f>INDEX('دورة1 دورة2'!B10:BJ30,MATCH("s",'دورة1 دورة2'!B10:B30,0),17)</f>
        <v>د1</v>
      </c>
      <c r="L447" s="770"/>
      <c r="M447" s="763"/>
      <c r="N447" s="763"/>
      <c r="O447" s="763"/>
      <c r="P447" s="765"/>
      <c r="Q447" s="766"/>
      <c r="R447" s="767"/>
      <c r="S447" s="764"/>
    </row>
    <row r="448" spans="1:19" ht="18.75" customHeight="1" thickBot="1">
      <c r="A448" s="773"/>
      <c r="B448" s="769" t="s">
        <v>127</v>
      </c>
      <c r="C448" s="769" t="s">
        <v>123</v>
      </c>
      <c r="D448" s="769">
        <v>9</v>
      </c>
      <c r="E448" s="769">
        <v>4</v>
      </c>
      <c r="F448" s="590" t="s">
        <v>208</v>
      </c>
      <c r="G448" s="137">
        <v>5</v>
      </c>
      <c r="H448" s="144">
        <v>2</v>
      </c>
      <c r="I448" s="145">
        <f>INDEX('دورة1 دورة2'!B10:BJ30,MATCH("s",'دورة1 دورة2'!B10:B30,0),23)</f>
        <v>21</v>
      </c>
      <c r="J448" s="146">
        <f>IF(I448&lt;20,0,5)</f>
        <v>5</v>
      </c>
      <c r="K448" s="199" t="str">
        <f>INDEX('دورة1 دورة2'!B10:BJ30,MATCH("s",'دورة1 دورة2'!B10:B30,0),25)</f>
        <v>د1</v>
      </c>
      <c r="L448" s="770">
        <f>(I449+I448)/4</f>
        <v>11.25</v>
      </c>
      <c r="M448" s="763">
        <f>IF(L448&lt;10,J449+J448,9)</f>
        <v>9</v>
      </c>
      <c r="N448" s="763" t="str">
        <f>INDEX('دورة1 دورة2'!B10:BJ30,MATCH("s",'دورة1 دورة2'!B10:B30,0),31)</f>
        <v>د1</v>
      </c>
      <c r="O448" s="763">
        <f>LOOKUP("r",'دورة1 دورة2'!B:B,'دورة1 دورة2'!AN:AN)</f>
        <v>2018</v>
      </c>
      <c r="P448" s="765"/>
      <c r="Q448" s="766"/>
      <c r="R448" s="767"/>
      <c r="S448" s="764"/>
    </row>
    <row r="449" spans="1:19" ht="18.75" customHeight="1" thickBot="1">
      <c r="A449" s="773"/>
      <c r="B449" s="769"/>
      <c r="C449" s="769"/>
      <c r="D449" s="769"/>
      <c r="E449" s="769"/>
      <c r="F449" s="589" t="s">
        <v>209</v>
      </c>
      <c r="G449" s="137">
        <v>4</v>
      </c>
      <c r="H449" s="144">
        <v>2</v>
      </c>
      <c r="I449" s="145">
        <f>INDEX('دورة1 دورة2'!B10:BJ30,MATCH("s",'دورة1 دورة2'!B10:B30,0),26)</f>
        <v>24</v>
      </c>
      <c r="J449" s="146">
        <f>IF(I449&lt;20,0,4)</f>
        <v>4</v>
      </c>
      <c r="K449" s="199" t="str">
        <f>INDEX('دورة1 دورة2'!B10:BJ30,MATCH("s",'دورة1 دورة2'!B10:B30,0),28)</f>
        <v>د1</v>
      </c>
      <c r="L449" s="770"/>
      <c r="M449" s="763"/>
      <c r="N449" s="763"/>
      <c r="O449" s="763"/>
      <c r="P449" s="765"/>
      <c r="Q449" s="766"/>
      <c r="R449" s="767"/>
      <c r="S449" s="764"/>
    </row>
    <row r="450" spans="1:19" ht="18.75" customHeight="1" thickBot="1">
      <c r="A450" s="773"/>
      <c r="B450" s="137" t="s">
        <v>128</v>
      </c>
      <c r="C450" s="137" t="s">
        <v>124</v>
      </c>
      <c r="D450" s="137">
        <v>2</v>
      </c>
      <c r="E450" s="137">
        <v>2</v>
      </c>
      <c r="F450" s="589" t="s">
        <v>211</v>
      </c>
      <c r="G450" s="137">
        <v>2</v>
      </c>
      <c r="H450" s="144">
        <v>2</v>
      </c>
      <c r="I450" s="145">
        <f>INDEX('دورة1 دورة2'!B10:BJ30,MATCH("s",'دورة1 دورة2'!B10:B30,0),34)</f>
        <v>29</v>
      </c>
      <c r="J450" s="146">
        <f>IF(I450&lt;20,0,2)</f>
        <v>2</v>
      </c>
      <c r="K450" s="199" t="str">
        <f>INDEX('دورة1 دورة2'!B10:BJ30,MATCH("s",'دورة1 دورة2'!B10:B30,0),36)</f>
        <v>د1</v>
      </c>
      <c r="L450" s="147">
        <f>I450/2</f>
        <v>14.5</v>
      </c>
      <c r="M450" s="148">
        <f>J450</f>
        <v>2</v>
      </c>
      <c r="N450" s="199" t="str">
        <f>INDEX('دورة1 دورة2'!B10:BJ30,MATCH("s",'دورة1 دورة2'!B10:B30,0),36)</f>
        <v>د1</v>
      </c>
      <c r="O450" s="146">
        <f>LOOKUP("r",'دورة1 دورة2'!B:B,'دورة1 دورة2'!AU:AU)</f>
        <v>2018</v>
      </c>
      <c r="P450" s="765"/>
      <c r="Q450" s="766"/>
      <c r="R450" s="767"/>
      <c r="S450" s="131"/>
    </row>
    <row r="451" spans="1:19" ht="18.75" customHeight="1" thickBot="1">
      <c r="A451" s="773"/>
      <c r="B451" s="137" t="s">
        <v>129</v>
      </c>
      <c r="C451" s="137" t="s">
        <v>125</v>
      </c>
      <c r="D451" s="137">
        <v>1</v>
      </c>
      <c r="E451" s="137">
        <v>1</v>
      </c>
      <c r="F451" s="591" t="s">
        <v>191</v>
      </c>
      <c r="G451" s="137">
        <v>1</v>
      </c>
      <c r="H451" s="144">
        <v>1</v>
      </c>
      <c r="I451" s="145">
        <f>INDEX('دورة1 دورة2'!B10:BJ30,MATCH("s",'دورة1 دورة2'!B10:B30,0),41)</f>
        <v>5.5</v>
      </c>
      <c r="J451" s="146">
        <f>IF(I451&lt;10,0,1)</f>
        <v>0</v>
      </c>
      <c r="K451" s="199" t="str">
        <f>INDEX('دورة1 دورة2'!B10:BJ30,MATCH("s",'دورة1 دورة2'!B10:B30,0),43)</f>
        <v>د1</v>
      </c>
      <c r="L451" s="147">
        <f>I451</f>
        <v>5.5</v>
      </c>
      <c r="M451" s="148">
        <f>J451</f>
        <v>0</v>
      </c>
      <c r="N451" s="199" t="str">
        <f>INDEX('دورة1 دورة2'!B10:BJ30,MATCH("s",'دورة1 دورة2'!B10:B30,0),43)</f>
        <v>د1</v>
      </c>
      <c r="O451" s="146">
        <f>LOOKUP("r",'دورة1 دورة2'!B:B,'دورة1 دورة2'!AU:AU)</f>
        <v>2018</v>
      </c>
      <c r="P451" s="765"/>
      <c r="Q451" s="766"/>
      <c r="R451" s="768"/>
      <c r="S451" s="131"/>
    </row>
    <row r="452" spans="1:19" ht="84.75" customHeight="1" thickBot="1">
      <c r="A452" s="342" t="s">
        <v>458</v>
      </c>
      <c r="B452" s="137" t="s">
        <v>126</v>
      </c>
      <c r="C452" s="137" t="s">
        <v>122</v>
      </c>
      <c r="D452" s="137">
        <v>18</v>
      </c>
      <c r="E452" s="137">
        <v>7</v>
      </c>
      <c r="F452" s="592" t="s">
        <v>213</v>
      </c>
      <c r="G452" s="137">
        <v>7</v>
      </c>
      <c r="H452" s="144">
        <v>2</v>
      </c>
      <c r="I452" s="145">
        <f>INDEX('دورة1 دورة2'!B10:BJ30,MATCH("s",'دورة1 دورة2'!B10:B30,0),54)</f>
        <v>0</v>
      </c>
      <c r="J452" s="146">
        <f>IF(I452&lt;300,0,30)</f>
        <v>0</v>
      </c>
      <c r="K452" s="199" t="str">
        <f>INDEX('دورة1 دورة2'!B10:BJ30,MATCH("s",'دورة1 دورة2'!B10:B30,0),56)</f>
        <v>د1</v>
      </c>
      <c r="L452" s="147">
        <f>(I452)/30</f>
        <v>0</v>
      </c>
      <c r="M452" s="148">
        <f>IF(L452&lt;10,J452,30)</f>
        <v>0</v>
      </c>
      <c r="N452" s="148" t="str">
        <f>INDEX('دورة1 دورة2'!B10:BJ30,MATCH("s",'دورة1 دورة2'!B10:B30,0),56)</f>
        <v>د1</v>
      </c>
      <c r="O452" s="148" t="e">
        <f>LOOKUP("r",'دورة1 دورة2'!B:B,'دورة1 دورة2'!#REF!)</f>
        <v>#REF!</v>
      </c>
      <c r="P452" s="341">
        <f>(I452)/30</f>
        <v>0</v>
      </c>
      <c r="Q452" s="146">
        <f>IF(P452&lt;10,M452,30)</f>
        <v>0</v>
      </c>
      <c r="R452" s="343" t="str">
        <f>INDEX('دورة1 دورة2'!B10:BJ30,MATCH("s",'دورة1 دورة2'!B10:B30,0),60)</f>
        <v>د1</v>
      </c>
      <c r="S452" s="131"/>
    </row>
    <row r="453" spans="1:18" ht="17.25" customHeight="1" thickBot="1">
      <c r="A453" s="62" t="s">
        <v>150</v>
      </c>
      <c r="B453" s="135">
        <f>(P445+P452)/2</f>
        <v>5.107142857142857</v>
      </c>
      <c r="C453" s="759" t="s">
        <v>461</v>
      </c>
      <c r="D453" s="760"/>
      <c r="E453" s="760"/>
      <c r="F453" s="761"/>
      <c r="G453" s="136">
        <f>Q445+Q452</f>
        <v>30</v>
      </c>
      <c r="H453" s="6"/>
      <c r="I453" s="6"/>
      <c r="J453" s="134" t="s">
        <v>72</v>
      </c>
      <c r="K453" s="6"/>
      <c r="L453" s="6"/>
      <c r="M453" s="6"/>
      <c r="N453" s="6"/>
      <c r="O453" s="6"/>
      <c r="P453" s="583">
        <v>120</v>
      </c>
      <c r="Q453" s="130"/>
      <c r="R453" s="130"/>
    </row>
    <row r="454" spans="1:18" ht="16.5" customHeight="1" thickBot="1">
      <c r="A454" s="62" t="s">
        <v>121</v>
      </c>
      <c r="B454" s="75" t="str">
        <f>IF(B453&lt;10,"راسب(ة)","ناجح(ة)")</f>
        <v>راسب(ة)</v>
      </c>
      <c r="G454" s="129"/>
      <c r="I454" s="80"/>
      <c r="J454" s="134" t="s">
        <v>73</v>
      </c>
      <c r="K454" s="6"/>
      <c r="L454" s="6"/>
      <c r="M454" s="6"/>
      <c r="N454" s="6"/>
      <c r="O454" s="6"/>
      <c r="P454" s="133">
        <v>120</v>
      </c>
      <c r="Q454" s="5"/>
      <c r="R454" s="5"/>
    </row>
    <row r="455" spans="1:7" ht="16.5" customHeight="1">
      <c r="A455" s="62" t="s">
        <v>120</v>
      </c>
      <c r="B455" s="77">
        <f ca="1">TODAY()</f>
        <v>43188</v>
      </c>
      <c r="G455" s="129"/>
    </row>
    <row r="456" spans="1:14" ht="16.5" customHeight="1">
      <c r="A456" s="62" t="s">
        <v>74</v>
      </c>
      <c r="B456" s="8" t="s">
        <v>119</v>
      </c>
      <c r="L456" s="762" t="s">
        <v>29</v>
      </c>
      <c r="M456" s="762"/>
      <c r="N456" s="75"/>
    </row>
    <row r="457" spans="1:17" ht="20.25">
      <c r="A457" s="187" t="s">
        <v>45</v>
      </c>
      <c r="B457" s="188"/>
      <c r="C457" s="188"/>
      <c r="D457" s="188"/>
      <c r="E457" s="188"/>
      <c r="F457" s="188"/>
      <c r="G457" s="188"/>
      <c r="H457" s="189"/>
      <c r="I457" s="189"/>
      <c r="J457" s="189"/>
      <c r="K457" s="189"/>
      <c r="L457" s="189"/>
      <c r="M457" s="78" t="s">
        <v>46</v>
      </c>
      <c r="N457" s="189"/>
      <c r="O457" s="78"/>
      <c r="P457" s="189"/>
      <c r="Q457" s="189"/>
    </row>
    <row r="458" spans="6:10" ht="15" customHeight="1">
      <c r="F458" s="191" t="s">
        <v>47</v>
      </c>
      <c r="G458" s="10" t="s">
        <v>19</v>
      </c>
      <c r="H458" s="10"/>
      <c r="I458" s="10"/>
      <c r="J458" s="10"/>
    </row>
    <row r="459" spans="6:10" ht="15" customHeight="1">
      <c r="F459" s="191" t="s">
        <v>48</v>
      </c>
      <c r="G459" s="10" t="s">
        <v>49</v>
      </c>
      <c r="H459" s="10"/>
      <c r="I459" s="10"/>
      <c r="J459" s="10"/>
    </row>
    <row r="460" spans="6:10" ht="15" customHeight="1">
      <c r="F460" s="191" t="s">
        <v>50</v>
      </c>
      <c r="G460" s="10" t="s">
        <v>51</v>
      </c>
      <c r="H460" s="10"/>
      <c r="I460" s="10"/>
      <c r="J460" s="10"/>
    </row>
    <row r="461" spans="4:11" ht="21" customHeight="1">
      <c r="D461" s="782" t="s">
        <v>99</v>
      </c>
      <c r="E461" s="782"/>
      <c r="F461" s="782"/>
      <c r="G461" s="782"/>
      <c r="H461" s="782"/>
      <c r="I461" s="782"/>
      <c r="J461" s="782"/>
      <c r="K461" s="782"/>
    </row>
    <row r="462" spans="1:18" ht="18">
      <c r="A462" s="2" t="s">
        <v>148</v>
      </c>
      <c r="B462" s="196" t="str">
        <f>B6</f>
        <v>2017/2018</v>
      </c>
      <c r="C462" s="62"/>
      <c r="E462" s="61"/>
      <c r="F462" s="62"/>
      <c r="G462" s="157"/>
      <c r="H462" s="62"/>
      <c r="I462" s="61"/>
      <c r="J462" s="61"/>
      <c r="K462" s="61"/>
      <c r="L462" s="151"/>
      <c r="M462" s="151"/>
      <c r="N462" s="151"/>
      <c r="O462" s="151"/>
      <c r="P462" s="61"/>
      <c r="Q462" s="61"/>
      <c r="R462" s="61"/>
    </row>
    <row r="463" spans="1:18" ht="15.75" customHeight="1">
      <c r="A463" s="62" t="s">
        <v>147</v>
      </c>
      <c r="B463" s="190" t="str">
        <f>INDEX('دورة1 دورة2'!B10:BJ30,MATCH("t",'دورة1 دورة2'!B10:B30,0),3)</f>
        <v>هداف </v>
      </c>
      <c r="C463" s="158" t="s">
        <v>146</v>
      </c>
      <c r="D463" s="186" t="str">
        <f>INDEX('دورة1 دورة2'!B10:BJ30,MATCH("t",'دورة1 دورة2'!B10:B30,0),4)</f>
        <v>حياة</v>
      </c>
      <c r="E463" s="62"/>
      <c r="F463" s="158" t="s">
        <v>52</v>
      </c>
      <c r="G463" s="783">
        <f>INDEX('دورة1 دورة2'!B10:BJ30,MATCH("t",'دورة1 دورة2'!B10:B30,0),6)</f>
        <v>0</v>
      </c>
      <c r="H463" s="783"/>
      <c r="I463" s="783"/>
      <c r="J463" s="61"/>
      <c r="K463" s="132" t="s">
        <v>53</v>
      </c>
      <c r="L463" s="784">
        <f>INDEX('دورة1 دورة2'!B10:BJ30,MATCH("t",'دورة1 دورة2'!B10:B30,0),7)</f>
        <v>0</v>
      </c>
      <c r="M463" s="784"/>
      <c r="O463" s="186"/>
      <c r="P463" s="8" t="s">
        <v>54</v>
      </c>
      <c r="Q463" s="784">
        <f>INDEX('دورة1 دورة2'!B10:BJ30,MATCH("t",'دورة1 دورة2'!B10:B30,0),8)</f>
        <v>0</v>
      </c>
      <c r="R463" s="784"/>
    </row>
    <row r="464" spans="1:18" ht="15" customHeight="1">
      <c r="A464" s="2" t="s">
        <v>149</v>
      </c>
      <c r="B464" s="190">
        <f>INDEX('دورة1 دورة2'!B10:BJ30,MATCH("t",'دورة1 دورة2'!B10:B30,0),5)</f>
        <v>0</v>
      </c>
      <c r="C464" s="166"/>
      <c r="D464" s="9" t="s">
        <v>55</v>
      </c>
      <c r="E464" s="11" t="s">
        <v>56</v>
      </c>
      <c r="F464" s="11"/>
      <c r="G464" s="156"/>
      <c r="H464" s="11"/>
      <c r="I464" s="9"/>
      <c r="J464" s="9" t="s">
        <v>57</v>
      </c>
      <c r="K464" s="9"/>
      <c r="L464" s="11"/>
      <c r="N464" s="4" t="s">
        <v>98</v>
      </c>
      <c r="O464" s="2" t="s">
        <v>98</v>
      </c>
      <c r="P464" s="10" t="s">
        <v>97</v>
      </c>
      <c r="R464" s="61"/>
    </row>
    <row r="465" spans="1:16" ht="15.75" thickBot="1">
      <c r="A465" s="3" t="s">
        <v>58</v>
      </c>
      <c r="B465" s="139" t="s">
        <v>200</v>
      </c>
      <c r="C465" s="139"/>
      <c r="G465" s="129"/>
      <c r="J465" s="4"/>
      <c r="K465" s="4"/>
      <c r="M465" s="4"/>
      <c r="N465" s="4"/>
      <c r="O465" s="126"/>
      <c r="P465" s="126"/>
    </row>
    <row r="466" spans="1:18" ht="30" customHeight="1" thickBot="1" thickTop="1">
      <c r="A466" s="775" t="s">
        <v>25</v>
      </c>
      <c r="B466" s="777" t="s">
        <v>59</v>
      </c>
      <c r="C466" s="777"/>
      <c r="D466" s="778"/>
      <c r="E466" s="777"/>
      <c r="F466" s="777" t="s">
        <v>60</v>
      </c>
      <c r="G466" s="777"/>
      <c r="H466" s="777"/>
      <c r="I466" s="777" t="s">
        <v>61</v>
      </c>
      <c r="J466" s="777"/>
      <c r="K466" s="777"/>
      <c r="L466" s="777"/>
      <c r="M466" s="777"/>
      <c r="N466" s="777"/>
      <c r="O466" s="777"/>
      <c r="P466" s="777"/>
      <c r="Q466" s="777"/>
      <c r="R466" s="779"/>
    </row>
    <row r="467" spans="1:18" ht="15.75" thickBot="1">
      <c r="A467" s="776"/>
      <c r="B467" s="780" t="s">
        <v>63</v>
      </c>
      <c r="C467" s="771" t="s">
        <v>62</v>
      </c>
      <c r="D467" s="149" t="s">
        <v>64</v>
      </c>
      <c r="E467" s="781" t="s">
        <v>65</v>
      </c>
      <c r="F467" s="771" t="s">
        <v>66</v>
      </c>
      <c r="G467" s="138" t="s">
        <v>64</v>
      </c>
      <c r="H467" s="771" t="s">
        <v>65</v>
      </c>
      <c r="I467" s="771" t="s">
        <v>67</v>
      </c>
      <c r="J467" s="771"/>
      <c r="K467" s="771"/>
      <c r="L467" s="771" t="s">
        <v>68</v>
      </c>
      <c r="M467" s="771"/>
      <c r="N467" s="771"/>
      <c r="O467" s="771"/>
      <c r="P467" s="771" t="s">
        <v>25</v>
      </c>
      <c r="Q467" s="771"/>
      <c r="R467" s="772"/>
    </row>
    <row r="468" spans="1:21" ht="15.75" thickBot="1">
      <c r="A468" s="776"/>
      <c r="B468" s="780"/>
      <c r="C468" s="771"/>
      <c r="D468" s="150" t="s">
        <v>69</v>
      </c>
      <c r="E468" s="781"/>
      <c r="F468" s="771"/>
      <c r="G468" s="138" t="s">
        <v>69</v>
      </c>
      <c r="H468" s="771"/>
      <c r="I468" s="133" t="s">
        <v>70</v>
      </c>
      <c r="J468" s="133" t="s">
        <v>100</v>
      </c>
      <c r="K468" s="133" t="s">
        <v>96</v>
      </c>
      <c r="L468" s="133" t="s">
        <v>70</v>
      </c>
      <c r="M468" s="133" t="s">
        <v>100</v>
      </c>
      <c r="N468" s="133" t="s">
        <v>96</v>
      </c>
      <c r="O468" s="133" t="s">
        <v>93</v>
      </c>
      <c r="P468" s="133" t="s">
        <v>70</v>
      </c>
      <c r="Q468" s="133" t="s">
        <v>100</v>
      </c>
      <c r="R468" s="140" t="s">
        <v>96</v>
      </c>
      <c r="U468" s="134"/>
    </row>
    <row r="469" spans="1:21" ht="18" customHeight="1" thickBot="1">
      <c r="A469" s="773" t="s">
        <v>457</v>
      </c>
      <c r="B469" s="769" t="s">
        <v>126</v>
      </c>
      <c r="C469" s="769" t="s">
        <v>122</v>
      </c>
      <c r="D469" s="774">
        <v>18</v>
      </c>
      <c r="E469" s="769">
        <v>7</v>
      </c>
      <c r="F469" s="588" t="s">
        <v>205</v>
      </c>
      <c r="G469" s="137">
        <v>7</v>
      </c>
      <c r="H469" s="144">
        <v>3</v>
      </c>
      <c r="I469" s="145">
        <f>INDEX('دورة1 دورة2'!B10:BJ30,MATCH("t",'دورة1 دورة2'!B10:B30,0),9)</f>
        <v>39</v>
      </c>
      <c r="J469" s="146">
        <f>IF(I469&lt;30,0,7)</f>
        <v>7</v>
      </c>
      <c r="K469" s="199" t="str">
        <f>INDEX('دورة1 دورة2'!B10:BJ30,MATCH("t",'دورة1 دورة2'!B10:B30,0),11)</f>
        <v>د1</v>
      </c>
      <c r="L469" s="770">
        <f>(I469+I470+I471)/7</f>
        <v>12.321428571428571</v>
      </c>
      <c r="M469" s="763">
        <f>IF(L469&lt;10,J469+J470+J471,18)</f>
        <v>18</v>
      </c>
      <c r="N469" s="763" t="str">
        <f>INDEX('دورة1 دورة2'!B10:BJ30,MATCH("t",'دورة1 دورة2'!B10:B30,0),20)</f>
        <v>د1</v>
      </c>
      <c r="O469" s="763">
        <f>LOOKUP("r",'دورة1 دورة2'!B:B,'دورة1 دورة2'!AG:AG)</f>
        <v>2018</v>
      </c>
      <c r="P469" s="765">
        <f>(I469+I470+I471+I472+I473+I474+I475)/14</f>
        <v>11.835714285714285</v>
      </c>
      <c r="Q469" s="766">
        <f>IF(P469&lt;10,M469+M472+M474+M475,30)</f>
        <v>30</v>
      </c>
      <c r="R469" s="767" t="str">
        <f>INDEX('دورة1 دورة2'!B10:BJ30,MATCH("t",'دورة1 دورة2'!B10:B30,0),51)</f>
        <v>د1</v>
      </c>
      <c r="S469" s="764"/>
      <c r="U469" s="134"/>
    </row>
    <row r="470" spans="1:19" ht="18" customHeight="1" thickBot="1">
      <c r="A470" s="773"/>
      <c r="B470" s="769"/>
      <c r="C470" s="769"/>
      <c r="D470" s="769"/>
      <c r="E470" s="769"/>
      <c r="F470" s="589" t="s">
        <v>206</v>
      </c>
      <c r="G470" s="137">
        <v>6</v>
      </c>
      <c r="H470" s="144">
        <v>2</v>
      </c>
      <c r="I470" s="145">
        <f>INDEX('دورة1 دورة2'!B10:BJ30,MATCH("t",'دورة1 دورة2'!B10:B30,0),12)</f>
        <v>25.75</v>
      </c>
      <c r="J470" s="146">
        <f>IF(I470&lt;20,0,6)</f>
        <v>6</v>
      </c>
      <c r="K470" s="199" t="str">
        <f>INDEX('دورة1 دورة2'!B10:BJ30,MATCH("t",'دورة1 دورة2'!B10:B30,0),14)</f>
        <v>د1</v>
      </c>
      <c r="L470" s="770"/>
      <c r="M470" s="763"/>
      <c r="N470" s="763"/>
      <c r="O470" s="763"/>
      <c r="P470" s="765"/>
      <c r="Q470" s="766"/>
      <c r="R470" s="767"/>
      <c r="S470" s="764"/>
    </row>
    <row r="471" spans="1:19" ht="18" customHeight="1" thickBot="1">
      <c r="A471" s="773"/>
      <c r="B471" s="769"/>
      <c r="C471" s="769"/>
      <c r="D471" s="769"/>
      <c r="E471" s="769"/>
      <c r="F471" s="589" t="s">
        <v>207</v>
      </c>
      <c r="G471" s="137">
        <v>5</v>
      </c>
      <c r="H471" s="144">
        <v>2</v>
      </c>
      <c r="I471" s="145">
        <f>INDEX('دورة1 دورة2'!B10:BJ30,MATCH("t",'دورة1 دورة2'!B10:B30,0),15)</f>
        <v>21.5</v>
      </c>
      <c r="J471" s="146">
        <f>IF(I471&lt;20,0,5)</f>
        <v>5</v>
      </c>
      <c r="K471" s="199" t="str">
        <f>INDEX('دورة1 دورة2'!B10:BJ30,MATCH("t",'دورة1 دورة2'!B10:B30,0),17)</f>
        <v>د1</v>
      </c>
      <c r="L471" s="770"/>
      <c r="M471" s="763"/>
      <c r="N471" s="763"/>
      <c r="O471" s="763"/>
      <c r="P471" s="765"/>
      <c r="Q471" s="766"/>
      <c r="R471" s="767"/>
      <c r="S471" s="764"/>
    </row>
    <row r="472" spans="1:19" ht="18" customHeight="1" thickBot="1">
      <c r="A472" s="773"/>
      <c r="B472" s="769" t="s">
        <v>127</v>
      </c>
      <c r="C472" s="769" t="s">
        <v>123</v>
      </c>
      <c r="D472" s="769">
        <v>9</v>
      </c>
      <c r="E472" s="769">
        <v>4</v>
      </c>
      <c r="F472" s="590" t="s">
        <v>208</v>
      </c>
      <c r="G472" s="137">
        <v>5</v>
      </c>
      <c r="H472" s="144">
        <v>2</v>
      </c>
      <c r="I472" s="145">
        <f>INDEX('دورة1 دورة2'!B10:BJ30,MATCH("t",'دورة1 دورة2'!B10:B30,0),23)</f>
        <v>18.2</v>
      </c>
      <c r="J472" s="146">
        <f>IF(I472&lt;20,0,5)</f>
        <v>0</v>
      </c>
      <c r="K472" s="199" t="str">
        <f>INDEX('دورة1 دورة2'!B10:BJ30,MATCH("t",'دورة1 دورة2'!B10:B30,0),25)</f>
        <v>د1</v>
      </c>
      <c r="L472" s="770">
        <f>(I473+I472)/4</f>
        <v>11.425</v>
      </c>
      <c r="M472" s="763">
        <f>IF(L472&lt;10,J473+J472,9)</f>
        <v>9</v>
      </c>
      <c r="N472" s="763" t="str">
        <f>INDEX('دورة1 دورة2'!B10:BJ30,MATCH("t",'دورة1 دورة2'!B10:B30,0),31)</f>
        <v>د1</v>
      </c>
      <c r="O472" s="763">
        <f>LOOKUP("r",'دورة1 دورة2'!B:B,'دورة1 دورة2'!AN:AN)</f>
        <v>2018</v>
      </c>
      <c r="P472" s="765"/>
      <c r="Q472" s="766"/>
      <c r="R472" s="767"/>
      <c r="S472" s="764"/>
    </row>
    <row r="473" spans="1:19" ht="18" customHeight="1" thickBot="1">
      <c r="A473" s="773"/>
      <c r="B473" s="769"/>
      <c r="C473" s="769"/>
      <c r="D473" s="769"/>
      <c r="E473" s="769"/>
      <c r="F473" s="589" t="s">
        <v>209</v>
      </c>
      <c r="G473" s="137">
        <v>4</v>
      </c>
      <c r="H473" s="144">
        <v>2</v>
      </c>
      <c r="I473" s="145">
        <f>INDEX('دورة1 دورة2'!B10:BJ30,MATCH("t",'دورة1 دورة2'!B10:B30,0),26)</f>
        <v>27.5</v>
      </c>
      <c r="J473" s="146">
        <f>IF(I473&lt;20,0,4)</f>
        <v>4</v>
      </c>
      <c r="K473" s="199" t="str">
        <f>INDEX('دورة1 دورة2'!B10:BJ30,MATCH("t",'دورة1 دورة2'!B10:B30,0),28)</f>
        <v>د1</v>
      </c>
      <c r="L473" s="770"/>
      <c r="M473" s="763"/>
      <c r="N473" s="763"/>
      <c r="O473" s="763"/>
      <c r="P473" s="765"/>
      <c r="Q473" s="766"/>
      <c r="R473" s="767"/>
      <c r="S473" s="764"/>
    </row>
    <row r="474" spans="1:19" ht="18" customHeight="1" thickBot="1">
      <c r="A474" s="773"/>
      <c r="B474" s="137" t="s">
        <v>128</v>
      </c>
      <c r="C474" s="137" t="s">
        <v>124</v>
      </c>
      <c r="D474" s="137">
        <v>2</v>
      </c>
      <c r="E474" s="137">
        <v>2</v>
      </c>
      <c r="F474" s="589" t="s">
        <v>211</v>
      </c>
      <c r="G474" s="137">
        <v>2</v>
      </c>
      <c r="H474" s="144">
        <v>2</v>
      </c>
      <c r="I474" s="145">
        <f>INDEX('دورة1 دورة2'!B10:BJ30,MATCH("t",'دورة1 دورة2'!B10:B30,0),34)</f>
        <v>25</v>
      </c>
      <c r="J474" s="146">
        <f>IF(I474&lt;20,0,2)</f>
        <v>2</v>
      </c>
      <c r="K474" s="199" t="str">
        <f>INDEX('دورة1 دورة2'!B10:BJ30,MATCH("t",'دورة1 دورة2'!B10:B30,0),36)</f>
        <v>د1</v>
      </c>
      <c r="L474" s="147">
        <f>I474/2</f>
        <v>12.5</v>
      </c>
      <c r="M474" s="148">
        <f>J474</f>
        <v>2</v>
      </c>
      <c r="N474" s="199" t="str">
        <f>INDEX('دورة1 دورة2'!B10:BJ30,MATCH("t",'دورة1 دورة2'!B10:B30,0),36)</f>
        <v>د1</v>
      </c>
      <c r="O474" s="146">
        <f>LOOKUP("r",'دورة1 دورة2'!B:B,'دورة1 دورة2'!AU:AU)</f>
        <v>2018</v>
      </c>
      <c r="P474" s="765"/>
      <c r="Q474" s="766"/>
      <c r="R474" s="767"/>
      <c r="S474" s="131"/>
    </row>
    <row r="475" spans="1:19" ht="18" customHeight="1" thickBot="1">
      <c r="A475" s="773"/>
      <c r="B475" s="137" t="s">
        <v>129</v>
      </c>
      <c r="C475" s="137" t="s">
        <v>125</v>
      </c>
      <c r="D475" s="137">
        <v>1</v>
      </c>
      <c r="E475" s="137">
        <v>1</v>
      </c>
      <c r="F475" s="591" t="s">
        <v>191</v>
      </c>
      <c r="G475" s="137">
        <v>1</v>
      </c>
      <c r="H475" s="144">
        <v>1</v>
      </c>
      <c r="I475" s="145">
        <f>INDEX('دورة1 دورة2'!B10:BJ30,MATCH("t",'دورة1 دورة2'!B10:B30,0),41)</f>
        <v>8.75</v>
      </c>
      <c r="J475" s="146">
        <f>IF(I475&lt;10,0,1)</f>
        <v>0</v>
      </c>
      <c r="K475" s="199" t="str">
        <f>INDEX('دورة1 دورة2'!B10:BJ30,MATCH("t",'دورة1 دورة2'!B10:B30,0),43)</f>
        <v>د1</v>
      </c>
      <c r="L475" s="147">
        <f>I475</f>
        <v>8.75</v>
      </c>
      <c r="M475" s="148">
        <f>J475</f>
        <v>0</v>
      </c>
      <c r="N475" s="199" t="str">
        <f>INDEX('دورة1 دورة2'!B10:BJ30,MATCH("t",'دورة1 دورة2'!B10:B30,0),43)</f>
        <v>د1</v>
      </c>
      <c r="O475" s="146">
        <f>LOOKUP("r",'دورة1 دورة2'!B:B,'دورة1 دورة2'!AU:AU)</f>
        <v>2018</v>
      </c>
      <c r="P475" s="765"/>
      <c r="Q475" s="766"/>
      <c r="R475" s="768"/>
      <c r="S475" s="131"/>
    </row>
    <row r="476" spans="1:19" ht="83.25" customHeight="1" thickBot="1">
      <c r="A476" s="342" t="s">
        <v>458</v>
      </c>
      <c r="B476" s="137" t="s">
        <v>126</v>
      </c>
      <c r="C476" s="137" t="s">
        <v>122</v>
      </c>
      <c r="D476" s="137">
        <v>18</v>
      </c>
      <c r="E476" s="137">
        <v>7</v>
      </c>
      <c r="F476" s="592" t="s">
        <v>213</v>
      </c>
      <c r="G476" s="137">
        <v>7</v>
      </c>
      <c r="H476" s="144">
        <v>2</v>
      </c>
      <c r="I476" s="145">
        <f>INDEX('دورة1 دورة2'!B10:BJ30,MATCH("t",'دورة1 دورة2'!B10:B30,0),54)</f>
        <v>0</v>
      </c>
      <c r="J476" s="146">
        <f>IF(I476&lt;300,0,30)</f>
        <v>0</v>
      </c>
      <c r="K476" s="199" t="str">
        <f>INDEX('دورة1 دورة2'!B10:BJ30,MATCH("t",'دورة1 دورة2'!B10:B30,0),56)</f>
        <v>د1</v>
      </c>
      <c r="L476" s="147">
        <f>(I476)/30</f>
        <v>0</v>
      </c>
      <c r="M476" s="148">
        <f>IF(L476&lt;10,J476,30)</f>
        <v>0</v>
      </c>
      <c r="N476" s="148" t="str">
        <f>INDEX('دورة1 دورة2'!B10:BJ30,MATCH("t",'دورة1 دورة2'!B10:B30,0),56)</f>
        <v>د1</v>
      </c>
      <c r="O476" s="148" t="e">
        <f>LOOKUP("r",'دورة1 دورة2'!B:B,'دورة1 دورة2'!#REF!)</f>
        <v>#REF!</v>
      </c>
      <c r="P476" s="341">
        <f>(I476)/30</f>
        <v>0</v>
      </c>
      <c r="Q476" s="146">
        <f>IF(P476&lt;10,M476,30)</f>
        <v>0</v>
      </c>
      <c r="R476" s="343" t="str">
        <f>INDEX('دورة1 دورة2'!B10:BJ30,MATCH("t",'دورة1 دورة2'!B10:B30,0),60)</f>
        <v>د1</v>
      </c>
      <c r="S476" s="131"/>
    </row>
    <row r="477" spans="1:18" ht="17.25" customHeight="1" thickBot="1">
      <c r="A477" s="62" t="s">
        <v>150</v>
      </c>
      <c r="B477" s="135">
        <f>(P469+P476)/2</f>
        <v>5.917857142857143</v>
      </c>
      <c r="C477" s="759" t="s">
        <v>461</v>
      </c>
      <c r="D477" s="760"/>
      <c r="E477" s="760"/>
      <c r="F477" s="761"/>
      <c r="G477" s="136">
        <f>Q469+Q476</f>
        <v>30</v>
      </c>
      <c r="H477" s="6"/>
      <c r="I477" s="6"/>
      <c r="J477" s="134" t="s">
        <v>72</v>
      </c>
      <c r="K477" s="6"/>
      <c r="L477" s="6"/>
      <c r="M477" s="6"/>
      <c r="N477" s="6"/>
      <c r="O477" s="6"/>
      <c r="P477" s="583">
        <v>120</v>
      </c>
      <c r="Q477" s="130"/>
      <c r="R477" s="130"/>
    </row>
    <row r="478" spans="1:18" ht="16.5" customHeight="1" thickBot="1">
      <c r="A478" s="62" t="s">
        <v>121</v>
      </c>
      <c r="B478" s="75" t="str">
        <f>IF(B477&lt;10,"راسب(ة)","ناجح(ة)")</f>
        <v>راسب(ة)</v>
      </c>
      <c r="G478" s="129"/>
      <c r="I478" s="80"/>
      <c r="J478" s="134" t="s">
        <v>73</v>
      </c>
      <c r="K478" s="6"/>
      <c r="L478" s="6"/>
      <c r="M478" s="6"/>
      <c r="N478" s="6"/>
      <c r="O478" s="6"/>
      <c r="P478" s="133">
        <v>120</v>
      </c>
      <c r="Q478" s="5"/>
      <c r="R478" s="5"/>
    </row>
    <row r="479" spans="1:7" ht="16.5" customHeight="1">
      <c r="A479" s="62" t="s">
        <v>120</v>
      </c>
      <c r="B479" s="77">
        <f ca="1">TODAY()</f>
        <v>43188</v>
      </c>
      <c r="G479" s="129"/>
    </row>
    <row r="480" spans="1:14" ht="16.5" customHeight="1">
      <c r="A480" s="62" t="s">
        <v>74</v>
      </c>
      <c r="B480" s="8" t="s">
        <v>119</v>
      </c>
      <c r="L480" s="762" t="s">
        <v>29</v>
      </c>
      <c r="M480" s="762"/>
      <c r="N480" s="75"/>
    </row>
    <row r="481" spans="1:17" ht="20.25">
      <c r="A481" s="187" t="s">
        <v>45</v>
      </c>
      <c r="B481" s="188"/>
      <c r="C481" s="188"/>
      <c r="D481" s="188"/>
      <c r="E481" s="188"/>
      <c r="F481" s="188"/>
      <c r="G481" s="188"/>
      <c r="H481" s="189"/>
      <c r="I481" s="189"/>
      <c r="J481" s="189"/>
      <c r="K481" s="189"/>
      <c r="L481" s="189"/>
      <c r="M481" s="78" t="s">
        <v>46</v>
      </c>
      <c r="N481" s="189"/>
      <c r="O481" s="78"/>
      <c r="P481" s="189"/>
      <c r="Q481" s="189"/>
    </row>
    <row r="482" spans="6:10" ht="15" customHeight="1">
      <c r="F482" s="191" t="s">
        <v>47</v>
      </c>
      <c r="G482" s="10" t="s">
        <v>19</v>
      </c>
      <c r="H482" s="10"/>
      <c r="I482" s="10"/>
      <c r="J482" s="10"/>
    </row>
    <row r="483" spans="6:10" ht="15" customHeight="1">
      <c r="F483" s="191" t="s">
        <v>48</v>
      </c>
      <c r="G483" s="10" t="s">
        <v>49</v>
      </c>
      <c r="H483" s="10"/>
      <c r="I483" s="10"/>
      <c r="J483" s="10"/>
    </row>
    <row r="484" spans="6:10" ht="15" customHeight="1">
      <c r="F484" s="191" t="s">
        <v>50</v>
      </c>
      <c r="G484" s="10" t="s">
        <v>51</v>
      </c>
      <c r="H484" s="10"/>
      <c r="I484" s="10"/>
      <c r="J484" s="10"/>
    </row>
    <row r="485" spans="4:11" ht="21" customHeight="1">
      <c r="D485" s="782" t="s">
        <v>99</v>
      </c>
      <c r="E485" s="782"/>
      <c r="F485" s="782"/>
      <c r="G485" s="782"/>
      <c r="H485" s="782"/>
      <c r="I485" s="782"/>
      <c r="J485" s="782"/>
      <c r="K485" s="782"/>
    </row>
    <row r="486" spans="1:18" ht="18">
      <c r="A486" s="2" t="s">
        <v>148</v>
      </c>
      <c r="B486" s="196" t="str">
        <f>B6</f>
        <v>2017/2018</v>
      </c>
      <c r="C486" s="62"/>
      <c r="E486" s="61"/>
      <c r="F486" s="62"/>
      <c r="G486" s="157"/>
      <c r="H486" s="62"/>
      <c r="I486" s="61"/>
      <c r="J486" s="61"/>
      <c r="K486" s="61"/>
      <c r="L486" s="151"/>
      <c r="M486" s="151"/>
      <c r="N486" s="151"/>
      <c r="O486" s="151"/>
      <c r="P486" s="61"/>
      <c r="Q486" s="61"/>
      <c r="R486" s="61"/>
    </row>
    <row r="487" spans="1:18" ht="15.75" customHeight="1">
      <c r="A487" s="62" t="s">
        <v>147</v>
      </c>
      <c r="B487" s="190" t="str">
        <f>INDEX('دورة1 دورة2'!B10:BJ30,MATCH("u",'دورة1 دورة2'!B10:B30,0),3)</f>
        <v> </v>
      </c>
      <c r="C487" s="158" t="s">
        <v>146</v>
      </c>
      <c r="D487" s="186" t="str">
        <f>INDEX('دورة1 دورة2'!B10:BJ30,MATCH("u",'دورة1 دورة2'!B10:B30,0),4)</f>
        <v> </v>
      </c>
      <c r="E487" s="62"/>
      <c r="F487" s="158" t="s">
        <v>52</v>
      </c>
      <c r="G487" s="783">
        <f>INDEX('دورة1 دورة2'!B10:BJ30,MATCH("u",'دورة1 دورة2'!B10:B30,0),6)</f>
        <v>0</v>
      </c>
      <c r="H487" s="783"/>
      <c r="I487" s="783"/>
      <c r="J487" s="61"/>
      <c r="K487" s="132" t="s">
        <v>53</v>
      </c>
      <c r="L487" s="784">
        <f>INDEX('دورة1 دورة2'!B10:BJ30,MATCH("u",'دورة1 دورة2'!B10:B30,0),7)</f>
        <v>0</v>
      </c>
      <c r="M487" s="784"/>
      <c r="O487" s="186"/>
      <c r="P487" s="8" t="s">
        <v>54</v>
      </c>
      <c r="Q487" s="784">
        <f>INDEX('دورة1 دورة2'!B10:BJ30,MATCH("u",'دورة1 دورة2'!B10:B30,0),8)</f>
        <v>0</v>
      </c>
      <c r="R487" s="784"/>
    </row>
    <row r="488" spans="1:18" ht="15" customHeight="1">
      <c r="A488" s="2" t="s">
        <v>149</v>
      </c>
      <c r="B488" s="190">
        <f>INDEX('دورة1 دورة2'!B10:BJ30,MATCH("u",'دورة1 دورة2'!B10:B30,0),5)</f>
        <v>0</v>
      </c>
      <c r="C488" s="166"/>
      <c r="D488" s="9" t="s">
        <v>55</v>
      </c>
      <c r="E488" s="11" t="s">
        <v>56</v>
      </c>
      <c r="F488" s="11"/>
      <c r="G488" s="156"/>
      <c r="H488" s="11"/>
      <c r="I488" s="9"/>
      <c r="J488" s="9" t="s">
        <v>57</v>
      </c>
      <c r="K488" s="9"/>
      <c r="L488" s="11"/>
      <c r="N488" s="4" t="s">
        <v>98</v>
      </c>
      <c r="O488" s="2" t="s">
        <v>98</v>
      </c>
      <c r="P488" s="10" t="s">
        <v>97</v>
      </c>
      <c r="R488" s="61"/>
    </row>
    <row r="489" spans="1:16" ht="15.75" thickBot="1">
      <c r="A489" s="3" t="s">
        <v>58</v>
      </c>
      <c r="B489" s="139" t="s">
        <v>200</v>
      </c>
      <c r="C489" s="139"/>
      <c r="G489" s="129"/>
      <c r="J489" s="4"/>
      <c r="K489" s="4"/>
      <c r="M489" s="4"/>
      <c r="N489" s="4"/>
      <c r="O489" s="126"/>
      <c r="P489" s="126"/>
    </row>
    <row r="490" spans="1:18" ht="25.5" customHeight="1" thickBot="1" thickTop="1">
      <c r="A490" s="775" t="s">
        <v>25</v>
      </c>
      <c r="B490" s="777" t="s">
        <v>59</v>
      </c>
      <c r="C490" s="777"/>
      <c r="D490" s="778"/>
      <c r="E490" s="777"/>
      <c r="F490" s="777" t="s">
        <v>60</v>
      </c>
      <c r="G490" s="777"/>
      <c r="H490" s="777"/>
      <c r="I490" s="777" t="s">
        <v>61</v>
      </c>
      <c r="J490" s="777"/>
      <c r="K490" s="777"/>
      <c r="L490" s="777"/>
      <c r="M490" s="777"/>
      <c r="N490" s="777"/>
      <c r="O490" s="777"/>
      <c r="P490" s="777"/>
      <c r="Q490" s="777"/>
      <c r="R490" s="779"/>
    </row>
    <row r="491" spans="1:18" ht="15.75" thickBot="1">
      <c r="A491" s="776"/>
      <c r="B491" s="780" t="s">
        <v>63</v>
      </c>
      <c r="C491" s="771" t="s">
        <v>62</v>
      </c>
      <c r="D491" s="149" t="s">
        <v>64</v>
      </c>
      <c r="E491" s="781" t="s">
        <v>65</v>
      </c>
      <c r="F491" s="771" t="s">
        <v>66</v>
      </c>
      <c r="G491" s="138" t="s">
        <v>64</v>
      </c>
      <c r="H491" s="771" t="s">
        <v>65</v>
      </c>
      <c r="I491" s="771" t="s">
        <v>67</v>
      </c>
      <c r="J491" s="771"/>
      <c r="K491" s="771"/>
      <c r="L491" s="771" t="s">
        <v>68</v>
      </c>
      <c r="M491" s="771"/>
      <c r="N491" s="771"/>
      <c r="O491" s="771"/>
      <c r="P491" s="771" t="s">
        <v>25</v>
      </c>
      <c r="Q491" s="771"/>
      <c r="R491" s="772"/>
    </row>
    <row r="492" spans="1:21" ht="14.25" customHeight="1" thickBot="1">
      <c r="A492" s="776"/>
      <c r="B492" s="780"/>
      <c r="C492" s="771"/>
      <c r="D492" s="150" t="s">
        <v>69</v>
      </c>
      <c r="E492" s="781"/>
      <c r="F492" s="771"/>
      <c r="G492" s="138" t="s">
        <v>69</v>
      </c>
      <c r="H492" s="771"/>
      <c r="I492" s="133" t="s">
        <v>70</v>
      </c>
      <c r="J492" s="133" t="s">
        <v>100</v>
      </c>
      <c r="K492" s="133" t="s">
        <v>96</v>
      </c>
      <c r="L492" s="133" t="s">
        <v>70</v>
      </c>
      <c r="M492" s="133" t="s">
        <v>100</v>
      </c>
      <c r="N492" s="133" t="s">
        <v>96</v>
      </c>
      <c r="O492" s="133" t="s">
        <v>93</v>
      </c>
      <c r="P492" s="133" t="s">
        <v>70</v>
      </c>
      <c r="Q492" s="133" t="s">
        <v>100</v>
      </c>
      <c r="R492" s="140" t="s">
        <v>96</v>
      </c>
      <c r="U492" s="134"/>
    </row>
    <row r="493" spans="1:21" ht="18" customHeight="1" thickBot="1">
      <c r="A493" s="773" t="s">
        <v>457</v>
      </c>
      <c r="B493" s="769" t="s">
        <v>126</v>
      </c>
      <c r="C493" s="769" t="s">
        <v>122</v>
      </c>
      <c r="D493" s="774">
        <v>18</v>
      </c>
      <c r="E493" s="769">
        <v>7</v>
      </c>
      <c r="F493" s="588" t="s">
        <v>205</v>
      </c>
      <c r="G493" s="137">
        <v>7</v>
      </c>
      <c r="H493" s="144">
        <v>3</v>
      </c>
      <c r="I493" s="145">
        <f>INDEX('دورة1 دورة2'!B10:BJ30,MATCH("u",'دورة1 دورة2'!B10:B30,0),9)</f>
        <v>0</v>
      </c>
      <c r="J493" s="146">
        <f>IF(I493&lt;30,0,7)</f>
        <v>0</v>
      </c>
      <c r="K493" s="199" t="str">
        <f>INDEX('دورة1 دورة2'!B10:BJ30,MATCH("u",'دورة1 دورة2'!B10:B30,0),11)</f>
        <v>د1</v>
      </c>
      <c r="L493" s="770">
        <f>(I493+I494+I495)/7</f>
        <v>0</v>
      </c>
      <c r="M493" s="763">
        <f>IF(L493&lt;10,J493+J494+J495,18)</f>
        <v>0</v>
      </c>
      <c r="N493" s="763" t="str">
        <f>INDEX('دورة1 دورة2'!B10:BJ30,MATCH("u",'دورة1 دورة2'!B10:B30,0),20)</f>
        <v>د1</v>
      </c>
      <c r="O493" s="763">
        <f>LOOKUP("r",'دورة1 دورة2'!B:B,'دورة1 دورة2'!AG:AG)</f>
        <v>2018</v>
      </c>
      <c r="P493" s="765">
        <f>(I493+I494+I495+I496+I497+I498+I499)/14</f>
        <v>0</v>
      </c>
      <c r="Q493" s="766">
        <f>IF(P493&lt;10,M493+M496+M498+M499,30)</f>
        <v>0</v>
      </c>
      <c r="R493" s="767" t="str">
        <f>INDEX('دورة1 دورة2'!B10:BJ30,MATCH("u",'دورة1 دورة2'!B10:B30,0),51)</f>
        <v>د1</v>
      </c>
      <c r="S493" s="764"/>
      <c r="U493" s="134"/>
    </row>
    <row r="494" spans="1:19" ht="18" customHeight="1" thickBot="1">
      <c r="A494" s="773"/>
      <c r="B494" s="769"/>
      <c r="C494" s="769"/>
      <c r="D494" s="769"/>
      <c r="E494" s="769"/>
      <c r="F494" s="589" t="s">
        <v>206</v>
      </c>
      <c r="G494" s="137">
        <v>6</v>
      </c>
      <c r="H494" s="144">
        <v>2</v>
      </c>
      <c r="I494" s="145">
        <f>INDEX('دورة1 دورة2'!B10:BJ30,MATCH("u",'دورة1 دورة2'!B10:B30,0),12)</f>
        <v>0</v>
      </c>
      <c r="J494" s="146">
        <f>IF(I494&lt;20,0,6)</f>
        <v>0</v>
      </c>
      <c r="K494" s="199" t="str">
        <f>INDEX('دورة1 دورة2'!B10:BJ30,MATCH("u",'دورة1 دورة2'!B10:B30,0),14)</f>
        <v>د1</v>
      </c>
      <c r="L494" s="770"/>
      <c r="M494" s="763"/>
      <c r="N494" s="763"/>
      <c r="O494" s="763"/>
      <c r="P494" s="765"/>
      <c r="Q494" s="766"/>
      <c r="R494" s="767"/>
      <c r="S494" s="764"/>
    </row>
    <row r="495" spans="1:19" ht="18" customHeight="1" thickBot="1">
      <c r="A495" s="773"/>
      <c r="B495" s="769"/>
      <c r="C495" s="769"/>
      <c r="D495" s="769"/>
      <c r="E495" s="769"/>
      <c r="F495" s="589" t="s">
        <v>207</v>
      </c>
      <c r="G495" s="137">
        <v>5</v>
      </c>
      <c r="H495" s="144">
        <v>2</v>
      </c>
      <c r="I495" s="145">
        <f>INDEX('دورة1 دورة2'!B10:BJ30,MATCH("u",'دورة1 دورة2'!B10:B30,0),15)</f>
        <v>0</v>
      </c>
      <c r="J495" s="146">
        <f>IF(I495&lt;20,0,5)</f>
        <v>0</v>
      </c>
      <c r="K495" s="199" t="str">
        <f>INDEX('دورة1 دورة2'!B10:BJ30,MATCH("u",'دورة1 دورة2'!B10:B30,0),17)</f>
        <v>د1</v>
      </c>
      <c r="L495" s="770"/>
      <c r="M495" s="763"/>
      <c r="N495" s="763"/>
      <c r="O495" s="763"/>
      <c r="P495" s="765"/>
      <c r="Q495" s="766"/>
      <c r="R495" s="767"/>
      <c r="S495" s="764"/>
    </row>
    <row r="496" spans="1:19" ht="18" customHeight="1" thickBot="1">
      <c r="A496" s="773"/>
      <c r="B496" s="769" t="s">
        <v>127</v>
      </c>
      <c r="C496" s="769" t="s">
        <v>123</v>
      </c>
      <c r="D496" s="769">
        <v>9</v>
      </c>
      <c r="E496" s="769">
        <v>4</v>
      </c>
      <c r="F496" s="590" t="s">
        <v>208</v>
      </c>
      <c r="G496" s="137">
        <v>5</v>
      </c>
      <c r="H496" s="144">
        <v>2</v>
      </c>
      <c r="I496" s="145">
        <f>INDEX('دورة1 دورة2'!B10:BJ30,MATCH("u",'دورة1 دورة2'!B10:B30,0),23)</f>
        <v>0</v>
      </c>
      <c r="J496" s="146">
        <f>IF(I496&lt;20,0,5)</f>
        <v>0</v>
      </c>
      <c r="K496" s="199" t="str">
        <f>INDEX('دورة1 دورة2'!B10:BJ30,MATCH("u",'دورة1 دورة2'!B10:B30,0),25)</f>
        <v>د1</v>
      </c>
      <c r="L496" s="770">
        <f>(I497+I496)/4</f>
        <v>0</v>
      </c>
      <c r="M496" s="763">
        <f>IF(L496&lt;10,J497+J496,9)</f>
        <v>0</v>
      </c>
      <c r="N496" s="763" t="str">
        <f>INDEX('دورة1 دورة2'!B10:BJ30,MATCH("u",'دورة1 دورة2'!B10:B30,0),31)</f>
        <v>د1</v>
      </c>
      <c r="O496" s="763">
        <f>LOOKUP("r",'دورة1 دورة2'!B:B,'دورة1 دورة2'!AN:AN)</f>
        <v>2018</v>
      </c>
      <c r="P496" s="765"/>
      <c r="Q496" s="766"/>
      <c r="R496" s="767"/>
      <c r="S496" s="764"/>
    </row>
    <row r="497" spans="1:19" ht="18" customHeight="1" thickBot="1">
      <c r="A497" s="773"/>
      <c r="B497" s="769"/>
      <c r="C497" s="769"/>
      <c r="D497" s="769"/>
      <c r="E497" s="769"/>
      <c r="F497" s="589" t="s">
        <v>209</v>
      </c>
      <c r="G497" s="137">
        <v>4</v>
      </c>
      <c r="H497" s="144">
        <v>2</v>
      </c>
      <c r="I497" s="145">
        <f>INDEX('دورة1 دورة2'!B10:BJ30,MATCH("u",'دورة1 دورة2'!B10:B30,0),26)</f>
        <v>0</v>
      </c>
      <c r="J497" s="146">
        <f>IF(I497&lt;20,0,4)</f>
        <v>0</v>
      </c>
      <c r="K497" s="199" t="str">
        <f>INDEX('دورة1 دورة2'!B10:BJ30,MATCH("u",'دورة1 دورة2'!B10:B30,0),28)</f>
        <v>د1</v>
      </c>
      <c r="L497" s="770"/>
      <c r="M497" s="763"/>
      <c r="N497" s="763"/>
      <c r="O497" s="763"/>
      <c r="P497" s="765"/>
      <c r="Q497" s="766"/>
      <c r="R497" s="767"/>
      <c r="S497" s="764"/>
    </row>
    <row r="498" spans="1:19" ht="18" customHeight="1" thickBot="1">
      <c r="A498" s="773"/>
      <c r="B498" s="137" t="s">
        <v>128</v>
      </c>
      <c r="C498" s="137" t="s">
        <v>124</v>
      </c>
      <c r="D498" s="137">
        <v>2</v>
      </c>
      <c r="E498" s="137">
        <v>2</v>
      </c>
      <c r="F498" s="589" t="s">
        <v>211</v>
      </c>
      <c r="G498" s="137">
        <v>2</v>
      </c>
      <c r="H498" s="144">
        <v>2</v>
      </c>
      <c r="I498" s="145">
        <f>INDEX('دورة1 دورة2'!B10:BJ30,MATCH("u",'دورة1 دورة2'!B10:B30,0),34)</f>
        <v>0</v>
      </c>
      <c r="J498" s="146">
        <f>IF(I498&lt;20,0,2)</f>
        <v>0</v>
      </c>
      <c r="K498" s="199" t="str">
        <f>INDEX('دورة1 دورة2'!B10:BJ30,MATCH("u",'دورة1 دورة2'!B10:B30,0),36)</f>
        <v>د1</v>
      </c>
      <c r="L498" s="147">
        <f>I498/2</f>
        <v>0</v>
      </c>
      <c r="M498" s="148">
        <f>J498</f>
        <v>0</v>
      </c>
      <c r="N498" s="199" t="str">
        <f>INDEX('دورة1 دورة2'!B10:BJ30,MATCH("u",'دورة1 دورة2'!B10:B30,0),36)</f>
        <v>د1</v>
      </c>
      <c r="O498" s="146">
        <f>LOOKUP("r",'دورة1 دورة2'!B:B,'دورة1 دورة2'!AU:AU)</f>
        <v>2018</v>
      </c>
      <c r="P498" s="765"/>
      <c r="Q498" s="766"/>
      <c r="R498" s="767"/>
      <c r="S498" s="131"/>
    </row>
    <row r="499" spans="1:19" ht="18" customHeight="1" thickBot="1">
      <c r="A499" s="773"/>
      <c r="B499" s="137" t="s">
        <v>129</v>
      </c>
      <c r="C499" s="137" t="s">
        <v>125</v>
      </c>
      <c r="D499" s="137">
        <v>1</v>
      </c>
      <c r="E499" s="137">
        <v>1</v>
      </c>
      <c r="F499" s="591" t="s">
        <v>191</v>
      </c>
      <c r="G499" s="137">
        <v>1</v>
      </c>
      <c r="H499" s="144">
        <v>1</v>
      </c>
      <c r="I499" s="145">
        <f>INDEX('دورة1 دورة2'!B10:BJ30,MATCH("u",'دورة1 دورة2'!B10:B30,0),41)</f>
        <v>0</v>
      </c>
      <c r="J499" s="146">
        <f>IF(I499&lt;10,0,1)</f>
        <v>0</v>
      </c>
      <c r="K499" s="199" t="str">
        <f>INDEX('دورة1 دورة2'!B10:BJ30,MATCH("u",'دورة1 دورة2'!B10:B30,0),43)</f>
        <v>د1</v>
      </c>
      <c r="L499" s="147">
        <f>I499</f>
        <v>0</v>
      </c>
      <c r="M499" s="148">
        <f>J499</f>
        <v>0</v>
      </c>
      <c r="N499" s="199" t="str">
        <f>INDEX('دورة1 دورة2'!B10:BJ30,MATCH("u",'دورة1 دورة2'!B10:B30,0),43)</f>
        <v>د1</v>
      </c>
      <c r="O499" s="146">
        <f>LOOKUP("r",'دورة1 دورة2'!B:B,'دورة1 دورة2'!AU:AU)</f>
        <v>2018</v>
      </c>
      <c r="P499" s="765"/>
      <c r="Q499" s="766"/>
      <c r="R499" s="768"/>
      <c r="S499" s="131"/>
    </row>
    <row r="500" spans="1:19" ht="85.5" customHeight="1" thickBot="1">
      <c r="A500" s="342" t="s">
        <v>458</v>
      </c>
      <c r="B500" s="137" t="s">
        <v>126</v>
      </c>
      <c r="C500" s="137" t="s">
        <v>122</v>
      </c>
      <c r="D500" s="137">
        <v>18</v>
      </c>
      <c r="E500" s="137">
        <v>7</v>
      </c>
      <c r="F500" s="592" t="s">
        <v>213</v>
      </c>
      <c r="G500" s="137">
        <v>7</v>
      </c>
      <c r="H500" s="144">
        <v>2</v>
      </c>
      <c r="I500" s="145">
        <f>INDEX('دورة1 دورة2'!B10:BJ30,MATCH("u",'دورة1 دورة2'!B10:B30,0),54)</f>
        <v>0</v>
      </c>
      <c r="J500" s="146">
        <f>IF(I500&lt;300,0,30)</f>
        <v>0</v>
      </c>
      <c r="K500" s="199" t="str">
        <f>INDEX('دورة1 دورة2'!B10:BJ30,MATCH("u",'دورة1 دورة2'!B10:B30,0),56)</f>
        <v>د1</v>
      </c>
      <c r="L500" s="147">
        <f>(I500)/30</f>
        <v>0</v>
      </c>
      <c r="M500" s="148">
        <f>IF(L500&lt;10,J500,30)</f>
        <v>0</v>
      </c>
      <c r="N500" s="148" t="str">
        <f>INDEX('دورة1 دورة2'!B10:BJ30,MATCH("u",'دورة1 دورة2'!B10:B30,0),56)</f>
        <v>د1</v>
      </c>
      <c r="O500" s="148" t="e">
        <f>LOOKUP("r",'دورة1 دورة2'!B:B,'دورة1 دورة2'!#REF!)</f>
        <v>#REF!</v>
      </c>
      <c r="P500" s="341">
        <f>(I500)/30</f>
        <v>0</v>
      </c>
      <c r="Q500" s="146">
        <f>IF(P500&lt;10,M500,30)</f>
        <v>0</v>
      </c>
      <c r="R500" s="343" t="str">
        <f>INDEX('دورة1 دورة2'!B10:BJ30,MATCH("u",'دورة1 دورة2'!B10:B30,0),60)</f>
        <v>د1</v>
      </c>
      <c r="S500" s="131"/>
    </row>
    <row r="501" spans="1:18" ht="17.25" customHeight="1" thickBot="1">
      <c r="A501" s="62" t="s">
        <v>150</v>
      </c>
      <c r="B501" s="135">
        <f>(P493+P500)/2</f>
        <v>0</v>
      </c>
      <c r="C501" s="759" t="s">
        <v>461</v>
      </c>
      <c r="D501" s="760"/>
      <c r="E501" s="760"/>
      <c r="F501" s="761"/>
      <c r="G501" s="136">
        <f>Q493+Q500</f>
        <v>0</v>
      </c>
      <c r="H501" s="6"/>
      <c r="I501" s="6"/>
      <c r="J501" s="134" t="s">
        <v>72</v>
      </c>
      <c r="K501" s="6"/>
      <c r="L501" s="6"/>
      <c r="M501" s="6"/>
      <c r="N501" s="6"/>
      <c r="O501" s="6"/>
      <c r="P501" s="583">
        <v>120</v>
      </c>
      <c r="Q501" s="130"/>
      <c r="R501" s="130"/>
    </row>
    <row r="502" spans="1:18" ht="16.5" customHeight="1" thickBot="1">
      <c r="A502" s="62" t="s">
        <v>121</v>
      </c>
      <c r="B502" s="75" t="str">
        <f>IF(B501&lt;10,"راسب(ة)","ناجح(ة)")</f>
        <v>راسب(ة)</v>
      </c>
      <c r="G502" s="129"/>
      <c r="I502" s="80"/>
      <c r="J502" s="134" t="s">
        <v>73</v>
      </c>
      <c r="K502" s="6"/>
      <c r="L502" s="6"/>
      <c r="M502" s="6"/>
      <c r="N502" s="6"/>
      <c r="O502" s="6"/>
      <c r="P502" s="133">
        <v>120</v>
      </c>
      <c r="Q502" s="5"/>
      <c r="R502" s="5"/>
    </row>
    <row r="503" spans="1:7" ht="16.5" customHeight="1">
      <c r="A503" s="62" t="s">
        <v>120</v>
      </c>
      <c r="B503" s="77">
        <f ca="1">TODAY()</f>
        <v>43188</v>
      </c>
      <c r="G503" s="129"/>
    </row>
    <row r="504" spans="1:14" ht="16.5" customHeight="1">
      <c r="A504" s="62" t="s">
        <v>74</v>
      </c>
      <c r="B504" s="8" t="s">
        <v>119</v>
      </c>
      <c r="L504" s="762" t="s">
        <v>29</v>
      </c>
      <c r="M504" s="762"/>
      <c r="N504" s="75"/>
    </row>
    <row r="505" spans="1:17" ht="20.25">
      <c r="A505" s="187" t="s">
        <v>45</v>
      </c>
      <c r="B505" s="188"/>
      <c r="C505" s="188"/>
      <c r="D505" s="188"/>
      <c r="E505" s="188"/>
      <c r="F505" s="188"/>
      <c r="G505" s="188"/>
      <c r="H505" s="189"/>
      <c r="I505" s="189"/>
      <c r="J505" s="189"/>
      <c r="K505" s="189"/>
      <c r="L505" s="189"/>
      <c r="M505" s="78" t="s">
        <v>46</v>
      </c>
      <c r="N505" s="189"/>
      <c r="O505" s="78"/>
      <c r="P505" s="189"/>
      <c r="Q505" s="189"/>
    </row>
    <row r="506" spans="6:10" ht="15" customHeight="1">
      <c r="F506" s="191" t="s">
        <v>47</v>
      </c>
      <c r="G506" s="10" t="s">
        <v>19</v>
      </c>
      <c r="H506" s="10"/>
      <c r="I506" s="10"/>
      <c r="J506" s="10"/>
    </row>
    <row r="507" spans="6:10" ht="15" customHeight="1">
      <c r="F507" s="191" t="s">
        <v>48</v>
      </c>
      <c r="G507" s="10" t="s">
        <v>49</v>
      </c>
      <c r="H507" s="10"/>
      <c r="I507" s="10"/>
      <c r="J507" s="10"/>
    </row>
    <row r="508" spans="6:10" ht="15" customHeight="1">
      <c r="F508" s="191" t="s">
        <v>50</v>
      </c>
      <c r="G508" s="10" t="s">
        <v>51</v>
      </c>
      <c r="H508" s="10"/>
      <c r="I508" s="10"/>
      <c r="J508" s="10"/>
    </row>
    <row r="509" spans="4:11" ht="21" customHeight="1">
      <c r="D509" s="782" t="s">
        <v>99</v>
      </c>
      <c r="E509" s="782"/>
      <c r="F509" s="782"/>
      <c r="G509" s="782"/>
      <c r="H509" s="782"/>
      <c r="I509" s="782"/>
      <c r="J509" s="782"/>
      <c r="K509" s="782"/>
    </row>
    <row r="510" spans="1:18" ht="18">
      <c r="A510" s="2" t="s">
        <v>148</v>
      </c>
      <c r="B510" s="196" t="str">
        <f>B6</f>
        <v>2017/2018</v>
      </c>
      <c r="C510" s="62"/>
      <c r="E510" s="61"/>
      <c r="F510" s="62"/>
      <c r="G510" s="157"/>
      <c r="H510" s="62"/>
      <c r="I510" s="61"/>
      <c r="J510" s="61"/>
      <c r="K510" s="61"/>
      <c r="L510" s="151"/>
      <c r="M510" s="151"/>
      <c r="N510" s="151"/>
      <c r="O510" s="151"/>
      <c r="P510" s="61"/>
      <c r="Q510" s="61"/>
      <c r="R510" s="61"/>
    </row>
    <row r="511" spans="1:18" ht="15.75" customHeight="1">
      <c r="A511" s="62" t="s">
        <v>147</v>
      </c>
      <c r="B511" s="190" t="str">
        <f>INDEX('دورة1 دورة2'!B10:BJ43,MATCH("v",'دورة1 دورة2'!B10:B43,0),3)</f>
        <v> </v>
      </c>
      <c r="C511" s="158" t="s">
        <v>146</v>
      </c>
      <c r="D511" s="186" t="str">
        <f>INDEX('دورة1 دورة2'!B10:BJ43,MATCH("v",'دورة1 دورة2'!B10:B43,0),4)</f>
        <v> </v>
      </c>
      <c r="E511" s="62"/>
      <c r="F511" s="158" t="s">
        <v>52</v>
      </c>
      <c r="G511" s="783">
        <f>INDEX('دورة1 دورة2'!B10:BJ43,MATCH("v",'دورة1 دورة2'!B10:B43,0),6)</f>
        <v>0</v>
      </c>
      <c r="H511" s="783"/>
      <c r="I511" s="783"/>
      <c r="J511" s="61"/>
      <c r="K511" s="132" t="s">
        <v>53</v>
      </c>
      <c r="L511" s="784">
        <f>INDEX('دورة1 دورة2'!B10:BJ43,MATCH("v",'دورة1 دورة2'!B10:B43,0),7)</f>
        <v>0</v>
      </c>
      <c r="M511" s="784"/>
      <c r="O511" s="186"/>
      <c r="P511" s="8" t="s">
        <v>54</v>
      </c>
      <c r="Q511" s="784">
        <f>INDEX('دورة1 دورة2'!B10:BJ43,MATCH("v",'دورة1 دورة2'!B10:B43,0),8)</f>
        <v>0</v>
      </c>
      <c r="R511" s="784"/>
    </row>
    <row r="512" spans="1:18" ht="15" customHeight="1">
      <c r="A512" s="2" t="s">
        <v>149</v>
      </c>
      <c r="B512" s="190">
        <f>INDEX('دورة1 دورة2'!B10:BJ43,MATCH("v",'دورة1 دورة2'!B10:B43,0),5)</f>
        <v>0</v>
      </c>
      <c r="C512" s="166"/>
      <c r="D512" s="9" t="s">
        <v>55</v>
      </c>
      <c r="E512" s="11" t="s">
        <v>56</v>
      </c>
      <c r="F512" s="11"/>
      <c r="G512" s="156"/>
      <c r="H512" s="11"/>
      <c r="I512" s="9"/>
      <c r="J512" s="9" t="s">
        <v>57</v>
      </c>
      <c r="K512" s="9"/>
      <c r="L512" s="11"/>
      <c r="N512" s="4" t="s">
        <v>98</v>
      </c>
      <c r="O512" s="2" t="s">
        <v>98</v>
      </c>
      <c r="P512" s="10" t="s">
        <v>97</v>
      </c>
      <c r="R512" s="61"/>
    </row>
    <row r="513" spans="1:16" ht="15.75" thickBot="1">
      <c r="A513" s="3" t="s">
        <v>58</v>
      </c>
      <c r="B513" s="139" t="s">
        <v>200</v>
      </c>
      <c r="C513" s="139"/>
      <c r="G513" s="129"/>
      <c r="J513" s="4"/>
      <c r="K513" s="4"/>
      <c r="M513" s="4"/>
      <c r="N513" s="4"/>
      <c r="O513" s="126"/>
      <c r="P513" s="126"/>
    </row>
    <row r="514" spans="1:18" ht="30" customHeight="1" thickBot="1" thickTop="1">
      <c r="A514" s="775" t="s">
        <v>25</v>
      </c>
      <c r="B514" s="777" t="s">
        <v>59</v>
      </c>
      <c r="C514" s="777"/>
      <c r="D514" s="778"/>
      <c r="E514" s="777"/>
      <c r="F514" s="777" t="s">
        <v>60</v>
      </c>
      <c r="G514" s="777"/>
      <c r="H514" s="777"/>
      <c r="I514" s="777" t="s">
        <v>61</v>
      </c>
      <c r="J514" s="777"/>
      <c r="K514" s="777"/>
      <c r="L514" s="777"/>
      <c r="M514" s="777"/>
      <c r="N514" s="777"/>
      <c r="O514" s="777"/>
      <c r="P514" s="777"/>
      <c r="Q514" s="777"/>
      <c r="R514" s="779"/>
    </row>
    <row r="515" spans="1:18" ht="15.75" thickBot="1">
      <c r="A515" s="776"/>
      <c r="B515" s="780" t="s">
        <v>63</v>
      </c>
      <c r="C515" s="771" t="s">
        <v>62</v>
      </c>
      <c r="D515" s="149" t="s">
        <v>64</v>
      </c>
      <c r="E515" s="781" t="s">
        <v>65</v>
      </c>
      <c r="F515" s="771" t="s">
        <v>66</v>
      </c>
      <c r="G515" s="138" t="s">
        <v>64</v>
      </c>
      <c r="H515" s="771" t="s">
        <v>65</v>
      </c>
      <c r="I515" s="771" t="s">
        <v>67</v>
      </c>
      <c r="J515" s="771"/>
      <c r="K515" s="771"/>
      <c r="L515" s="771" t="s">
        <v>68</v>
      </c>
      <c r="M515" s="771"/>
      <c r="N515" s="771"/>
      <c r="O515" s="771"/>
      <c r="P515" s="771" t="s">
        <v>25</v>
      </c>
      <c r="Q515" s="771"/>
      <c r="R515" s="772"/>
    </row>
    <row r="516" spans="1:21" ht="15.75" thickBot="1">
      <c r="A516" s="776"/>
      <c r="B516" s="780"/>
      <c r="C516" s="771"/>
      <c r="D516" s="150" t="s">
        <v>69</v>
      </c>
      <c r="E516" s="781"/>
      <c r="F516" s="771"/>
      <c r="G516" s="138" t="s">
        <v>69</v>
      </c>
      <c r="H516" s="771"/>
      <c r="I516" s="133" t="s">
        <v>70</v>
      </c>
      <c r="J516" s="133" t="s">
        <v>100</v>
      </c>
      <c r="K516" s="133" t="s">
        <v>96</v>
      </c>
      <c r="L516" s="133" t="s">
        <v>70</v>
      </c>
      <c r="M516" s="133" t="s">
        <v>100</v>
      </c>
      <c r="N516" s="133" t="s">
        <v>96</v>
      </c>
      <c r="O516" s="133" t="s">
        <v>93</v>
      </c>
      <c r="P516" s="133" t="s">
        <v>70</v>
      </c>
      <c r="Q516" s="133" t="s">
        <v>100</v>
      </c>
      <c r="R516" s="140" t="s">
        <v>96</v>
      </c>
      <c r="U516" s="134"/>
    </row>
    <row r="517" spans="1:21" ht="18.75" customHeight="1" thickBot="1">
      <c r="A517" s="773" t="s">
        <v>457</v>
      </c>
      <c r="B517" s="769" t="s">
        <v>126</v>
      </c>
      <c r="C517" s="769" t="s">
        <v>122</v>
      </c>
      <c r="D517" s="774">
        <v>18</v>
      </c>
      <c r="E517" s="769">
        <v>7</v>
      </c>
      <c r="F517" s="588" t="s">
        <v>205</v>
      </c>
      <c r="G517" s="137">
        <v>7</v>
      </c>
      <c r="H517" s="144">
        <v>3</v>
      </c>
      <c r="I517" s="145">
        <f>INDEX('دورة1 دورة2'!B10:BJ43,MATCH("v",'دورة1 دورة2'!B10:B43,0),9)</f>
        <v>0</v>
      </c>
      <c r="J517" s="146">
        <f>IF(I517&lt;30,0,7)</f>
        <v>0</v>
      </c>
      <c r="K517" s="199" t="str">
        <f>INDEX('دورة1 دورة2'!B10:BJ43,MATCH("v",'دورة1 دورة2'!B10:B43,0),11)</f>
        <v>د1</v>
      </c>
      <c r="L517" s="770">
        <f>(I517+I518+I519)/7</f>
        <v>0</v>
      </c>
      <c r="M517" s="763">
        <f>IF(L517&lt;10,J517+J518+J519,18)</f>
        <v>0</v>
      </c>
      <c r="N517" s="763" t="str">
        <f>INDEX('دورة1 دورة2'!B10:BJ43,MATCH("v",'دورة1 دورة2'!B10:B43,0),20)</f>
        <v>د1</v>
      </c>
      <c r="O517" s="763">
        <f>LOOKUP("r",'دورة1 دورة2'!B:B,'دورة1 دورة2'!AG:AG)</f>
        <v>2018</v>
      </c>
      <c r="P517" s="765">
        <f>(I517+I518+I519+I520+I521+I522+I523)/14</f>
        <v>0</v>
      </c>
      <c r="Q517" s="766">
        <f>IF(P517&lt;10,M517+M520+M522+M523,30)</f>
        <v>0</v>
      </c>
      <c r="R517" s="767" t="str">
        <f>INDEX('دورة1 دورة2'!B10:BJ43,MATCH("v",'دورة1 دورة2'!B10:B43,0),51)</f>
        <v>د1</v>
      </c>
      <c r="S517" s="764"/>
      <c r="U517" s="134"/>
    </row>
    <row r="518" spans="1:19" ht="18.75" customHeight="1" thickBot="1">
      <c r="A518" s="773"/>
      <c r="B518" s="769"/>
      <c r="C518" s="769"/>
      <c r="D518" s="769"/>
      <c r="E518" s="769"/>
      <c r="F518" s="589" t="s">
        <v>206</v>
      </c>
      <c r="G518" s="137">
        <v>6</v>
      </c>
      <c r="H518" s="144">
        <v>2</v>
      </c>
      <c r="I518" s="145">
        <f>INDEX('دورة1 دورة2'!B10:BJ43,MATCH("v",'دورة1 دورة2'!B10:B43,0),12)</f>
        <v>0</v>
      </c>
      <c r="J518" s="146">
        <f>IF(I518&lt;20,0,6)</f>
        <v>0</v>
      </c>
      <c r="K518" s="199" t="str">
        <f>INDEX('دورة1 دورة2'!B10:BJ43,MATCH("v",'دورة1 دورة2'!B10:B43,0),14)</f>
        <v>د1</v>
      </c>
      <c r="L518" s="770"/>
      <c r="M518" s="763"/>
      <c r="N518" s="763"/>
      <c r="O518" s="763"/>
      <c r="P518" s="765"/>
      <c r="Q518" s="766"/>
      <c r="R518" s="767"/>
      <c r="S518" s="764"/>
    </row>
    <row r="519" spans="1:19" ht="18.75" customHeight="1" thickBot="1">
      <c r="A519" s="773"/>
      <c r="B519" s="769"/>
      <c r="C519" s="769"/>
      <c r="D519" s="769"/>
      <c r="E519" s="769"/>
      <c r="F519" s="589" t="s">
        <v>207</v>
      </c>
      <c r="G519" s="137">
        <v>5</v>
      </c>
      <c r="H519" s="144">
        <v>2</v>
      </c>
      <c r="I519" s="145">
        <f>INDEX('دورة1 دورة2'!B10:BJ43,MATCH("v",'دورة1 دورة2'!B10:B43,0),15)</f>
        <v>0</v>
      </c>
      <c r="J519" s="146">
        <f>IF(I519&lt;20,0,5)</f>
        <v>0</v>
      </c>
      <c r="K519" s="199" t="str">
        <f>INDEX('دورة1 دورة2'!B10:BJ43,MATCH("v",'دورة1 دورة2'!B10:B43,0),17)</f>
        <v>د1</v>
      </c>
      <c r="L519" s="770"/>
      <c r="M519" s="763"/>
      <c r="N519" s="763"/>
      <c r="O519" s="763"/>
      <c r="P519" s="765"/>
      <c r="Q519" s="766"/>
      <c r="R519" s="767"/>
      <c r="S519" s="764"/>
    </row>
    <row r="520" spans="1:19" ht="18.75" customHeight="1" thickBot="1">
      <c r="A520" s="773"/>
      <c r="B520" s="769" t="s">
        <v>127</v>
      </c>
      <c r="C520" s="769" t="s">
        <v>123</v>
      </c>
      <c r="D520" s="769">
        <v>9</v>
      </c>
      <c r="E520" s="769">
        <v>4</v>
      </c>
      <c r="F520" s="590" t="s">
        <v>208</v>
      </c>
      <c r="G520" s="137">
        <v>5</v>
      </c>
      <c r="H520" s="144">
        <v>2</v>
      </c>
      <c r="I520" s="145">
        <f>INDEX('دورة1 دورة2'!B10:BJ43,MATCH("v",'دورة1 دورة2'!B10:B43,0),23)</f>
        <v>0</v>
      </c>
      <c r="J520" s="146">
        <f>IF(I520&lt;20,0,5)</f>
        <v>0</v>
      </c>
      <c r="K520" s="199" t="str">
        <f>INDEX('دورة1 دورة2'!B10:BJ43,MATCH("v",'دورة1 دورة2'!B10:B43,0),25)</f>
        <v>د1</v>
      </c>
      <c r="L520" s="770">
        <f>(I521+I520)/4</f>
        <v>0</v>
      </c>
      <c r="M520" s="763">
        <f>IF(L520&lt;10,J521+J520,9)</f>
        <v>0</v>
      </c>
      <c r="N520" s="763" t="str">
        <f>INDEX('دورة1 دورة2'!B10:BJ43,MATCH("v",'دورة1 دورة2'!B10:B43,0),31)</f>
        <v>د1</v>
      </c>
      <c r="O520" s="763">
        <f>LOOKUP("r",'دورة1 دورة2'!B:B,'دورة1 دورة2'!AN:AN)</f>
        <v>2018</v>
      </c>
      <c r="P520" s="765"/>
      <c r="Q520" s="766"/>
      <c r="R520" s="767"/>
      <c r="S520" s="764"/>
    </row>
    <row r="521" spans="1:19" ht="18.75" customHeight="1" thickBot="1">
      <c r="A521" s="773"/>
      <c r="B521" s="769"/>
      <c r="C521" s="769"/>
      <c r="D521" s="769"/>
      <c r="E521" s="769"/>
      <c r="F521" s="589" t="s">
        <v>209</v>
      </c>
      <c r="G521" s="137">
        <v>4</v>
      </c>
      <c r="H521" s="144">
        <v>2</v>
      </c>
      <c r="I521" s="145">
        <f>INDEX('دورة1 دورة2'!B10:BJ43,MATCH("v",'دورة1 دورة2'!B10:B43,0),26)</f>
        <v>0</v>
      </c>
      <c r="J521" s="146">
        <f>IF(I521&lt;20,0,4)</f>
        <v>0</v>
      </c>
      <c r="K521" s="199" t="str">
        <f>INDEX('دورة1 دورة2'!B10:BJ43,MATCH("v",'دورة1 دورة2'!B10:B43,0),28)</f>
        <v>د1</v>
      </c>
      <c r="L521" s="770"/>
      <c r="M521" s="763"/>
      <c r="N521" s="763"/>
      <c r="O521" s="763"/>
      <c r="P521" s="765"/>
      <c r="Q521" s="766"/>
      <c r="R521" s="767"/>
      <c r="S521" s="764"/>
    </row>
    <row r="522" spans="1:19" ht="18.75" customHeight="1" thickBot="1">
      <c r="A522" s="773"/>
      <c r="B522" s="137" t="s">
        <v>128</v>
      </c>
      <c r="C522" s="137" t="s">
        <v>124</v>
      </c>
      <c r="D522" s="137">
        <v>2</v>
      </c>
      <c r="E522" s="137">
        <v>2</v>
      </c>
      <c r="F522" s="589" t="s">
        <v>211</v>
      </c>
      <c r="G522" s="137">
        <v>2</v>
      </c>
      <c r="H522" s="144">
        <v>2</v>
      </c>
      <c r="I522" s="145">
        <f>INDEX('دورة1 دورة2'!B10:BJ43,MATCH("v",'دورة1 دورة2'!B10:B43,0),34)</f>
        <v>0</v>
      </c>
      <c r="J522" s="146">
        <f>IF(I522&lt;20,0,2)</f>
        <v>0</v>
      </c>
      <c r="K522" s="199" t="str">
        <f>INDEX('دورة1 دورة2'!B10:BJ43,MATCH("v",'دورة1 دورة2'!B10:B43,0),36)</f>
        <v>د1</v>
      </c>
      <c r="L522" s="147">
        <f>I522/2</f>
        <v>0</v>
      </c>
      <c r="M522" s="148">
        <f>J522</f>
        <v>0</v>
      </c>
      <c r="N522" s="199" t="str">
        <f>INDEX('دورة1 دورة2'!B10:BJ43,MATCH("v",'دورة1 دورة2'!B10:B43,0),36)</f>
        <v>د1</v>
      </c>
      <c r="O522" s="146">
        <f>LOOKUP("r",'دورة1 دورة2'!B:B,'دورة1 دورة2'!AU:AU)</f>
        <v>2018</v>
      </c>
      <c r="P522" s="765"/>
      <c r="Q522" s="766"/>
      <c r="R522" s="767"/>
      <c r="S522" s="131"/>
    </row>
    <row r="523" spans="1:19" ht="18.75" customHeight="1" thickBot="1">
      <c r="A523" s="773"/>
      <c r="B523" s="137" t="s">
        <v>129</v>
      </c>
      <c r="C523" s="137" t="s">
        <v>125</v>
      </c>
      <c r="D523" s="137">
        <v>1</v>
      </c>
      <c r="E523" s="137">
        <v>1</v>
      </c>
      <c r="F523" s="591" t="s">
        <v>191</v>
      </c>
      <c r="G523" s="137">
        <v>1</v>
      </c>
      <c r="H523" s="144">
        <v>1</v>
      </c>
      <c r="I523" s="145">
        <f>INDEX('دورة1 دورة2'!B10:BJ43,MATCH("v",'دورة1 دورة2'!B10:B43,0),41)</f>
        <v>0</v>
      </c>
      <c r="J523" s="146">
        <f>IF(I523&lt;10,0,1)</f>
        <v>0</v>
      </c>
      <c r="K523" s="199" t="str">
        <f>INDEX('دورة1 دورة2'!B10:BJ43,MATCH("v",'دورة1 دورة2'!B10:B43,0),43)</f>
        <v>د1</v>
      </c>
      <c r="L523" s="147">
        <f>I523</f>
        <v>0</v>
      </c>
      <c r="M523" s="148">
        <f>J523</f>
        <v>0</v>
      </c>
      <c r="N523" s="199" t="str">
        <f>INDEX('دورة1 دورة2'!B10:BJ43,MATCH("v",'دورة1 دورة2'!B10:B43,0),43)</f>
        <v>د1</v>
      </c>
      <c r="O523" s="146">
        <f>LOOKUP("r",'دورة1 دورة2'!B:B,'دورة1 دورة2'!AU:AU)</f>
        <v>2018</v>
      </c>
      <c r="P523" s="765"/>
      <c r="Q523" s="766"/>
      <c r="R523" s="768"/>
      <c r="S523" s="131"/>
    </row>
    <row r="524" spans="1:19" ht="78.75" customHeight="1" thickBot="1">
      <c r="A524" s="342" t="s">
        <v>458</v>
      </c>
      <c r="B524" s="137" t="s">
        <v>126</v>
      </c>
      <c r="C524" s="137" t="s">
        <v>122</v>
      </c>
      <c r="D524" s="137">
        <v>18</v>
      </c>
      <c r="E524" s="137">
        <v>7</v>
      </c>
      <c r="F524" s="592" t="s">
        <v>213</v>
      </c>
      <c r="G524" s="137">
        <v>7</v>
      </c>
      <c r="H524" s="144">
        <v>2</v>
      </c>
      <c r="I524" s="145">
        <f>INDEX('دورة1 دورة2'!B10:BJ43,MATCH("v",'دورة1 دورة2'!B10:B43,0),54)</f>
        <v>0</v>
      </c>
      <c r="J524" s="146">
        <f>IF(I524&lt;300,0,30)</f>
        <v>0</v>
      </c>
      <c r="K524" s="199" t="str">
        <f>INDEX('دورة1 دورة2'!B10:BJ43,MATCH("v",'دورة1 دورة2'!B10:B43,0),56)</f>
        <v>د1</v>
      </c>
      <c r="L524" s="147">
        <f>(I524)/30</f>
        <v>0</v>
      </c>
      <c r="M524" s="148">
        <f>IF(L524&lt;10,J524,30)</f>
        <v>0</v>
      </c>
      <c r="N524" s="148" t="str">
        <f>INDEX('دورة1 دورة2'!B10:BJ43,MATCH("v",'دورة1 دورة2'!B10:B43,0),56)</f>
        <v>د1</v>
      </c>
      <c r="O524" s="148" t="e">
        <f>LOOKUP("r",'دورة1 دورة2'!B:B,'دورة1 دورة2'!#REF!)</f>
        <v>#REF!</v>
      </c>
      <c r="P524" s="341">
        <f>(I524)/30</f>
        <v>0</v>
      </c>
      <c r="Q524" s="146">
        <f>IF(P524&lt;10,M524,30)</f>
        <v>0</v>
      </c>
      <c r="R524" s="343" t="str">
        <f>INDEX('دورة1 دورة2'!B10:BJ43,MATCH("v",'دورة1 دورة2'!B10:B43,0),60)</f>
        <v>د1</v>
      </c>
      <c r="S524" s="131"/>
    </row>
    <row r="525" spans="1:18" ht="17.25" customHeight="1" thickBot="1">
      <c r="A525" s="62" t="s">
        <v>150</v>
      </c>
      <c r="B525" s="135">
        <f>(P517+P524)/2</f>
        <v>0</v>
      </c>
      <c r="C525" s="759" t="s">
        <v>461</v>
      </c>
      <c r="D525" s="760"/>
      <c r="E525" s="760"/>
      <c r="F525" s="761"/>
      <c r="G525" s="136">
        <f>Q517+Q524</f>
        <v>0</v>
      </c>
      <c r="H525" s="6"/>
      <c r="I525" s="6"/>
      <c r="J525" s="134" t="s">
        <v>72</v>
      </c>
      <c r="K525" s="6"/>
      <c r="L525" s="6"/>
      <c r="M525" s="6"/>
      <c r="N525" s="6"/>
      <c r="O525" s="6"/>
      <c r="P525" s="583">
        <v>120</v>
      </c>
      <c r="Q525" s="130"/>
      <c r="R525" s="130"/>
    </row>
    <row r="526" spans="1:18" ht="16.5" customHeight="1" thickBot="1">
      <c r="A526" s="62" t="s">
        <v>121</v>
      </c>
      <c r="B526" s="75" t="str">
        <f>IF(B525&lt;10,"راسب(ة)","ناجح(ة)")</f>
        <v>راسب(ة)</v>
      </c>
      <c r="G526" s="129"/>
      <c r="I526" s="80"/>
      <c r="J526" s="134" t="s">
        <v>73</v>
      </c>
      <c r="K526" s="6"/>
      <c r="L526" s="6"/>
      <c r="M526" s="6"/>
      <c r="N526" s="6"/>
      <c r="O526" s="6"/>
      <c r="P526" s="133">
        <v>120</v>
      </c>
      <c r="Q526" s="5"/>
      <c r="R526" s="5"/>
    </row>
    <row r="527" spans="1:7" ht="16.5" customHeight="1">
      <c r="A527" s="62" t="s">
        <v>120</v>
      </c>
      <c r="B527" s="77">
        <f ca="1">TODAY()</f>
        <v>43188</v>
      </c>
      <c r="G527" s="129"/>
    </row>
    <row r="528" spans="1:14" ht="16.5" customHeight="1">
      <c r="A528" s="62" t="s">
        <v>74</v>
      </c>
      <c r="B528" s="8" t="s">
        <v>119</v>
      </c>
      <c r="L528" s="762" t="s">
        <v>29</v>
      </c>
      <c r="M528" s="762"/>
      <c r="N528" s="75"/>
    </row>
    <row r="529" spans="1:17" ht="20.25">
      <c r="A529" s="187" t="s">
        <v>45</v>
      </c>
      <c r="B529" s="188"/>
      <c r="C529" s="188"/>
      <c r="D529" s="188"/>
      <c r="E529" s="188"/>
      <c r="F529" s="188"/>
      <c r="G529" s="188"/>
      <c r="H529" s="189"/>
      <c r="I529" s="189"/>
      <c r="J529" s="189"/>
      <c r="K529" s="189"/>
      <c r="L529" s="189"/>
      <c r="M529" s="78" t="s">
        <v>46</v>
      </c>
      <c r="N529" s="189"/>
      <c r="O529" s="78"/>
      <c r="P529" s="189"/>
      <c r="Q529" s="189"/>
    </row>
    <row r="530" spans="6:10" ht="15" customHeight="1">
      <c r="F530" s="191" t="s">
        <v>47</v>
      </c>
      <c r="G530" s="10" t="s">
        <v>19</v>
      </c>
      <c r="H530" s="10"/>
      <c r="I530" s="10"/>
      <c r="J530" s="10"/>
    </row>
    <row r="531" spans="6:10" ht="15" customHeight="1">
      <c r="F531" s="191" t="s">
        <v>48</v>
      </c>
      <c r="G531" s="10" t="s">
        <v>49</v>
      </c>
      <c r="H531" s="10"/>
      <c r="I531" s="10"/>
      <c r="J531" s="10"/>
    </row>
    <row r="532" spans="6:10" ht="15" customHeight="1">
      <c r="F532" s="191" t="s">
        <v>50</v>
      </c>
      <c r="G532" s="10" t="s">
        <v>51</v>
      </c>
      <c r="H532" s="10"/>
      <c r="I532" s="10"/>
      <c r="J532" s="10"/>
    </row>
    <row r="533" spans="4:11" ht="21" customHeight="1">
      <c r="D533" s="782" t="s">
        <v>99</v>
      </c>
      <c r="E533" s="782"/>
      <c r="F533" s="782"/>
      <c r="G533" s="782"/>
      <c r="H533" s="782"/>
      <c r="I533" s="782"/>
      <c r="J533" s="782"/>
      <c r="K533" s="782"/>
    </row>
    <row r="534" spans="1:18" ht="18">
      <c r="A534" s="2" t="s">
        <v>148</v>
      </c>
      <c r="B534" s="196" t="str">
        <f>B6</f>
        <v>2017/2018</v>
      </c>
      <c r="C534" s="62"/>
      <c r="E534" s="61"/>
      <c r="F534" s="62"/>
      <c r="G534" s="157"/>
      <c r="H534" s="62"/>
      <c r="I534" s="61"/>
      <c r="J534" s="61"/>
      <c r="K534" s="61"/>
      <c r="L534" s="151"/>
      <c r="M534" s="151"/>
      <c r="N534" s="151"/>
      <c r="O534" s="151"/>
      <c r="P534" s="61"/>
      <c r="Q534" s="61"/>
      <c r="R534" s="61"/>
    </row>
    <row r="535" spans="1:18" ht="15.75" customHeight="1">
      <c r="A535" s="62" t="s">
        <v>147</v>
      </c>
      <c r="B535" s="190" t="str">
        <f>INDEX('دورة1 دورة2'!B10:BJ43,MATCH("w",'دورة1 دورة2'!B10:B43,0),3)</f>
        <v> </v>
      </c>
      <c r="C535" s="158" t="s">
        <v>146</v>
      </c>
      <c r="D535" s="186" t="str">
        <f>INDEX('دورة1 دورة2'!B10:BJ43,MATCH("w",'دورة1 دورة2'!B10:B43,0),4)</f>
        <v> </v>
      </c>
      <c r="E535" s="62"/>
      <c r="F535" s="158" t="s">
        <v>52</v>
      </c>
      <c r="G535" s="783">
        <f>INDEX('دورة1 دورة2'!B10:BJ43,MATCH("w",'دورة1 دورة2'!B10:B43,0),6)</f>
        <v>0</v>
      </c>
      <c r="H535" s="783"/>
      <c r="I535" s="783"/>
      <c r="J535" s="61"/>
      <c r="K535" s="132" t="s">
        <v>53</v>
      </c>
      <c r="L535" s="784">
        <f>INDEX('دورة1 دورة2'!B10:BJ43,MATCH("w",'دورة1 دورة2'!B10:B43,0),7)</f>
        <v>0</v>
      </c>
      <c r="M535" s="784"/>
      <c r="O535" s="186"/>
      <c r="P535" s="8" t="s">
        <v>54</v>
      </c>
      <c r="Q535" s="784">
        <f>INDEX('دورة1 دورة2'!B10:BJ43,MATCH("w",'دورة1 دورة2'!B10:B43,0),8)</f>
        <v>0</v>
      </c>
      <c r="R535" s="784"/>
    </row>
    <row r="536" spans="1:18" ht="15" customHeight="1">
      <c r="A536" s="2" t="s">
        <v>149</v>
      </c>
      <c r="B536" s="190">
        <f>INDEX('دورة1 دورة2'!B10:BJ43,MATCH("w",'دورة1 دورة2'!B10:B43,0),5)</f>
        <v>0</v>
      </c>
      <c r="C536" s="166"/>
      <c r="D536" s="9" t="s">
        <v>55</v>
      </c>
      <c r="E536" s="11" t="s">
        <v>56</v>
      </c>
      <c r="F536" s="11"/>
      <c r="G536" s="156"/>
      <c r="H536" s="11"/>
      <c r="I536" s="9"/>
      <c r="J536" s="9" t="s">
        <v>57</v>
      </c>
      <c r="K536" s="9"/>
      <c r="L536" s="11"/>
      <c r="N536" s="4" t="s">
        <v>98</v>
      </c>
      <c r="O536" s="2" t="s">
        <v>98</v>
      </c>
      <c r="P536" s="10" t="s">
        <v>97</v>
      </c>
      <c r="R536" s="61"/>
    </row>
    <row r="537" spans="1:16" ht="15.75" thickBot="1">
      <c r="A537" s="3" t="s">
        <v>58</v>
      </c>
      <c r="B537" s="139" t="s">
        <v>200</v>
      </c>
      <c r="C537" s="139"/>
      <c r="G537" s="129"/>
      <c r="J537" s="4"/>
      <c r="K537" s="4"/>
      <c r="M537" s="4"/>
      <c r="N537" s="4"/>
      <c r="O537" s="126"/>
      <c r="P537" s="126"/>
    </row>
    <row r="538" spans="1:18" ht="30" customHeight="1" thickBot="1" thickTop="1">
      <c r="A538" s="775" t="s">
        <v>25</v>
      </c>
      <c r="B538" s="777" t="s">
        <v>59</v>
      </c>
      <c r="C538" s="777"/>
      <c r="D538" s="778"/>
      <c r="E538" s="777"/>
      <c r="F538" s="777" t="s">
        <v>60</v>
      </c>
      <c r="G538" s="777"/>
      <c r="H538" s="777"/>
      <c r="I538" s="777" t="s">
        <v>61</v>
      </c>
      <c r="J538" s="777"/>
      <c r="K538" s="777"/>
      <c r="L538" s="777"/>
      <c r="M538" s="777"/>
      <c r="N538" s="777"/>
      <c r="O538" s="777"/>
      <c r="P538" s="777"/>
      <c r="Q538" s="777"/>
      <c r="R538" s="779"/>
    </row>
    <row r="539" spans="1:18" ht="15.75" thickBot="1">
      <c r="A539" s="776"/>
      <c r="B539" s="780" t="s">
        <v>63</v>
      </c>
      <c r="C539" s="771" t="s">
        <v>62</v>
      </c>
      <c r="D539" s="149" t="s">
        <v>64</v>
      </c>
      <c r="E539" s="781" t="s">
        <v>65</v>
      </c>
      <c r="F539" s="771" t="s">
        <v>66</v>
      </c>
      <c r="G539" s="138" t="s">
        <v>64</v>
      </c>
      <c r="H539" s="771" t="s">
        <v>65</v>
      </c>
      <c r="I539" s="771" t="s">
        <v>67</v>
      </c>
      <c r="J539" s="771"/>
      <c r="K539" s="771"/>
      <c r="L539" s="771" t="s">
        <v>68</v>
      </c>
      <c r="M539" s="771"/>
      <c r="N539" s="771"/>
      <c r="O539" s="771"/>
      <c r="P539" s="771" t="s">
        <v>25</v>
      </c>
      <c r="Q539" s="771"/>
      <c r="R539" s="772"/>
    </row>
    <row r="540" spans="1:21" ht="15.75" thickBot="1">
      <c r="A540" s="776"/>
      <c r="B540" s="780"/>
      <c r="C540" s="771"/>
      <c r="D540" s="150" t="s">
        <v>69</v>
      </c>
      <c r="E540" s="781"/>
      <c r="F540" s="771"/>
      <c r="G540" s="138" t="s">
        <v>69</v>
      </c>
      <c r="H540" s="771"/>
      <c r="I540" s="133" t="s">
        <v>70</v>
      </c>
      <c r="J540" s="133" t="s">
        <v>100</v>
      </c>
      <c r="K540" s="133" t="s">
        <v>96</v>
      </c>
      <c r="L540" s="133" t="s">
        <v>70</v>
      </c>
      <c r="M540" s="133" t="s">
        <v>100</v>
      </c>
      <c r="N540" s="133" t="s">
        <v>96</v>
      </c>
      <c r="O540" s="133" t="s">
        <v>93</v>
      </c>
      <c r="P540" s="133" t="s">
        <v>70</v>
      </c>
      <c r="Q540" s="133" t="s">
        <v>100</v>
      </c>
      <c r="R540" s="140" t="s">
        <v>96</v>
      </c>
      <c r="U540" s="134"/>
    </row>
    <row r="541" spans="1:21" ht="18" customHeight="1" thickBot="1">
      <c r="A541" s="773" t="s">
        <v>457</v>
      </c>
      <c r="B541" s="769" t="s">
        <v>126</v>
      </c>
      <c r="C541" s="769" t="s">
        <v>122</v>
      </c>
      <c r="D541" s="774">
        <v>18</v>
      </c>
      <c r="E541" s="769">
        <v>7</v>
      </c>
      <c r="F541" s="588" t="s">
        <v>205</v>
      </c>
      <c r="G541" s="137">
        <v>7</v>
      </c>
      <c r="H541" s="144">
        <v>3</v>
      </c>
      <c r="I541" s="145">
        <f>INDEX('دورة1 دورة2'!B10:BJ43,MATCH("w",'دورة1 دورة2'!B10:B43,0),9)</f>
        <v>0</v>
      </c>
      <c r="J541" s="146">
        <f>IF(I541&lt;30,0,7)</f>
        <v>0</v>
      </c>
      <c r="K541" s="199" t="str">
        <f>INDEX('دورة1 دورة2'!B10:BJ43,MATCH("w",'دورة1 دورة2'!B10:B43,0),11)</f>
        <v>د1</v>
      </c>
      <c r="L541" s="770">
        <f>(I541+I542+I543)/7</f>
        <v>0</v>
      </c>
      <c r="M541" s="763">
        <f>IF(L541&lt;10,J541+J542+J543,18)</f>
        <v>0</v>
      </c>
      <c r="N541" s="763" t="str">
        <f>INDEX('دورة1 دورة2'!B10:BJ43,MATCH("w",'دورة1 دورة2'!B10:B43,0),20)</f>
        <v>د1</v>
      </c>
      <c r="O541" s="763">
        <f>LOOKUP("r",'دورة1 دورة2'!B:B,'دورة1 دورة2'!AG:AG)</f>
        <v>2018</v>
      </c>
      <c r="P541" s="765">
        <f>(I541+I542+I543+I544+I545+I546+I547)/14</f>
        <v>0</v>
      </c>
      <c r="Q541" s="766">
        <f>IF(P541&lt;10,M541+M544+M546+M547,30)</f>
        <v>0</v>
      </c>
      <c r="R541" s="767" t="str">
        <f>INDEX('دورة1 دورة2'!B10:BJ43,MATCH("w",'دورة1 دورة2'!B10:B43,0),51)</f>
        <v>د1</v>
      </c>
      <c r="S541" s="764"/>
      <c r="U541" s="134"/>
    </row>
    <row r="542" spans="1:19" ht="18" customHeight="1" thickBot="1">
      <c r="A542" s="773"/>
      <c r="B542" s="769"/>
      <c r="C542" s="769"/>
      <c r="D542" s="769"/>
      <c r="E542" s="769"/>
      <c r="F542" s="589" t="s">
        <v>206</v>
      </c>
      <c r="G542" s="137">
        <v>6</v>
      </c>
      <c r="H542" s="144">
        <v>2</v>
      </c>
      <c r="I542" s="145">
        <f>INDEX('دورة1 دورة2'!B10:BJ43,MATCH("w",'دورة1 دورة2'!B10:B43,0),12)</f>
        <v>0</v>
      </c>
      <c r="J542" s="146">
        <f>IF(I542&lt;20,0,6)</f>
        <v>0</v>
      </c>
      <c r="K542" s="199" t="str">
        <f>INDEX('دورة1 دورة2'!B10:BJ43,MATCH("w",'دورة1 دورة2'!B10:B43,0),14)</f>
        <v>د1</v>
      </c>
      <c r="L542" s="770"/>
      <c r="M542" s="763"/>
      <c r="N542" s="763"/>
      <c r="O542" s="763"/>
      <c r="P542" s="765"/>
      <c r="Q542" s="766"/>
      <c r="R542" s="767"/>
      <c r="S542" s="764"/>
    </row>
    <row r="543" spans="1:19" ht="18" customHeight="1" thickBot="1">
      <c r="A543" s="773"/>
      <c r="B543" s="769"/>
      <c r="C543" s="769"/>
      <c r="D543" s="769"/>
      <c r="E543" s="769"/>
      <c r="F543" s="589" t="s">
        <v>207</v>
      </c>
      <c r="G543" s="137">
        <v>5</v>
      </c>
      <c r="H543" s="144">
        <v>2</v>
      </c>
      <c r="I543" s="145">
        <f>INDEX('دورة1 دورة2'!B10:BJ43,MATCH("w",'دورة1 دورة2'!B10:B43,0),15)</f>
        <v>0</v>
      </c>
      <c r="J543" s="146">
        <f>IF(I543&lt;20,0,5)</f>
        <v>0</v>
      </c>
      <c r="K543" s="199" t="str">
        <f>INDEX('دورة1 دورة2'!B10:BJ43,MATCH("w",'دورة1 دورة2'!B10:B43,0),17)</f>
        <v>د1</v>
      </c>
      <c r="L543" s="770"/>
      <c r="M543" s="763"/>
      <c r="N543" s="763"/>
      <c r="O543" s="763"/>
      <c r="P543" s="765"/>
      <c r="Q543" s="766"/>
      <c r="R543" s="767"/>
      <c r="S543" s="764"/>
    </row>
    <row r="544" spans="1:19" ht="18" customHeight="1" thickBot="1">
      <c r="A544" s="773"/>
      <c r="B544" s="769" t="s">
        <v>127</v>
      </c>
      <c r="C544" s="769" t="s">
        <v>123</v>
      </c>
      <c r="D544" s="769">
        <v>9</v>
      </c>
      <c r="E544" s="769">
        <v>4</v>
      </c>
      <c r="F544" s="590" t="s">
        <v>208</v>
      </c>
      <c r="G544" s="137">
        <v>5</v>
      </c>
      <c r="H544" s="144">
        <v>2</v>
      </c>
      <c r="I544" s="145">
        <f>INDEX('دورة1 دورة2'!B10:BJ43,MATCH("w",'دورة1 دورة2'!B10:B43,0),23)</f>
        <v>0</v>
      </c>
      <c r="J544" s="146">
        <f>IF(I544&lt;20,0,5)</f>
        <v>0</v>
      </c>
      <c r="K544" s="199" t="str">
        <f>INDEX('دورة1 دورة2'!B10:BJ43,MATCH("w",'دورة1 دورة2'!B10:B43,0),25)</f>
        <v>د1</v>
      </c>
      <c r="L544" s="770">
        <f>(I545+I544)/4</f>
        <v>0</v>
      </c>
      <c r="M544" s="763">
        <f>IF(L544&lt;10,J545+J544,9)</f>
        <v>0</v>
      </c>
      <c r="N544" s="763" t="str">
        <f>INDEX('دورة1 دورة2'!B10:BJ43,MATCH("w",'دورة1 دورة2'!B10:B43,0),31)</f>
        <v>د1</v>
      </c>
      <c r="O544" s="763">
        <f>LOOKUP("r",'دورة1 دورة2'!B:B,'دورة1 دورة2'!AN:AN)</f>
        <v>2018</v>
      </c>
      <c r="P544" s="765"/>
      <c r="Q544" s="766"/>
      <c r="R544" s="767"/>
      <c r="S544" s="764"/>
    </row>
    <row r="545" spans="1:19" ht="18" customHeight="1" thickBot="1">
      <c r="A545" s="773"/>
      <c r="B545" s="769"/>
      <c r="C545" s="769"/>
      <c r="D545" s="769"/>
      <c r="E545" s="769"/>
      <c r="F545" s="589" t="s">
        <v>209</v>
      </c>
      <c r="G545" s="137">
        <v>4</v>
      </c>
      <c r="H545" s="144">
        <v>2</v>
      </c>
      <c r="I545" s="145">
        <f>INDEX('دورة1 دورة2'!B10:BJ43,MATCH("w",'دورة1 دورة2'!B10:B43,0),26)</f>
        <v>0</v>
      </c>
      <c r="J545" s="146">
        <f>IF(I545&lt;20,0,4)</f>
        <v>0</v>
      </c>
      <c r="K545" s="199" t="str">
        <f>INDEX('دورة1 دورة2'!B10:BJ43,MATCH("w",'دورة1 دورة2'!B10:B43,0),28)</f>
        <v>د1</v>
      </c>
      <c r="L545" s="770"/>
      <c r="M545" s="763"/>
      <c r="N545" s="763"/>
      <c r="O545" s="763"/>
      <c r="P545" s="765"/>
      <c r="Q545" s="766"/>
      <c r="R545" s="767"/>
      <c r="S545" s="764"/>
    </row>
    <row r="546" spans="1:19" ht="18" customHeight="1" thickBot="1">
      <c r="A546" s="773"/>
      <c r="B546" s="137" t="s">
        <v>128</v>
      </c>
      <c r="C546" s="137" t="s">
        <v>124</v>
      </c>
      <c r="D546" s="137">
        <v>2</v>
      </c>
      <c r="E546" s="137">
        <v>2</v>
      </c>
      <c r="F546" s="589" t="s">
        <v>211</v>
      </c>
      <c r="G546" s="137">
        <v>2</v>
      </c>
      <c r="H546" s="144">
        <v>2</v>
      </c>
      <c r="I546" s="145">
        <f>INDEX('دورة1 دورة2'!B10:BJ43,MATCH("w",'دورة1 دورة2'!B10:B43,0),34)</f>
        <v>0</v>
      </c>
      <c r="J546" s="146">
        <f>IF(I546&lt;20,0,2)</f>
        <v>0</v>
      </c>
      <c r="K546" s="199" t="str">
        <f>INDEX('دورة1 دورة2'!B10:BJ43,MATCH("w",'دورة1 دورة2'!B10:B43,0),36)</f>
        <v>د1</v>
      </c>
      <c r="L546" s="147">
        <f>I546/2</f>
        <v>0</v>
      </c>
      <c r="M546" s="148">
        <f>J546</f>
        <v>0</v>
      </c>
      <c r="N546" s="199" t="str">
        <f>INDEX('دورة1 دورة2'!B10:BJ43,MATCH("w",'دورة1 دورة2'!B10:B43,0),36)</f>
        <v>د1</v>
      </c>
      <c r="O546" s="146">
        <f>LOOKUP("r",'دورة1 دورة2'!B:B,'دورة1 دورة2'!AU:AU)</f>
        <v>2018</v>
      </c>
      <c r="P546" s="765"/>
      <c r="Q546" s="766"/>
      <c r="R546" s="767"/>
      <c r="S546" s="131"/>
    </row>
    <row r="547" spans="1:19" ht="18" customHeight="1" thickBot="1">
      <c r="A547" s="773"/>
      <c r="B547" s="137" t="s">
        <v>129</v>
      </c>
      <c r="C547" s="137" t="s">
        <v>125</v>
      </c>
      <c r="D547" s="137">
        <v>1</v>
      </c>
      <c r="E547" s="137">
        <v>1</v>
      </c>
      <c r="F547" s="591" t="s">
        <v>191</v>
      </c>
      <c r="G547" s="137">
        <v>1</v>
      </c>
      <c r="H547" s="144">
        <v>1</v>
      </c>
      <c r="I547" s="145">
        <f>INDEX('دورة1 دورة2'!B10:BJ43,MATCH("w",'دورة1 دورة2'!B10:B43,0),41)</f>
        <v>0</v>
      </c>
      <c r="J547" s="146">
        <f>IF(I547&lt;10,0,1)</f>
        <v>0</v>
      </c>
      <c r="K547" s="199" t="str">
        <f>INDEX('دورة1 دورة2'!B10:BJ43,MATCH("w",'دورة1 دورة2'!B10:B43,0),43)</f>
        <v>د1</v>
      </c>
      <c r="L547" s="147">
        <f>I547</f>
        <v>0</v>
      </c>
      <c r="M547" s="148">
        <f>J547</f>
        <v>0</v>
      </c>
      <c r="N547" s="199" t="str">
        <f>INDEX('دورة1 دورة2'!B10:BJ43,MATCH("w",'دورة1 دورة2'!B10:B43,0),43)</f>
        <v>د1</v>
      </c>
      <c r="O547" s="146">
        <f>LOOKUP("r",'دورة1 دورة2'!B:B,'دورة1 دورة2'!AU:AU)</f>
        <v>2018</v>
      </c>
      <c r="P547" s="765"/>
      <c r="Q547" s="766"/>
      <c r="R547" s="768"/>
      <c r="S547" s="131"/>
    </row>
    <row r="548" spans="1:19" ht="80.25" customHeight="1" thickBot="1">
      <c r="A548" s="342" t="s">
        <v>458</v>
      </c>
      <c r="B548" s="137" t="s">
        <v>126</v>
      </c>
      <c r="C548" s="137" t="s">
        <v>122</v>
      </c>
      <c r="D548" s="137">
        <v>18</v>
      </c>
      <c r="E548" s="137">
        <v>7</v>
      </c>
      <c r="F548" s="592" t="s">
        <v>213</v>
      </c>
      <c r="G548" s="137">
        <v>7</v>
      </c>
      <c r="H548" s="144">
        <v>2</v>
      </c>
      <c r="I548" s="145">
        <f>INDEX('دورة1 دورة2'!B10:BJ43,MATCH("w",'دورة1 دورة2'!B10:B43,0),54)</f>
        <v>0</v>
      </c>
      <c r="J548" s="146">
        <f>IF(I548&lt;300,0,30)</f>
        <v>0</v>
      </c>
      <c r="K548" s="199" t="str">
        <f>INDEX('دورة1 دورة2'!B10:BJ43,MATCH("w",'دورة1 دورة2'!B10:B43,0),56)</f>
        <v>د1</v>
      </c>
      <c r="L548" s="147">
        <f>(I548)/30</f>
        <v>0</v>
      </c>
      <c r="M548" s="148">
        <f>IF(L548&lt;10,J548,30)</f>
        <v>0</v>
      </c>
      <c r="N548" s="148" t="str">
        <f>INDEX('دورة1 دورة2'!B10:BJ43,MATCH("w",'دورة1 دورة2'!B10:B43,0),56)</f>
        <v>د1</v>
      </c>
      <c r="O548" s="148" t="e">
        <f>LOOKUP("r",'دورة1 دورة2'!B:B,'دورة1 دورة2'!#REF!)</f>
        <v>#REF!</v>
      </c>
      <c r="P548" s="341">
        <f>(I548)/30</f>
        <v>0</v>
      </c>
      <c r="Q548" s="146">
        <f>IF(P548&lt;10,M548,30)</f>
        <v>0</v>
      </c>
      <c r="R548" s="343" t="str">
        <f>INDEX('دورة1 دورة2'!B10:BJ43,MATCH("w",'دورة1 دورة2'!B10:B43,0),60)</f>
        <v>د1</v>
      </c>
      <c r="S548" s="131"/>
    </row>
    <row r="549" spans="1:18" ht="17.25" customHeight="1" thickBot="1">
      <c r="A549" s="62" t="s">
        <v>150</v>
      </c>
      <c r="B549" s="135">
        <f>(P541+P548)/2</f>
        <v>0</v>
      </c>
      <c r="C549" s="759" t="s">
        <v>461</v>
      </c>
      <c r="D549" s="760"/>
      <c r="E549" s="760"/>
      <c r="F549" s="761"/>
      <c r="G549" s="136">
        <f>Q541+Q548</f>
        <v>0</v>
      </c>
      <c r="H549" s="6"/>
      <c r="I549" s="6"/>
      <c r="J549" s="134" t="s">
        <v>72</v>
      </c>
      <c r="K549" s="6"/>
      <c r="L549" s="6"/>
      <c r="M549" s="6"/>
      <c r="N549" s="6"/>
      <c r="O549" s="6"/>
      <c r="P549" s="583">
        <v>120</v>
      </c>
      <c r="Q549" s="130"/>
      <c r="R549" s="130"/>
    </row>
    <row r="550" spans="1:18" ht="16.5" customHeight="1" thickBot="1">
      <c r="A550" s="62" t="s">
        <v>121</v>
      </c>
      <c r="B550" s="75" t="str">
        <f>IF(B549&lt;10,"راسب(ة)","ناجح(ة)")</f>
        <v>راسب(ة)</v>
      </c>
      <c r="G550" s="129"/>
      <c r="I550" s="80"/>
      <c r="J550" s="134" t="s">
        <v>73</v>
      </c>
      <c r="K550" s="6"/>
      <c r="L550" s="6"/>
      <c r="M550" s="6"/>
      <c r="N550" s="6"/>
      <c r="O550" s="6"/>
      <c r="P550" s="133">
        <v>120</v>
      </c>
      <c r="Q550" s="5"/>
      <c r="R550" s="5"/>
    </row>
    <row r="551" spans="1:7" ht="16.5" customHeight="1">
      <c r="A551" s="62" t="s">
        <v>120</v>
      </c>
      <c r="B551" s="77">
        <f ca="1">TODAY()</f>
        <v>43188</v>
      </c>
      <c r="G551" s="129"/>
    </row>
    <row r="552" spans="1:14" ht="16.5" customHeight="1">
      <c r="A552" s="62" t="s">
        <v>74</v>
      </c>
      <c r="B552" s="8" t="s">
        <v>119</v>
      </c>
      <c r="L552" s="762" t="s">
        <v>29</v>
      </c>
      <c r="M552" s="762"/>
      <c r="N552" s="75"/>
    </row>
    <row r="553" spans="1:17" ht="20.25">
      <c r="A553" s="187" t="s">
        <v>45</v>
      </c>
      <c r="B553" s="188"/>
      <c r="C553" s="188"/>
      <c r="D553" s="188"/>
      <c r="E553" s="188"/>
      <c r="F553" s="188"/>
      <c r="G553" s="188"/>
      <c r="H553" s="189"/>
      <c r="I553" s="189"/>
      <c r="J553" s="189"/>
      <c r="K553" s="189"/>
      <c r="L553" s="189"/>
      <c r="M553" s="78" t="s">
        <v>46</v>
      </c>
      <c r="N553" s="189"/>
      <c r="O553" s="78"/>
      <c r="P553" s="189"/>
      <c r="Q553" s="189"/>
    </row>
    <row r="554" spans="6:10" ht="15" customHeight="1">
      <c r="F554" s="191" t="s">
        <v>47</v>
      </c>
      <c r="G554" s="10" t="s">
        <v>19</v>
      </c>
      <c r="H554" s="10"/>
      <c r="I554" s="10"/>
      <c r="J554" s="10"/>
    </row>
    <row r="555" spans="6:10" ht="15" customHeight="1">
      <c r="F555" s="191" t="s">
        <v>48</v>
      </c>
      <c r="G555" s="10" t="s">
        <v>49</v>
      </c>
      <c r="H555" s="10"/>
      <c r="I555" s="10"/>
      <c r="J555" s="10"/>
    </row>
    <row r="556" spans="6:10" ht="15" customHeight="1">
      <c r="F556" s="191" t="s">
        <v>50</v>
      </c>
      <c r="G556" s="10" t="s">
        <v>51</v>
      </c>
      <c r="H556" s="10"/>
      <c r="I556" s="10"/>
      <c r="J556" s="10"/>
    </row>
    <row r="557" spans="4:11" ht="21" customHeight="1">
      <c r="D557" s="782" t="s">
        <v>99</v>
      </c>
      <c r="E557" s="782"/>
      <c r="F557" s="782"/>
      <c r="G557" s="782"/>
      <c r="H557" s="782"/>
      <c r="I557" s="782"/>
      <c r="J557" s="782"/>
      <c r="K557" s="782"/>
    </row>
    <row r="558" spans="1:18" ht="18">
      <c r="A558" s="2" t="s">
        <v>148</v>
      </c>
      <c r="B558" s="196" t="str">
        <f>B6</f>
        <v>2017/2018</v>
      </c>
      <c r="C558" s="62"/>
      <c r="E558" s="61"/>
      <c r="F558" s="62"/>
      <c r="G558" s="157"/>
      <c r="H558" s="62"/>
      <c r="I558" s="61"/>
      <c r="J558" s="61"/>
      <c r="K558" s="61"/>
      <c r="L558" s="151"/>
      <c r="M558" s="151"/>
      <c r="N558" s="151"/>
      <c r="O558" s="151"/>
      <c r="P558" s="61"/>
      <c r="Q558" s="61"/>
      <c r="R558" s="61"/>
    </row>
    <row r="559" spans="1:18" ht="15.75" customHeight="1">
      <c r="A559" s="62" t="s">
        <v>147</v>
      </c>
      <c r="B559" s="190" t="str">
        <f>INDEX('دورة1 دورة2'!B10:BJ43,MATCH("x",'دورة1 دورة2'!B10:B43,0),3)</f>
        <v> </v>
      </c>
      <c r="C559" s="158" t="s">
        <v>146</v>
      </c>
      <c r="D559" s="186" t="str">
        <f>INDEX('دورة1 دورة2'!B10:BJ43,MATCH("x",'دورة1 دورة2'!B10:B43,0),4)</f>
        <v> </v>
      </c>
      <c r="E559" s="62"/>
      <c r="F559" s="158" t="s">
        <v>52</v>
      </c>
      <c r="G559" s="783">
        <f>INDEX('دورة1 دورة2'!B10:BJ43,MATCH("x",'دورة1 دورة2'!B10:B43,0),6)</f>
        <v>0</v>
      </c>
      <c r="H559" s="783"/>
      <c r="I559" s="783"/>
      <c r="J559" s="61"/>
      <c r="K559" s="132" t="s">
        <v>53</v>
      </c>
      <c r="L559" s="784">
        <f>INDEX('دورة1 دورة2'!B10:BJ43,MATCH("x",'دورة1 دورة2'!B10:B43,0),7)</f>
        <v>0</v>
      </c>
      <c r="M559" s="784"/>
      <c r="O559" s="186"/>
      <c r="P559" s="8" t="s">
        <v>54</v>
      </c>
      <c r="Q559" s="784">
        <f>INDEX('دورة1 دورة2'!B10:BJ43,MATCH("x",'دورة1 دورة2'!B10:B43,0),8)</f>
        <v>0</v>
      </c>
      <c r="R559" s="784"/>
    </row>
    <row r="560" spans="1:18" ht="15" customHeight="1">
      <c r="A560" s="2" t="s">
        <v>149</v>
      </c>
      <c r="B560" s="190">
        <f>INDEX('دورة1 دورة2'!B10:BJ43,MATCH("x",'دورة1 دورة2'!B10:B43,0),5)</f>
        <v>0</v>
      </c>
      <c r="C560" s="166"/>
      <c r="D560" s="9" t="s">
        <v>55</v>
      </c>
      <c r="E560" s="11" t="s">
        <v>56</v>
      </c>
      <c r="F560" s="11"/>
      <c r="G560" s="156"/>
      <c r="H560" s="11"/>
      <c r="I560" s="9"/>
      <c r="J560" s="9" t="s">
        <v>57</v>
      </c>
      <c r="K560" s="9"/>
      <c r="L560" s="11"/>
      <c r="N560" s="4" t="s">
        <v>98</v>
      </c>
      <c r="O560" s="2" t="s">
        <v>98</v>
      </c>
      <c r="P560" s="10" t="s">
        <v>97</v>
      </c>
      <c r="R560" s="61"/>
    </row>
    <row r="561" spans="1:16" ht="15.75" thickBot="1">
      <c r="A561" s="3" t="s">
        <v>58</v>
      </c>
      <c r="B561" s="139" t="s">
        <v>200</v>
      </c>
      <c r="C561" s="139"/>
      <c r="G561" s="129"/>
      <c r="J561" s="4"/>
      <c r="K561" s="4"/>
      <c r="M561" s="4"/>
      <c r="N561" s="4"/>
      <c r="O561" s="126"/>
      <c r="P561" s="126"/>
    </row>
    <row r="562" spans="1:18" ht="28.5" customHeight="1" thickBot="1" thickTop="1">
      <c r="A562" s="775" t="s">
        <v>25</v>
      </c>
      <c r="B562" s="777" t="s">
        <v>59</v>
      </c>
      <c r="C562" s="777"/>
      <c r="D562" s="778"/>
      <c r="E562" s="777"/>
      <c r="F562" s="777" t="s">
        <v>60</v>
      </c>
      <c r="G562" s="777"/>
      <c r="H562" s="777"/>
      <c r="I562" s="777" t="s">
        <v>61</v>
      </c>
      <c r="J562" s="777"/>
      <c r="K562" s="777"/>
      <c r="L562" s="777"/>
      <c r="M562" s="777"/>
      <c r="N562" s="777"/>
      <c r="O562" s="777"/>
      <c r="P562" s="777"/>
      <c r="Q562" s="777"/>
      <c r="R562" s="779"/>
    </row>
    <row r="563" spans="1:18" ht="15.75" thickBot="1">
      <c r="A563" s="776"/>
      <c r="B563" s="780" t="s">
        <v>63</v>
      </c>
      <c r="C563" s="771" t="s">
        <v>62</v>
      </c>
      <c r="D563" s="149" t="s">
        <v>64</v>
      </c>
      <c r="E563" s="781" t="s">
        <v>65</v>
      </c>
      <c r="F563" s="771" t="s">
        <v>66</v>
      </c>
      <c r="G563" s="138" t="s">
        <v>64</v>
      </c>
      <c r="H563" s="771" t="s">
        <v>65</v>
      </c>
      <c r="I563" s="771" t="s">
        <v>67</v>
      </c>
      <c r="J563" s="771"/>
      <c r="K563" s="771"/>
      <c r="L563" s="771" t="s">
        <v>68</v>
      </c>
      <c r="M563" s="771"/>
      <c r="N563" s="771"/>
      <c r="O563" s="771"/>
      <c r="P563" s="771" t="s">
        <v>25</v>
      </c>
      <c r="Q563" s="771"/>
      <c r="R563" s="772"/>
    </row>
    <row r="564" spans="1:21" ht="15.75" thickBot="1">
      <c r="A564" s="776"/>
      <c r="B564" s="780"/>
      <c r="C564" s="771"/>
      <c r="D564" s="150" t="s">
        <v>69</v>
      </c>
      <c r="E564" s="781"/>
      <c r="F564" s="771"/>
      <c r="G564" s="138" t="s">
        <v>69</v>
      </c>
      <c r="H564" s="771"/>
      <c r="I564" s="133" t="s">
        <v>70</v>
      </c>
      <c r="J564" s="133" t="s">
        <v>100</v>
      </c>
      <c r="K564" s="133" t="s">
        <v>96</v>
      </c>
      <c r="L564" s="133" t="s">
        <v>70</v>
      </c>
      <c r="M564" s="133" t="s">
        <v>100</v>
      </c>
      <c r="N564" s="133" t="s">
        <v>96</v>
      </c>
      <c r="O564" s="133" t="s">
        <v>93</v>
      </c>
      <c r="P564" s="133" t="s">
        <v>70</v>
      </c>
      <c r="Q564" s="133" t="s">
        <v>100</v>
      </c>
      <c r="R564" s="140" t="s">
        <v>96</v>
      </c>
      <c r="U564" s="134"/>
    </row>
    <row r="565" spans="1:21" ht="19.5" customHeight="1" thickBot="1">
      <c r="A565" s="773" t="s">
        <v>457</v>
      </c>
      <c r="B565" s="769" t="s">
        <v>126</v>
      </c>
      <c r="C565" s="769" t="s">
        <v>122</v>
      </c>
      <c r="D565" s="774">
        <v>18</v>
      </c>
      <c r="E565" s="769">
        <v>7</v>
      </c>
      <c r="F565" s="588" t="s">
        <v>205</v>
      </c>
      <c r="G565" s="137">
        <v>7</v>
      </c>
      <c r="H565" s="144">
        <v>3</v>
      </c>
      <c r="I565" s="145">
        <f>INDEX('دورة1 دورة2'!B10:BJ43,MATCH("x",'دورة1 دورة2'!B10:B43,0),9)</f>
        <v>0</v>
      </c>
      <c r="J565" s="146">
        <f>IF(I565&lt;30,0,7)</f>
        <v>0</v>
      </c>
      <c r="K565" s="199" t="str">
        <f>INDEX('دورة1 دورة2'!B10:BJ43,MATCH("x",'دورة1 دورة2'!B10:B43,0),11)</f>
        <v>د1</v>
      </c>
      <c r="L565" s="770">
        <f>(I565+I566+I567)/7</f>
        <v>0</v>
      </c>
      <c r="M565" s="763">
        <f>IF(L565&lt;10,J565+J566+J567,18)</f>
        <v>0</v>
      </c>
      <c r="N565" s="763" t="str">
        <f>INDEX('دورة1 دورة2'!B10:BJ43,MATCH("x",'دورة1 دورة2'!B10:B43,0),20)</f>
        <v>د1</v>
      </c>
      <c r="O565" s="763">
        <f>LOOKUP("r",'دورة1 دورة2'!B:B,'دورة1 دورة2'!AG:AG)</f>
        <v>2018</v>
      </c>
      <c r="P565" s="765">
        <f>(I565+I566+I567+I568+I569+I570+I571)/14</f>
        <v>0</v>
      </c>
      <c r="Q565" s="766">
        <f>IF(P565&lt;10,M565+M568+M570+M571,30)</f>
        <v>0</v>
      </c>
      <c r="R565" s="767" t="str">
        <f>INDEX('دورة1 دورة2'!B10:BJ43,MATCH("x",'دورة1 دورة2'!B10:B43,0),51)</f>
        <v>د1</v>
      </c>
      <c r="S565" s="764"/>
      <c r="U565" s="134"/>
    </row>
    <row r="566" spans="1:19" ht="19.5" customHeight="1" thickBot="1">
      <c r="A566" s="773"/>
      <c r="B566" s="769"/>
      <c r="C566" s="769"/>
      <c r="D566" s="769"/>
      <c r="E566" s="769"/>
      <c r="F566" s="589" t="s">
        <v>206</v>
      </c>
      <c r="G566" s="137">
        <v>6</v>
      </c>
      <c r="H566" s="144">
        <v>2</v>
      </c>
      <c r="I566" s="145">
        <f>INDEX('دورة1 دورة2'!B10:BJ43,MATCH("x",'دورة1 دورة2'!B10:B43,0),12)</f>
        <v>0</v>
      </c>
      <c r="J566" s="146">
        <f>IF(I566&lt;20,0,6)</f>
        <v>0</v>
      </c>
      <c r="K566" s="199" t="str">
        <f>INDEX('دورة1 دورة2'!B10:BJ43,MATCH("x",'دورة1 دورة2'!B10:B43,0),14)</f>
        <v>د1</v>
      </c>
      <c r="L566" s="770"/>
      <c r="M566" s="763"/>
      <c r="N566" s="763"/>
      <c r="O566" s="763"/>
      <c r="P566" s="765"/>
      <c r="Q566" s="766"/>
      <c r="R566" s="767"/>
      <c r="S566" s="764"/>
    </row>
    <row r="567" spans="1:19" ht="19.5" customHeight="1" thickBot="1">
      <c r="A567" s="773"/>
      <c r="B567" s="769"/>
      <c r="C567" s="769"/>
      <c r="D567" s="769"/>
      <c r="E567" s="769"/>
      <c r="F567" s="589" t="s">
        <v>207</v>
      </c>
      <c r="G567" s="137">
        <v>5</v>
      </c>
      <c r="H567" s="144">
        <v>2</v>
      </c>
      <c r="I567" s="145">
        <f>INDEX('دورة1 دورة2'!B10:BJ43,MATCH("x",'دورة1 دورة2'!B10:B43,0),15)</f>
        <v>0</v>
      </c>
      <c r="J567" s="146">
        <f>IF(I567&lt;20,0,5)</f>
        <v>0</v>
      </c>
      <c r="K567" s="199" t="str">
        <f>INDEX('دورة1 دورة2'!B10:BJ43,MATCH("x",'دورة1 دورة2'!B10:B43,0),17)</f>
        <v>د1</v>
      </c>
      <c r="L567" s="770"/>
      <c r="M567" s="763"/>
      <c r="N567" s="763"/>
      <c r="O567" s="763"/>
      <c r="P567" s="765"/>
      <c r="Q567" s="766"/>
      <c r="R567" s="767"/>
      <c r="S567" s="764"/>
    </row>
    <row r="568" spans="1:19" ht="19.5" customHeight="1" thickBot="1">
      <c r="A568" s="773"/>
      <c r="B568" s="769" t="s">
        <v>127</v>
      </c>
      <c r="C568" s="769" t="s">
        <v>123</v>
      </c>
      <c r="D568" s="769">
        <v>9</v>
      </c>
      <c r="E568" s="769">
        <v>4</v>
      </c>
      <c r="F568" s="590" t="s">
        <v>208</v>
      </c>
      <c r="G568" s="137">
        <v>5</v>
      </c>
      <c r="H568" s="144">
        <v>2</v>
      </c>
      <c r="I568" s="145">
        <f>INDEX('دورة1 دورة2'!B10:BJ43,MATCH("x",'دورة1 دورة2'!B10:B43,0),23)</f>
        <v>0</v>
      </c>
      <c r="J568" s="146">
        <f>IF(I568&lt;20,0,5)</f>
        <v>0</v>
      </c>
      <c r="K568" s="199" t="str">
        <f>INDEX('دورة1 دورة2'!B10:BJ43,MATCH("x",'دورة1 دورة2'!B10:B43,0),25)</f>
        <v>د1</v>
      </c>
      <c r="L568" s="770">
        <f>(I569+I568)/4</f>
        <v>0</v>
      </c>
      <c r="M568" s="763">
        <f>IF(L568&lt;10,J569+J568,9)</f>
        <v>0</v>
      </c>
      <c r="N568" s="763" t="str">
        <f>INDEX('دورة1 دورة2'!B10:BJ43,MATCH("x",'دورة1 دورة2'!B10:B43,0),31)</f>
        <v>د1</v>
      </c>
      <c r="O568" s="763">
        <f>LOOKUP("r",'دورة1 دورة2'!B:B,'دورة1 دورة2'!AN:AN)</f>
        <v>2018</v>
      </c>
      <c r="P568" s="765"/>
      <c r="Q568" s="766"/>
      <c r="R568" s="767"/>
      <c r="S568" s="764"/>
    </row>
    <row r="569" spans="1:19" ht="19.5" customHeight="1" thickBot="1">
      <c r="A569" s="773"/>
      <c r="B569" s="769"/>
      <c r="C569" s="769"/>
      <c r="D569" s="769"/>
      <c r="E569" s="769"/>
      <c r="F569" s="589" t="s">
        <v>209</v>
      </c>
      <c r="G569" s="137">
        <v>4</v>
      </c>
      <c r="H569" s="144">
        <v>2</v>
      </c>
      <c r="I569" s="145">
        <f>INDEX('دورة1 دورة2'!B10:BJ43,MATCH("x",'دورة1 دورة2'!B10:B43,0),26)</f>
        <v>0</v>
      </c>
      <c r="J569" s="146">
        <f>IF(I569&lt;20,0,4)</f>
        <v>0</v>
      </c>
      <c r="K569" s="199" t="str">
        <f>INDEX('دورة1 دورة2'!B10:BJ43,MATCH("x",'دورة1 دورة2'!B10:B43,0),28)</f>
        <v>د1</v>
      </c>
      <c r="L569" s="770"/>
      <c r="M569" s="763"/>
      <c r="N569" s="763"/>
      <c r="O569" s="763"/>
      <c r="P569" s="765"/>
      <c r="Q569" s="766"/>
      <c r="R569" s="767"/>
      <c r="S569" s="764"/>
    </row>
    <row r="570" spans="1:19" ht="19.5" customHeight="1" thickBot="1">
      <c r="A570" s="773"/>
      <c r="B570" s="137" t="s">
        <v>128</v>
      </c>
      <c r="C570" s="137" t="s">
        <v>124</v>
      </c>
      <c r="D570" s="137">
        <v>2</v>
      </c>
      <c r="E570" s="137">
        <v>2</v>
      </c>
      <c r="F570" s="589" t="s">
        <v>211</v>
      </c>
      <c r="G570" s="137">
        <v>2</v>
      </c>
      <c r="H570" s="144">
        <v>2</v>
      </c>
      <c r="I570" s="145">
        <f>INDEX('دورة1 دورة2'!B10:BJ43,MATCH("x",'دورة1 دورة2'!B10:B43,0),34)</f>
        <v>0</v>
      </c>
      <c r="J570" s="146">
        <f>IF(I570&lt;20,0,2)</f>
        <v>0</v>
      </c>
      <c r="K570" s="199" t="str">
        <f>INDEX('دورة1 دورة2'!B10:BJ43,MATCH("x",'دورة1 دورة2'!B10:B43,0),36)</f>
        <v>د1</v>
      </c>
      <c r="L570" s="147">
        <f>I570/2</f>
        <v>0</v>
      </c>
      <c r="M570" s="148">
        <f>J570</f>
        <v>0</v>
      </c>
      <c r="N570" s="199" t="str">
        <f>INDEX('دورة1 دورة2'!B10:BJ43,MATCH("x",'دورة1 دورة2'!B10:B43,0),36)</f>
        <v>د1</v>
      </c>
      <c r="O570" s="146">
        <f>LOOKUP("r",'دورة1 دورة2'!B:B,'دورة1 دورة2'!AU:AU)</f>
        <v>2018</v>
      </c>
      <c r="P570" s="765"/>
      <c r="Q570" s="766"/>
      <c r="R570" s="767"/>
      <c r="S570" s="131"/>
    </row>
    <row r="571" spans="1:19" ht="19.5" customHeight="1" thickBot="1">
      <c r="A571" s="773"/>
      <c r="B571" s="137" t="s">
        <v>129</v>
      </c>
      <c r="C571" s="137" t="s">
        <v>125</v>
      </c>
      <c r="D571" s="137">
        <v>1</v>
      </c>
      <c r="E571" s="137">
        <v>1</v>
      </c>
      <c r="F571" s="591" t="s">
        <v>191</v>
      </c>
      <c r="G571" s="137">
        <v>1</v>
      </c>
      <c r="H571" s="144">
        <v>1</v>
      </c>
      <c r="I571" s="145">
        <f>INDEX('دورة1 دورة2'!B10:BJ43,MATCH("x",'دورة1 دورة2'!B10:B43,0),41)</f>
        <v>0</v>
      </c>
      <c r="J571" s="146">
        <f>IF(I571&lt;10,0,1)</f>
        <v>0</v>
      </c>
      <c r="K571" s="199" t="str">
        <f>INDEX('دورة1 دورة2'!B10:BJ43,MATCH("x",'دورة1 دورة2'!B10:B43,0),43)</f>
        <v>د1</v>
      </c>
      <c r="L571" s="147">
        <f>I571</f>
        <v>0</v>
      </c>
      <c r="M571" s="148">
        <f>J571</f>
        <v>0</v>
      </c>
      <c r="N571" s="199" t="str">
        <f>INDEX('دورة1 دورة2'!B10:BJ43,MATCH("x",'دورة1 دورة2'!B10:B43,0),43)</f>
        <v>د1</v>
      </c>
      <c r="O571" s="146">
        <f>LOOKUP("r",'دورة1 دورة2'!B:B,'دورة1 دورة2'!AU:AU)</f>
        <v>2018</v>
      </c>
      <c r="P571" s="765"/>
      <c r="Q571" s="766"/>
      <c r="R571" s="768"/>
      <c r="S571" s="131"/>
    </row>
    <row r="572" spans="1:19" ht="82.5" customHeight="1" thickBot="1">
      <c r="A572" s="342" t="s">
        <v>458</v>
      </c>
      <c r="B572" s="137" t="s">
        <v>126</v>
      </c>
      <c r="C572" s="137" t="s">
        <v>122</v>
      </c>
      <c r="D572" s="137">
        <v>18</v>
      </c>
      <c r="E572" s="137">
        <v>7</v>
      </c>
      <c r="F572" s="592" t="s">
        <v>213</v>
      </c>
      <c r="G572" s="137">
        <v>7</v>
      </c>
      <c r="H572" s="144">
        <v>2</v>
      </c>
      <c r="I572" s="145">
        <f>INDEX('دورة1 دورة2'!B10:BJ43,MATCH("x",'دورة1 دورة2'!B10:B43,0),54)</f>
        <v>0</v>
      </c>
      <c r="J572" s="146">
        <f>IF(I572&lt;300,0,30)</f>
        <v>0</v>
      </c>
      <c r="K572" s="199" t="str">
        <f>INDEX('دورة1 دورة2'!B10:BJ43,MATCH("x",'دورة1 دورة2'!B10:B43,0),56)</f>
        <v>د1</v>
      </c>
      <c r="L572" s="147">
        <f>(I572)/30</f>
        <v>0</v>
      </c>
      <c r="M572" s="148">
        <f>IF(L572&lt;10,J572,30)</f>
        <v>0</v>
      </c>
      <c r="N572" s="148" t="str">
        <f>INDEX('دورة1 دورة2'!B10:BJ43,MATCH("x",'دورة1 دورة2'!B10:B43,0),56)</f>
        <v>د1</v>
      </c>
      <c r="O572" s="148" t="e">
        <f>LOOKUP("r",'دورة1 دورة2'!B:B,'دورة1 دورة2'!#REF!)</f>
        <v>#REF!</v>
      </c>
      <c r="P572" s="341">
        <f>(I572)/30</f>
        <v>0</v>
      </c>
      <c r="Q572" s="146">
        <f>IF(P572&lt;10,M572,30)</f>
        <v>0</v>
      </c>
      <c r="R572" s="343" t="str">
        <f>INDEX('دورة1 دورة2'!B10:BJ43,MATCH("x",'دورة1 دورة2'!B10:B43,0),60)</f>
        <v>د1</v>
      </c>
      <c r="S572" s="131"/>
    </row>
    <row r="573" spans="1:18" ht="17.25" customHeight="1" thickBot="1">
      <c r="A573" s="62" t="s">
        <v>150</v>
      </c>
      <c r="B573" s="135">
        <f>(P565+P572)/2</f>
        <v>0</v>
      </c>
      <c r="C573" s="759" t="s">
        <v>461</v>
      </c>
      <c r="D573" s="760"/>
      <c r="E573" s="760"/>
      <c r="F573" s="761"/>
      <c r="G573" s="136">
        <f>Q565+Q572</f>
        <v>0</v>
      </c>
      <c r="H573" s="6"/>
      <c r="I573" s="6"/>
      <c r="J573" s="134" t="s">
        <v>72</v>
      </c>
      <c r="K573" s="6"/>
      <c r="L573" s="6"/>
      <c r="M573" s="6"/>
      <c r="N573" s="6"/>
      <c r="O573" s="6"/>
      <c r="P573" s="583">
        <v>120</v>
      </c>
      <c r="Q573" s="130"/>
      <c r="R573" s="130"/>
    </row>
    <row r="574" spans="1:18" ht="16.5" customHeight="1" thickBot="1">
      <c r="A574" s="62" t="s">
        <v>121</v>
      </c>
      <c r="B574" s="75" t="str">
        <f>IF(B573&lt;10,"راسب(ة)","ناجح(ة)")</f>
        <v>راسب(ة)</v>
      </c>
      <c r="G574" s="129"/>
      <c r="I574" s="80"/>
      <c r="J574" s="134" t="s">
        <v>73</v>
      </c>
      <c r="K574" s="6"/>
      <c r="L574" s="6"/>
      <c r="M574" s="6"/>
      <c r="N574" s="6"/>
      <c r="O574" s="6"/>
      <c r="P574" s="133">
        <v>120</v>
      </c>
      <c r="Q574" s="5"/>
      <c r="R574" s="5"/>
    </row>
    <row r="575" spans="1:7" ht="16.5" customHeight="1">
      <c r="A575" s="62" t="s">
        <v>120</v>
      </c>
      <c r="B575" s="77">
        <f ca="1">TODAY()</f>
        <v>43188</v>
      </c>
      <c r="G575" s="129"/>
    </row>
    <row r="576" spans="1:14" ht="16.5" customHeight="1">
      <c r="A576" s="62" t="s">
        <v>74</v>
      </c>
      <c r="B576" s="8"/>
      <c r="L576" s="762" t="s">
        <v>29</v>
      </c>
      <c r="M576" s="762"/>
      <c r="N576" s="75"/>
    </row>
    <row r="577" spans="1:17" ht="20.25">
      <c r="A577" s="187" t="s">
        <v>45</v>
      </c>
      <c r="B577" s="188"/>
      <c r="C577" s="188"/>
      <c r="D577" s="188"/>
      <c r="E577" s="188"/>
      <c r="F577" s="188"/>
      <c r="G577" s="188"/>
      <c r="H577" s="189"/>
      <c r="I577" s="189"/>
      <c r="J577" s="189"/>
      <c r="K577" s="189"/>
      <c r="L577" s="189"/>
      <c r="M577" s="78" t="s">
        <v>46</v>
      </c>
      <c r="N577" s="189"/>
      <c r="O577" s="78"/>
      <c r="P577" s="189"/>
      <c r="Q577" s="189"/>
    </row>
    <row r="578" spans="6:10" ht="15" customHeight="1">
      <c r="F578" s="191" t="s">
        <v>47</v>
      </c>
      <c r="G578" s="10" t="s">
        <v>19</v>
      </c>
      <c r="H578" s="10"/>
      <c r="I578" s="10"/>
      <c r="J578" s="10"/>
    </row>
    <row r="579" spans="6:10" ht="15" customHeight="1">
      <c r="F579" s="191" t="s">
        <v>48</v>
      </c>
      <c r="G579" s="10" t="s">
        <v>49</v>
      </c>
      <c r="H579" s="10"/>
      <c r="I579" s="10"/>
      <c r="J579" s="10"/>
    </row>
    <row r="580" spans="6:10" ht="15" customHeight="1">
      <c r="F580" s="191" t="s">
        <v>50</v>
      </c>
      <c r="G580" s="10" t="s">
        <v>51</v>
      </c>
      <c r="H580" s="10"/>
      <c r="I580" s="10"/>
      <c r="J580" s="10"/>
    </row>
    <row r="581" spans="4:11" ht="21" customHeight="1">
      <c r="D581" s="782" t="s">
        <v>99</v>
      </c>
      <c r="E581" s="782"/>
      <c r="F581" s="782"/>
      <c r="G581" s="782"/>
      <c r="H581" s="782"/>
      <c r="I581" s="782"/>
      <c r="J581" s="782"/>
      <c r="K581" s="782"/>
    </row>
    <row r="582" spans="1:18" ht="18">
      <c r="A582" s="2" t="s">
        <v>148</v>
      </c>
      <c r="B582" s="196" t="str">
        <f>B6</f>
        <v>2017/2018</v>
      </c>
      <c r="C582" s="62"/>
      <c r="E582" s="61"/>
      <c r="F582" s="62"/>
      <c r="G582" s="157"/>
      <c r="H582" s="62"/>
      <c r="I582" s="61"/>
      <c r="J582" s="61"/>
      <c r="K582" s="61"/>
      <c r="L582" s="151"/>
      <c r="M582" s="151"/>
      <c r="N582" s="151"/>
      <c r="O582" s="151"/>
      <c r="P582" s="61"/>
      <c r="Q582" s="61"/>
      <c r="R582" s="61"/>
    </row>
    <row r="583" spans="1:18" ht="15.75" customHeight="1">
      <c r="A583" s="62" t="s">
        <v>147</v>
      </c>
      <c r="B583" s="190" t="str">
        <f>INDEX('دورة1 دورة2'!B10:BJ43,MATCH("y",'دورة1 دورة2'!B10:B43,0),3)</f>
        <v> </v>
      </c>
      <c r="C583" s="158" t="s">
        <v>146</v>
      </c>
      <c r="D583" s="186" t="str">
        <f>INDEX('دورة1 دورة2'!B10:BJ43,MATCH("y",'دورة1 دورة2'!B10:B43,0),4)</f>
        <v> </v>
      </c>
      <c r="E583" s="62"/>
      <c r="F583" s="158" t="s">
        <v>52</v>
      </c>
      <c r="G583" s="783">
        <f>INDEX('دورة1 دورة2'!B10:BJ43,MATCH("y",'دورة1 دورة2'!B10:B43,0),6)</f>
        <v>0</v>
      </c>
      <c r="H583" s="783"/>
      <c r="I583" s="783"/>
      <c r="J583" s="61"/>
      <c r="K583" s="132" t="s">
        <v>53</v>
      </c>
      <c r="L583" s="784">
        <f>INDEX('دورة1 دورة2'!B10:BJ43,MATCH("y",'دورة1 دورة2'!B10:B43,0),7)</f>
        <v>0</v>
      </c>
      <c r="M583" s="784"/>
      <c r="O583" s="186"/>
      <c r="P583" s="8" t="s">
        <v>54</v>
      </c>
      <c r="Q583" s="784">
        <f>INDEX('دورة1 دورة2'!B10:BJ43,MATCH("y",'دورة1 دورة2'!B10:B43,0),8)</f>
        <v>0</v>
      </c>
      <c r="R583" s="784"/>
    </row>
    <row r="584" spans="1:18" ht="15" customHeight="1">
      <c r="A584" s="2" t="s">
        <v>149</v>
      </c>
      <c r="B584" s="190">
        <f>INDEX('دورة1 دورة2'!B10:BJ43,MATCH("y",'دورة1 دورة2'!B10:B43,0),5)</f>
        <v>0</v>
      </c>
      <c r="C584" s="166"/>
      <c r="D584" s="9" t="s">
        <v>55</v>
      </c>
      <c r="E584" s="11" t="s">
        <v>56</v>
      </c>
      <c r="F584" s="11"/>
      <c r="G584" s="156"/>
      <c r="H584" s="11"/>
      <c r="I584" s="9"/>
      <c r="J584" s="9" t="s">
        <v>57</v>
      </c>
      <c r="K584" s="9"/>
      <c r="L584" s="11"/>
      <c r="N584" s="4" t="s">
        <v>98</v>
      </c>
      <c r="O584" s="2" t="s">
        <v>98</v>
      </c>
      <c r="P584" s="10" t="s">
        <v>97</v>
      </c>
      <c r="R584" s="61"/>
    </row>
    <row r="585" spans="1:16" ht="15.75" thickBot="1">
      <c r="A585" s="3" t="s">
        <v>58</v>
      </c>
      <c r="B585" s="139" t="s">
        <v>200</v>
      </c>
      <c r="C585" s="139"/>
      <c r="G585" s="129"/>
      <c r="J585" s="4"/>
      <c r="K585" s="4"/>
      <c r="M585" s="4"/>
      <c r="N585" s="4"/>
      <c r="O585" s="126"/>
      <c r="P585" s="126"/>
    </row>
    <row r="586" spans="1:18" ht="30" customHeight="1" thickBot="1" thickTop="1">
      <c r="A586" s="775" t="s">
        <v>25</v>
      </c>
      <c r="B586" s="777" t="s">
        <v>59</v>
      </c>
      <c r="C586" s="777"/>
      <c r="D586" s="778"/>
      <c r="E586" s="777"/>
      <c r="F586" s="777" t="s">
        <v>60</v>
      </c>
      <c r="G586" s="777"/>
      <c r="H586" s="777"/>
      <c r="I586" s="777" t="s">
        <v>61</v>
      </c>
      <c r="J586" s="777"/>
      <c r="K586" s="777"/>
      <c r="L586" s="777"/>
      <c r="M586" s="777"/>
      <c r="N586" s="777"/>
      <c r="O586" s="777"/>
      <c r="P586" s="777"/>
      <c r="Q586" s="777"/>
      <c r="R586" s="779"/>
    </row>
    <row r="587" spans="1:18" ht="15.75" thickBot="1">
      <c r="A587" s="776"/>
      <c r="B587" s="780" t="s">
        <v>63</v>
      </c>
      <c r="C587" s="771" t="s">
        <v>62</v>
      </c>
      <c r="D587" s="149" t="s">
        <v>64</v>
      </c>
      <c r="E587" s="781" t="s">
        <v>65</v>
      </c>
      <c r="F587" s="771" t="s">
        <v>66</v>
      </c>
      <c r="G587" s="138" t="s">
        <v>64</v>
      </c>
      <c r="H587" s="771" t="s">
        <v>65</v>
      </c>
      <c r="I587" s="771" t="s">
        <v>67</v>
      </c>
      <c r="J587" s="771"/>
      <c r="K587" s="771"/>
      <c r="L587" s="771" t="s">
        <v>68</v>
      </c>
      <c r="M587" s="771"/>
      <c r="N587" s="771"/>
      <c r="O587" s="771"/>
      <c r="P587" s="771" t="s">
        <v>25</v>
      </c>
      <c r="Q587" s="771"/>
      <c r="R587" s="772"/>
    </row>
    <row r="588" spans="1:21" ht="15.75" thickBot="1">
      <c r="A588" s="776"/>
      <c r="B588" s="780"/>
      <c r="C588" s="771"/>
      <c r="D588" s="150" t="s">
        <v>69</v>
      </c>
      <c r="E588" s="781"/>
      <c r="F588" s="771"/>
      <c r="G588" s="138" t="s">
        <v>69</v>
      </c>
      <c r="H588" s="771"/>
      <c r="I588" s="133" t="s">
        <v>70</v>
      </c>
      <c r="J588" s="133" t="s">
        <v>100</v>
      </c>
      <c r="K588" s="133" t="s">
        <v>96</v>
      </c>
      <c r="L588" s="133" t="s">
        <v>70</v>
      </c>
      <c r="M588" s="133" t="s">
        <v>100</v>
      </c>
      <c r="N588" s="133" t="s">
        <v>96</v>
      </c>
      <c r="O588" s="133" t="s">
        <v>93</v>
      </c>
      <c r="P588" s="133" t="s">
        <v>70</v>
      </c>
      <c r="Q588" s="133" t="s">
        <v>100</v>
      </c>
      <c r="R588" s="140" t="s">
        <v>96</v>
      </c>
      <c r="U588" s="134"/>
    </row>
    <row r="589" spans="1:21" ht="18.75" customHeight="1" thickBot="1">
      <c r="A589" s="773" t="s">
        <v>457</v>
      </c>
      <c r="B589" s="769" t="s">
        <v>126</v>
      </c>
      <c r="C589" s="769" t="s">
        <v>122</v>
      </c>
      <c r="D589" s="774">
        <v>18</v>
      </c>
      <c r="E589" s="769">
        <v>7</v>
      </c>
      <c r="F589" s="588" t="s">
        <v>205</v>
      </c>
      <c r="G589" s="137">
        <v>7</v>
      </c>
      <c r="H589" s="144">
        <v>3</v>
      </c>
      <c r="I589" s="145">
        <f>INDEX('دورة1 دورة2'!B10:BJ43,MATCH("y",'دورة1 دورة2'!B10:B43,0),9)</f>
        <v>0</v>
      </c>
      <c r="J589" s="146">
        <f>IF(I589&lt;30,0,7)</f>
        <v>0</v>
      </c>
      <c r="K589" s="199" t="str">
        <f>INDEX('دورة1 دورة2'!B10:BJ43,MATCH("y",'دورة1 دورة2'!B10:B43,0),11)</f>
        <v>د1</v>
      </c>
      <c r="L589" s="770">
        <f>(I589+I590+I591)/7</f>
        <v>0</v>
      </c>
      <c r="M589" s="763">
        <f>IF(L589&lt;10,J589+J590+J591,18)</f>
        <v>0</v>
      </c>
      <c r="N589" s="763" t="str">
        <f>INDEX('دورة1 دورة2'!B10:BJ43,MATCH("y",'دورة1 دورة2'!B10:B43,0),20)</f>
        <v>د1</v>
      </c>
      <c r="O589" s="763">
        <f>LOOKUP("r",'دورة1 دورة2'!B:B,'دورة1 دورة2'!AG:AG)</f>
        <v>2018</v>
      </c>
      <c r="P589" s="765">
        <f>(I589+I590+I591+I592+I593+I594+I595)/14</f>
        <v>0</v>
      </c>
      <c r="Q589" s="766">
        <f>IF(P589&lt;10,M589+M592+M594+M595,30)</f>
        <v>0</v>
      </c>
      <c r="R589" s="767" t="str">
        <f>INDEX('دورة1 دورة2'!B10:BJ43,MATCH("y",'دورة1 دورة2'!B10:B43,0),51)</f>
        <v>د1</v>
      </c>
      <c r="S589" s="764"/>
      <c r="U589" s="134"/>
    </row>
    <row r="590" spans="1:19" ht="18.75" customHeight="1" thickBot="1">
      <c r="A590" s="773"/>
      <c r="B590" s="769"/>
      <c r="C590" s="769"/>
      <c r="D590" s="769"/>
      <c r="E590" s="769"/>
      <c r="F590" s="589" t="s">
        <v>206</v>
      </c>
      <c r="G590" s="137">
        <v>6</v>
      </c>
      <c r="H590" s="144">
        <v>2</v>
      </c>
      <c r="I590" s="145">
        <f>INDEX('دورة1 دورة2'!B10:BJ43,MATCH("y",'دورة1 دورة2'!B10:B43,0),12)</f>
        <v>0</v>
      </c>
      <c r="J590" s="146">
        <f>IF(I590&lt;20,0,6)</f>
        <v>0</v>
      </c>
      <c r="K590" s="199" t="str">
        <f>INDEX('دورة1 دورة2'!B10:BJ43,MATCH("y",'دورة1 دورة2'!B10:B43,0),14)</f>
        <v>د1</v>
      </c>
      <c r="L590" s="770"/>
      <c r="M590" s="763"/>
      <c r="N590" s="763"/>
      <c r="O590" s="763"/>
      <c r="P590" s="765"/>
      <c r="Q590" s="766"/>
      <c r="R590" s="767"/>
      <c r="S590" s="764"/>
    </row>
    <row r="591" spans="1:19" ht="18.75" customHeight="1" thickBot="1">
      <c r="A591" s="773"/>
      <c r="B591" s="769"/>
      <c r="C591" s="769"/>
      <c r="D591" s="769"/>
      <c r="E591" s="769"/>
      <c r="F591" s="589" t="s">
        <v>207</v>
      </c>
      <c r="G591" s="137">
        <v>5</v>
      </c>
      <c r="H591" s="144">
        <v>2</v>
      </c>
      <c r="I591" s="145">
        <f>INDEX('دورة1 دورة2'!B10:BJ43,MATCH("y",'دورة1 دورة2'!B10:B43,0),15)</f>
        <v>0</v>
      </c>
      <c r="J591" s="146">
        <f>IF(I591&lt;20,0,5)</f>
        <v>0</v>
      </c>
      <c r="K591" s="199" t="str">
        <f>INDEX('دورة1 دورة2'!B10:BJ43,MATCH("y",'دورة1 دورة2'!B10:B43,0),17)</f>
        <v>د1</v>
      </c>
      <c r="L591" s="770"/>
      <c r="M591" s="763"/>
      <c r="N591" s="763"/>
      <c r="O591" s="763"/>
      <c r="P591" s="765"/>
      <c r="Q591" s="766"/>
      <c r="R591" s="767"/>
      <c r="S591" s="764"/>
    </row>
    <row r="592" spans="1:19" ht="18.75" customHeight="1" thickBot="1">
      <c r="A592" s="773"/>
      <c r="B592" s="769" t="s">
        <v>127</v>
      </c>
      <c r="C592" s="769" t="s">
        <v>123</v>
      </c>
      <c r="D592" s="769">
        <v>9</v>
      </c>
      <c r="E592" s="769">
        <v>4</v>
      </c>
      <c r="F592" s="590" t="s">
        <v>208</v>
      </c>
      <c r="G592" s="137">
        <v>5</v>
      </c>
      <c r="H592" s="144">
        <v>2</v>
      </c>
      <c r="I592" s="145">
        <f>INDEX('دورة1 دورة2'!B10:BJ43,MATCH("y",'دورة1 دورة2'!B10:B43,0),23)</f>
        <v>0</v>
      </c>
      <c r="J592" s="146">
        <f>IF(I592&lt;20,0,5)</f>
        <v>0</v>
      </c>
      <c r="K592" s="199" t="str">
        <f>INDEX('دورة1 دورة2'!B10:BJ43,MATCH("y",'دورة1 دورة2'!B10:B43,0),25)</f>
        <v>د1</v>
      </c>
      <c r="L592" s="770">
        <f>(I593+I592)/4</f>
        <v>0</v>
      </c>
      <c r="M592" s="763">
        <f>IF(L592&lt;10,J593+J592,9)</f>
        <v>0</v>
      </c>
      <c r="N592" s="763" t="str">
        <f>INDEX('دورة1 دورة2'!B10:BJ43,MATCH("y",'دورة1 دورة2'!B10:B43,0),31)</f>
        <v>د1</v>
      </c>
      <c r="O592" s="763">
        <f>LOOKUP("r",'دورة1 دورة2'!B:B,'دورة1 دورة2'!AN:AN)</f>
        <v>2018</v>
      </c>
      <c r="P592" s="765"/>
      <c r="Q592" s="766"/>
      <c r="R592" s="767"/>
      <c r="S592" s="764"/>
    </row>
    <row r="593" spans="1:19" ht="18.75" customHeight="1" thickBot="1">
      <c r="A593" s="773"/>
      <c r="B593" s="769"/>
      <c r="C593" s="769"/>
      <c r="D593" s="769"/>
      <c r="E593" s="769"/>
      <c r="F593" s="589" t="s">
        <v>209</v>
      </c>
      <c r="G593" s="137">
        <v>4</v>
      </c>
      <c r="H593" s="144">
        <v>2</v>
      </c>
      <c r="I593" s="145">
        <f>INDEX('دورة1 دورة2'!B10:BJ43,MATCH("y",'دورة1 دورة2'!B10:B43,0),26)</f>
        <v>0</v>
      </c>
      <c r="J593" s="146">
        <f>IF(I593&lt;20,0,4)</f>
        <v>0</v>
      </c>
      <c r="K593" s="199" t="str">
        <f>INDEX('دورة1 دورة2'!B10:BJ43,MATCH("y",'دورة1 دورة2'!B10:B43,0),28)</f>
        <v>د1</v>
      </c>
      <c r="L593" s="770"/>
      <c r="M593" s="763"/>
      <c r="N593" s="763"/>
      <c r="O593" s="763"/>
      <c r="P593" s="765"/>
      <c r="Q593" s="766"/>
      <c r="R593" s="767"/>
      <c r="S593" s="764"/>
    </row>
    <row r="594" spans="1:19" ht="18.75" customHeight="1" thickBot="1">
      <c r="A594" s="773"/>
      <c r="B594" s="137" t="s">
        <v>128</v>
      </c>
      <c r="C594" s="137" t="s">
        <v>124</v>
      </c>
      <c r="D594" s="137">
        <v>2</v>
      </c>
      <c r="E594" s="137">
        <v>2</v>
      </c>
      <c r="F594" s="589" t="s">
        <v>211</v>
      </c>
      <c r="G594" s="137">
        <v>2</v>
      </c>
      <c r="H594" s="144">
        <v>2</v>
      </c>
      <c r="I594" s="145">
        <f>INDEX('دورة1 دورة2'!B10:BJ43,MATCH("y",'دورة1 دورة2'!B10:B43,0),34)</f>
        <v>0</v>
      </c>
      <c r="J594" s="146">
        <f>IF(I594&lt;20,0,2)</f>
        <v>0</v>
      </c>
      <c r="K594" s="199" t="str">
        <f>INDEX('دورة1 دورة2'!B10:BJ43,MATCH("y",'دورة1 دورة2'!B10:B43,0),36)</f>
        <v>د1</v>
      </c>
      <c r="L594" s="147">
        <f>I594/2</f>
        <v>0</v>
      </c>
      <c r="M594" s="148">
        <f>J594</f>
        <v>0</v>
      </c>
      <c r="N594" s="199" t="str">
        <f>INDEX('دورة1 دورة2'!B10:BJ43,MATCH("y",'دورة1 دورة2'!B10:B43,0),36)</f>
        <v>د1</v>
      </c>
      <c r="O594" s="146">
        <f>LOOKUP("r",'دورة1 دورة2'!B:B,'دورة1 دورة2'!AU:AU)</f>
        <v>2018</v>
      </c>
      <c r="P594" s="765"/>
      <c r="Q594" s="766"/>
      <c r="R594" s="767"/>
      <c r="S594" s="131"/>
    </row>
    <row r="595" spans="1:19" ht="18.75" customHeight="1" thickBot="1">
      <c r="A595" s="773"/>
      <c r="B595" s="137" t="s">
        <v>129</v>
      </c>
      <c r="C595" s="137" t="s">
        <v>125</v>
      </c>
      <c r="D595" s="137">
        <v>1</v>
      </c>
      <c r="E595" s="137">
        <v>1</v>
      </c>
      <c r="F595" s="591" t="s">
        <v>191</v>
      </c>
      <c r="G595" s="137">
        <v>1</v>
      </c>
      <c r="H595" s="144">
        <v>1</v>
      </c>
      <c r="I595" s="145">
        <f>INDEX('دورة1 دورة2'!B10:BJ43,MATCH("y",'دورة1 دورة2'!B10:B43,0),41)</f>
        <v>0</v>
      </c>
      <c r="J595" s="146">
        <f>IF(I595&lt;10,0,1)</f>
        <v>0</v>
      </c>
      <c r="K595" s="199" t="str">
        <f>INDEX('دورة1 دورة2'!B10:BJ43,MATCH("y",'دورة1 دورة2'!B10:B43,0),43)</f>
        <v>د1</v>
      </c>
      <c r="L595" s="147">
        <f>I595</f>
        <v>0</v>
      </c>
      <c r="M595" s="148">
        <f>J595</f>
        <v>0</v>
      </c>
      <c r="N595" s="199" t="str">
        <f>INDEX('دورة1 دورة2'!B10:BJ43,MATCH("y",'دورة1 دورة2'!B10:B43,0),43)</f>
        <v>د1</v>
      </c>
      <c r="O595" s="146">
        <f>LOOKUP("r",'دورة1 دورة2'!B:B,'دورة1 دورة2'!AU:AU)</f>
        <v>2018</v>
      </c>
      <c r="P595" s="765"/>
      <c r="Q595" s="766"/>
      <c r="R595" s="768"/>
      <c r="S595" s="131"/>
    </row>
    <row r="596" spans="1:19" ht="81.75" customHeight="1" thickBot="1">
      <c r="A596" s="342" t="s">
        <v>458</v>
      </c>
      <c r="B596" s="137" t="s">
        <v>126</v>
      </c>
      <c r="C596" s="137" t="s">
        <v>122</v>
      </c>
      <c r="D596" s="137">
        <v>18</v>
      </c>
      <c r="E596" s="137">
        <v>7</v>
      </c>
      <c r="F596" s="592" t="s">
        <v>213</v>
      </c>
      <c r="G596" s="137">
        <v>7</v>
      </c>
      <c r="H596" s="144">
        <v>2</v>
      </c>
      <c r="I596" s="145">
        <f>INDEX('دورة1 دورة2'!B10:BJ43,MATCH("y",'دورة1 دورة2'!B10:B43,0),54)</f>
        <v>0</v>
      </c>
      <c r="J596" s="146">
        <f>IF(I596&lt;300,0,30)</f>
        <v>0</v>
      </c>
      <c r="K596" s="199" t="str">
        <f>INDEX('دورة1 دورة2'!B10:BJ43,MATCH("y",'دورة1 دورة2'!B10:B43,0),56)</f>
        <v>د1</v>
      </c>
      <c r="L596" s="147">
        <f>(I596)/30</f>
        <v>0</v>
      </c>
      <c r="M596" s="148">
        <f>IF(L596&lt;10,J596,30)</f>
        <v>0</v>
      </c>
      <c r="N596" s="148" t="str">
        <f>INDEX('دورة1 دورة2'!B10:BJ43,MATCH("y",'دورة1 دورة2'!B10:B43,0),56)</f>
        <v>د1</v>
      </c>
      <c r="O596" s="148" t="e">
        <f>LOOKUP("r",'دورة1 دورة2'!B:B,'دورة1 دورة2'!#REF!)</f>
        <v>#REF!</v>
      </c>
      <c r="P596" s="341">
        <f>(I596)/30</f>
        <v>0</v>
      </c>
      <c r="Q596" s="146">
        <f>IF(P596&lt;10,M596,30)</f>
        <v>0</v>
      </c>
      <c r="R596" s="343" t="str">
        <f>INDEX('دورة1 دورة2'!B10:BJ43,MATCH("y",'دورة1 دورة2'!B10:B43,0),60)</f>
        <v>د1</v>
      </c>
      <c r="S596" s="131"/>
    </row>
    <row r="597" spans="1:18" ht="17.25" customHeight="1" thickBot="1">
      <c r="A597" s="62" t="s">
        <v>150</v>
      </c>
      <c r="B597" s="135">
        <f>(P589+P596)/2</f>
        <v>0</v>
      </c>
      <c r="C597" s="759" t="s">
        <v>461</v>
      </c>
      <c r="D597" s="760"/>
      <c r="E597" s="760"/>
      <c r="F597" s="761"/>
      <c r="G597" s="136">
        <f>Q589+Q596</f>
        <v>0</v>
      </c>
      <c r="H597" s="6"/>
      <c r="I597" s="6"/>
      <c r="J597" s="134" t="s">
        <v>72</v>
      </c>
      <c r="K597" s="6"/>
      <c r="L597" s="6"/>
      <c r="M597" s="6"/>
      <c r="N597" s="6"/>
      <c r="O597" s="6"/>
      <c r="P597" s="583">
        <v>120</v>
      </c>
      <c r="Q597" s="130"/>
      <c r="R597" s="130"/>
    </row>
    <row r="598" spans="1:18" ht="16.5" customHeight="1" thickBot="1">
      <c r="A598" s="62" t="s">
        <v>121</v>
      </c>
      <c r="B598" s="75" t="str">
        <f>IF(B597&lt;10,"راسب(ة)","ناجح(ة)")</f>
        <v>راسب(ة)</v>
      </c>
      <c r="G598" s="129"/>
      <c r="I598" s="80"/>
      <c r="J598" s="134" t="s">
        <v>73</v>
      </c>
      <c r="K598" s="6"/>
      <c r="L598" s="6"/>
      <c r="M598" s="6"/>
      <c r="N598" s="6"/>
      <c r="O598" s="6"/>
      <c r="P598" s="133">
        <v>120</v>
      </c>
      <c r="Q598" s="5"/>
      <c r="R598" s="5"/>
    </row>
    <row r="599" spans="1:7" ht="16.5" customHeight="1">
      <c r="A599" s="62" t="s">
        <v>120</v>
      </c>
      <c r="B599" s="77">
        <f ca="1">TODAY()</f>
        <v>43188</v>
      </c>
      <c r="G599" s="129"/>
    </row>
    <row r="600" spans="1:14" ht="16.5" customHeight="1">
      <c r="A600" s="62" t="s">
        <v>74</v>
      </c>
      <c r="B600" s="8" t="s">
        <v>119</v>
      </c>
      <c r="L600" s="762" t="s">
        <v>29</v>
      </c>
      <c r="M600" s="762"/>
      <c r="N600" s="75"/>
    </row>
    <row r="601" spans="1:17" ht="20.25">
      <c r="A601" s="187" t="s">
        <v>45</v>
      </c>
      <c r="B601" s="188"/>
      <c r="C601" s="188"/>
      <c r="D601" s="188"/>
      <c r="E601" s="188"/>
      <c r="F601" s="188"/>
      <c r="G601" s="188"/>
      <c r="H601" s="189"/>
      <c r="I601" s="189"/>
      <c r="J601" s="189"/>
      <c r="K601" s="189"/>
      <c r="L601" s="189"/>
      <c r="M601" s="78" t="s">
        <v>46</v>
      </c>
      <c r="N601" s="189"/>
      <c r="O601" s="78"/>
      <c r="P601" s="189"/>
      <c r="Q601" s="189"/>
    </row>
    <row r="602" spans="6:10" ht="15" customHeight="1">
      <c r="F602" s="191" t="s">
        <v>47</v>
      </c>
      <c r="G602" s="10" t="s">
        <v>19</v>
      </c>
      <c r="H602" s="10"/>
      <c r="I602" s="10"/>
      <c r="J602" s="10"/>
    </row>
    <row r="603" spans="6:10" ht="15" customHeight="1">
      <c r="F603" s="191" t="s">
        <v>48</v>
      </c>
      <c r="G603" s="10" t="s">
        <v>49</v>
      </c>
      <c r="H603" s="10"/>
      <c r="I603" s="10"/>
      <c r="J603" s="10"/>
    </row>
    <row r="604" spans="6:10" ht="15" customHeight="1">
      <c r="F604" s="191" t="s">
        <v>50</v>
      </c>
      <c r="G604" s="10" t="s">
        <v>51</v>
      </c>
      <c r="H604" s="10"/>
      <c r="I604" s="10"/>
      <c r="J604" s="10"/>
    </row>
    <row r="605" spans="4:11" ht="21" customHeight="1">
      <c r="D605" s="782" t="s">
        <v>99</v>
      </c>
      <c r="E605" s="782"/>
      <c r="F605" s="782"/>
      <c r="G605" s="782"/>
      <c r="H605" s="782"/>
      <c r="I605" s="782"/>
      <c r="J605" s="782"/>
      <c r="K605" s="782"/>
    </row>
    <row r="606" spans="1:18" ht="18">
      <c r="A606" s="2" t="s">
        <v>148</v>
      </c>
      <c r="B606" s="196" t="str">
        <f>B6</f>
        <v>2017/2018</v>
      </c>
      <c r="C606" s="62"/>
      <c r="E606" s="61"/>
      <c r="F606" s="62"/>
      <c r="G606" s="157"/>
      <c r="H606" s="62"/>
      <c r="I606" s="61"/>
      <c r="J606" s="61"/>
      <c r="K606" s="61"/>
      <c r="L606" s="151"/>
      <c r="M606" s="151"/>
      <c r="N606" s="151"/>
      <c r="O606" s="151"/>
      <c r="P606" s="61"/>
      <c r="Q606" s="61"/>
      <c r="R606" s="61"/>
    </row>
    <row r="607" spans="1:18" ht="15.75" customHeight="1">
      <c r="A607" s="62" t="s">
        <v>147</v>
      </c>
      <c r="B607" s="190" t="str">
        <f>INDEX('دورة1 دورة2'!B10:BJ43,MATCH("z",'دورة1 دورة2'!B10:B43,0),3)</f>
        <v> </v>
      </c>
      <c r="C607" s="158" t="s">
        <v>146</v>
      </c>
      <c r="D607" s="186" t="str">
        <f>INDEX('دورة1 دورة2'!B10:BJ43,MATCH("z",'دورة1 دورة2'!B10:B43,0),4)</f>
        <v> </v>
      </c>
      <c r="E607" s="62"/>
      <c r="F607" s="158" t="s">
        <v>52</v>
      </c>
      <c r="G607" s="783">
        <f>INDEX('دورة1 دورة2'!B10:BJ43,MATCH("z",'دورة1 دورة2'!B10:B43,0),6)</f>
        <v>0</v>
      </c>
      <c r="H607" s="783"/>
      <c r="I607" s="783"/>
      <c r="J607" s="61"/>
      <c r="K607" s="132" t="s">
        <v>53</v>
      </c>
      <c r="L607" s="784">
        <f>INDEX('دورة1 دورة2'!B10:BJ43,MATCH("z",'دورة1 دورة2'!B10:B43,0),7)</f>
        <v>0</v>
      </c>
      <c r="M607" s="784"/>
      <c r="O607" s="186"/>
      <c r="P607" s="8" t="s">
        <v>54</v>
      </c>
      <c r="Q607" s="784">
        <f>INDEX('دورة1 دورة2'!B10:BJ43,MATCH("z",'دورة1 دورة2'!B10:B43,0),8)</f>
        <v>0</v>
      </c>
      <c r="R607" s="784"/>
    </row>
    <row r="608" spans="1:18" ht="15" customHeight="1">
      <c r="A608" s="2" t="s">
        <v>149</v>
      </c>
      <c r="B608" s="190">
        <f>INDEX('دورة1 دورة2'!B10:BJ43,MATCH("z",'دورة1 دورة2'!B10:B43,0),5)</f>
        <v>0</v>
      </c>
      <c r="C608" s="166"/>
      <c r="D608" s="9" t="s">
        <v>55</v>
      </c>
      <c r="E608" s="11" t="s">
        <v>56</v>
      </c>
      <c r="F608" s="11"/>
      <c r="G608" s="156"/>
      <c r="H608" s="11"/>
      <c r="I608" s="9"/>
      <c r="J608" s="9" t="s">
        <v>57</v>
      </c>
      <c r="K608" s="9"/>
      <c r="L608" s="11"/>
      <c r="N608" s="4" t="s">
        <v>98</v>
      </c>
      <c r="O608" s="2" t="s">
        <v>98</v>
      </c>
      <c r="P608" s="10" t="s">
        <v>97</v>
      </c>
      <c r="R608" s="61"/>
    </row>
    <row r="609" spans="1:16" ht="15.75" thickBot="1">
      <c r="A609" s="3" t="s">
        <v>58</v>
      </c>
      <c r="B609" s="139" t="s">
        <v>200</v>
      </c>
      <c r="C609" s="139"/>
      <c r="G609" s="129"/>
      <c r="J609" s="4"/>
      <c r="K609" s="4"/>
      <c r="M609" s="4"/>
      <c r="N609" s="4"/>
      <c r="O609" s="126"/>
      <c r="P609" s="126"/>
    </row>
    <row r="610" spans="1:18" ht="30" customHeight="1" thickBot="1" thickTop="1">
      <c r="A610" s="775" t="s">
        <v>25</v>
      </c>
      <c r="B610" s="777" t="s">
        <v>59</v>
      </c>
      <c r="C610" s="777"/>
      <c r="D610" s="778"/>
      <c r="E610" s="777"/>
      <c r="F610" s="777" t="s">
        <v>60</v>
      </c>
      <c r="G610" s="777"/>
      <c r="H610" s="777"/>
      <c r="I610" s="777" t="s">
        <v>61</v>
      </c>
      <c r="J610" s="777"/>
      <c r="K610" s="777"/>
      <c r="L610" s="777"/>
      <c r="M610" s="777"/>
      <c r="N610" s="777"/>
      <c r="O610" s="777"/>
      <c r="P610" s="777"/>
      <c r="Q610" s="777"/>
      <c r="R610" s="779"/>
    </row>
    <row r="611" spans="1:18" ht="15.75" thickBot="1">
      <c r="A611" s="776"/>
      <c r="B611" s="780" t="s">
        <v>63</v>
      </c>
      <c r="C611" s="771" t="s">
        <v>62</v>
      </c>
      <c r="D611" s="149" t="s">
        <v>64</v>
      </c>
      <c r="E611" s="781" t="s">
        <v>65</v>
      </c>
      <c r="F611" s="771" t="s">
        <v>66</v>
      </c>
      <c r="G611" s="138" t="s">
        <v>64</v>
      </c>
      <c r="H611" s="771" t="s">
        <v>65</v>
      </c>
      <c r="I611" s="771" t="s">
        <v>67</v>
      </c>
      <c r="J611" s="771"/>
      <c r="K611" s="771"/>
      <c r="L611" s="771" t="s">
        <v>68</v>
      </c>
      <c r="M611" s="771"/>
      <c r="N611" s="771"/>
      <c r="O611" s="771"/>
      <c r="P611" s="771" t="s">
        <v>25</v>
      </c>
      <c r="Q611" s="771"/>
      <c r="R611" s="772"/>
    </row>
    <row r="612" spans="1:21" ht="15.75" thickBot="1">
      <c r="A612" s="776"/>
      <c r="B612" s="780"/>
      <c r="C612" s="771"/>
      <c r="D612" s="150" t="s">
        <v>69</v>
      </c>
      <c r="E612" s="781"/>
      <c r="F612" s="771"/>
      <c r="G612" s="138" t="s">
        <v>69</v>
      </c>
      <c r="H612" s="771"/>
      <c r="I612" s="133" t="s">
        <v>70</v>
      </c>
      <c r="J612" s="133" t="s">
        <v>100</v>
      </c>
      <c r="K612" s="133" t="s">
        <v>96</v>
      </c>
      <c r="L612" s="133" t="s">
        <v>70</v>
      </c>
      <c r="M612" s="133" t="s">
        <v>100</v>
      </c>
      <c r="N612" s="133" t="s">
        <v>96</v>
      </c>
      <c r="O612" s="133" t="s">
        <v>93</v>
      </c>
      <c r="P612" s="133" t="s">
        <v>70</v>
      </c>
      <c r="Q612" s="133" t="s">
        <v>100</v>
      </c>
      <c r="R612" s="140" t="s">
        <v>96</v>
      </c>
      <c r="U612" s="134"/>
    </row>
    <row r="613" spans="1:21" ht="18" customHeight="1" thickBot="1">
      <c r="A613" s="773" t="s">
        <v>457</v>
      </c>
      <c r="B613" s="769" t="s">
        <v>126</v>
      </c>
      <c r="C613" s="769" t="s">
        <v>122</v>
      </c>
      <c r="D613" s="774">
        <v>18</v>
      </c>
      <c r="E613" s="769">
        <v>7</v>
      </c>
      <c r="F613" s="588" t="s">
        <v>205</v>
      </c>
      <c r="G613" s="137">
        <v>7</v>
      </c>
      <c r="H613" s="144">
        <v>3</v>
      </c>
      <c r="I613" s="145">
        <f>INDEX('دورة1 دورة2'!B10:BJ43,MATCH("z",'دورة1 دورة2'!B10:B43,0),9)</f>
        <v>0</v>
      </c>
      <c r="J613" s="146">
        <f>IF(I613&lt;30,0,7)</f>
        <v>0</v>
      </c>
      <c r="K613" s="199" t="str">
        <f>INDEX('دورة1 دورة2'!B10:BJ43,MATCH("z",'دورة1 دورة2'!B10:B43,0),11)</f>
        <v>د1</v>
      </c>
      <c r="L613" s="770">
        <f>(I613+I614+I615)/7</f>
        <v>0</v>
      </c>
      <c r="M613" s="763">
        <f>IF(L613&lt;10,J613+J614+J615,18)</f>
        <v>0</v>
      </c>
      <c r="N613" s="763" t="str">
        <f>INDEX('دورة1 دورة2'!B10:BJ43,MATCH("z",'دورة1 دورة2'!B10:B43,0),20)</f>
        <v>د1</v>
      </c>
      <c r="O613" s="763">
        <f>LOOKUP("r",'دورة1 دورة2'!B:B,'دورة1 دورة2'!AG:AG)</f>
        <v>2018</v>
      </c>
      <c r="P613" s="765">
        <f>(I613+I614+I615+I616+I617+I618+I619)/14</f>
        <v>0</v>
      </c>
      <c r="Q613" s="766">
        <f>IF(P613&lt;10,M613+M616+M618+M619,30)</f>
        <v>0</v>
      </c>
      <c r="R613" s="767" t="str">
        <f>INDEX('دورة1 دورة2'!B10:BJ43,MATCH("z",'دورة1 دورة2'!B10:B43,0),51)</f>
        <v>د1</v>
      </c>
      <c r="S613" s="764"/>
      <c r="U613" s="134"/>
    </row>
    <row r="614" spans="1:19" ht="18" customHeight="1" thickBot="1">
      <c r="A614" s="773"/>
      <c r="B614" s="769"/>
      <c r="C614" s="769"/>
      <c r="D614" s="769"/>
      <c r="E614" s="769"/>
      <c r="F614" s="589" t="s">
        <v>206</v>
      </c>
      <c r="G614" s="137">
        <v>6</v>
      </c>
      <c r="H614" s="144">
        <v>2</v>
      </c>
      <c r="I614" s="145">
        <f>INDEX('دورة1 دورة2'!B10:BJ43,MATCH("z",'دورة1 دورة2'!B10:B43,0),12)</f>
        <v>0</v>
      </c>
      <c r="J614" s="146">
        <f>IF(I614&lt;20,0,6)</f>
        <v>0</v>
      </c>
      <c r="K614" s="199" t="str">
        <f>INDEX('دورة1 دورة2'!B10:BJ43,MATCH("z",'دورة1 دورة2'!B10:B43,0),14)</f>
        <v>د1</v>
      </c>
      <c r="L614" s="770"/>
      <c r="M614" s="763"/>
      <c r="N614" s="763"/>
      <c r="O614" s="763"/>
      <c r="P614" s="765"/>
      <c r="Q614" s="766"/>
      <c r="R614" s="767"/>
      <c r="S614" s="764"/>
    </row>
    <row r="615" spans="1:19" ht="18" customHeight="1" thickBot="1">
      <c r="A615" s="773"/>
      <c r="B615" s="769"/>
      <c r="C615" s="769"/>
      <c r="D615" s="769"/>
      <c r="E615" s="769"/>
      <c r="F615" s="589" t="s">
        <v>207</v>
      </c>
      <c r="G615" s="137">
        <v>5</v>
      </c>
      <c r="H615" s="144">
        <v>2</v>
      </c>
      <c r="I615" s="145">
        <f>INDEX('دورة1 دورة2'!B10:BJ43,MATCH("z",'دورة1 دورة2'!B10:B43,0),15)</f>
        <v>0</v>
      </c>
      <c r="J615" s="146">
        <f>IF(I615&lt;20,0,5)</f>
        <v>0</v>
      </c>
      <c r="K615" s="199" t="str">
        <f>INDEX('دورة1 دورة2'!B10:BJ43,MATCH("z",'دورة1 دورة2'!B10:B43,0),17)</f>
        <v>د1</v>
      </c>
      <c r="L615" s="770"/>
      <c r="M615" s="763"/>
      <c r="N615" s="763"/>
      <c r="O615" s="763"/>
      <c r="P615" s="765"/>
      <c r="Q615" s="766"/>
      <c r="R615" s="767"/>
      <c r="S615" s="764"/>
    </row>
    <row r="616" spans="1:19" ht="18" customHeight="1" thickBot="1">
      <c r="A616" s="773"/>
      <c r="B616" s="769" t="s">
        <v>127</v>
      </c>
      <c r="C616" s="769" t="s">
        <v>123</v>
      </c>
      <c r="D616" s="769">
        <v>9</v>
      </c>
      <c r="E616" s="769">
        <v>4</v>
      </c>
      <c r="F616" s="590" t="s">
        <v>208</v>
      </c>
      <c r="G616" s="137">
        <v>5</v>
      </c>
      <c r="H616" s="144">
        <v>2</v>
      </c>
      <c r="I616" s="145">
        <f>INDEX('دورة1 دورة2'!B10:BJ43,MATCH("z",'دورة1 دورة2'!B10:B43,0),23)</f>
        <v>0</v>
      </c>
      <c r="J616" s="146">
        <f>IF(I616&lt;20,0,5)</f>
        <v>0</v>
      </c>
      <c r="K616" s="199" t="str">
        <f>INDEX('دورة1 دورة2'!B10:BJ43,MATCH("z",'دورة1 دورة2'!B10:B43,0),25)</f>
        <v>د1</v>
      </c>
      <c r="L616" s="770">
        <f>(I617+I616)/4</f>
        <v>0</v>
      </c>
      <c r="M616" s="763">
        <f>IF(L616&lt;10,J617+J616,9)</f>
        <v>0</v>
      </c>
      <c r="N616" s="763" t="str">
        <f>INDEX('دورة1 دورة2'!B10:BJ43,MATCH("z",'دورة1 دورة2'!B10:B43,0),31)</f>
        <v>د1</v>
      </c>
      <c r="O616" s="763">
        <f>LOOKUP("r",'دورة1 دورة2'!B:B,'دورة1 دورة2'!AN:AN)</f>
        <v>2018</v>
      </c>
      <c r="P616" s="765"/>
      <c r="Q616" s="766"/>
      <c r="R616" s="767"/>
      <c r="S616" s="764"/>
    </row>
    <row r="617" spans="1:19" ht="18" customHeight="1" thickBot="1">
      <c r="A617" s="773"/>
      <c r="B617" s="769"/>
      <c r="C617" s="769"/>
      <c r="D617" s="769"/>
      <c r="E617" s="769"/>
      <c r="F617" s="589" t="s">
        <v>209</v>
      </c>
      <c r="G617" s="137">
        <v>4</v>
      </c>
      <c r="H617" s="144">
        <v>2</v>
      </c>
      <c r="I617" s="145">
        <f>INDEX('دورة1 دورة2'!B10:BJ43,MATCH("z",'دورة1 دورة2'!B10:B43,0),26)</f>
        <v>0</v>
      </c>
      <c r="J617" s="146">
        <f>IF(I617&lt;20,0,4)</f>
        <v>0</v>
      </c>
      <c r="K617" s="199" t="str">
        <f>INDEX('دورة1 دورة2'!B10:BJ43,MATCH("z",'دورة1 دورة2'!B10:B43,0),28)</f>
        <v>د1</v>
      </c>
      <c r="L617" s="770"/>
      <c r="M617" s="763"/>
      <c r="N617" s="763"/>
      <c r="O617" s="763"/>
      <c r="P617" s="765"/>
      <c r="Q617" s="766"/>
      <c r="R617" s="767"/>
      <c r="S617" s="764"/>
    </row>
    <row r="618" spans="1:19" ht="18" customHeight="1" thickBot="1">
      <c r="A618" s="773"/>
      <c r="B618" s="137" t="s">
        <v>128</v>
      </c>
      <c r="C618" s="137" t="s">
        <v>124</v>
      </c>
      <c r="D618" s="137">
        <v>2</v>
      </c>
      <c r="E618" s="137">
        <v>2</v>
      </c>
      <c r="F618" s="589" t="s">
        <v>211</v>
      </c>
      <c r="G618" s="137">
        <v>2</v>
      </c>
      <c r="H618" s="144">
        <v>2</v>
      </c>
      <c r="I618" s="145">
        <f>INDEX('دورة1 دورة2'!B10:BJ43,MATCH("z",'دورة1 دورة2'!B10:B43,0),34)</f>
        <v>0</v>
      </c>
      <c r="J618" s="146">
        <f>IF(I618&lt;20,0,2)</f>
        <v>0</v>
      </c>
      <c r="K618" s="199" t="str">
        <f>INDEX('دورة1 دورة2'!B10:BJ43,MATCH("z",'دورة1 دورة2'!B10:B43,0),36)</f>
        <v>د1</v>
      </c>
      <c r="L618" s="147">
        <f>I618/2</f>
        <v>0</v>
      </c>
      <c r="M618" s="148">
        <f>J618</f>
        <v>0</v>
      </c>
      <c r="N618" s="199" t="str">
        <f>INDEX('دورة1 دورة2'!B10:BJ43,MATCH("z",'دورة1 دورة2'!B10:B43,0),36)</f>
        <v>د1</v>
      </c>
      <c r="O618" s="146">
        <f>LOOKUP("r",'دورة1 دورة2'!B:B,'دورة1 دورة2'!AU:AU)</f>
        <v>2018</v>
      </c>
      <c r="P618" s="765"/>
      <c r="Q618" s="766"/>
      <c r="R618" s="767"/>
      <c r="S618" s="131"/>
    </row>
    <row r="619" spans="1:19" ht="18" customHeight="1" thickBot="1">
      <c r="A619" s="773"/>
      <c r="B619" s="137" t="s">
        <v>129</v>
      </c>
      <c r="C619" s="137" t="s">
        <v>125</v>
      </c>
      <c r="D619" s="137">
        <v>1</v>
      </c>
      <c r="E619" s="137">
        <v>1</v>
      </c>
      <c r="F619" s="591" t="s">
        <v>191</v>
      </c>
      <c r="G619" s="137">
        <v>1</v>
      </c>
      <c r="H619" s="144">
        <v>1</v>
      </c>
      <c r="I619" s="145">
        <f>INDEX('دورة1 دورة2'!B10:BJ43,MATCH("z",'دورة1 دورة2'!B10:B43,0),41)</f>
        <v>0</v>
      </c>
      <c r="J619" s="146">
        <f>IF(I619&lt;10,0,1)</f>
        <v>0</v>
      </c>
      <c r="K619" s="199" t="str">
        <f>INDEX('دورة1 دورة2'!B10:BJ43,MATCH("z",'دورة1 دورة2'!B10:B43,0),43)</f>
        <v>د1</v>
      </c>
      <c r="L619" s="147">
        <f>I619</f>
        <v>0</v>
      </c>
      <c r="M619" s="148">
        <f>J619</f>
        <v>0</v>
      </c>
      <c r="N619" s="199" t="str">
        <f>INDEX('دورة1 دورة2'!B10:BJ43,MATCH("z",'دورة1 دورة2'!B10:B43,0),43)</f>
        <v>د1</v>
      </c>
      <c r="O619" s="146">
        <f>LOOKUP("r",'دورة1 دورة2'!B:B,'دورة1 دورة2'!AU:AU)</f>
        <v>2018</v>
      </c>
      <c r="P619" s="765"/>
      <c r="Q619" s="766"/>
      <c r="R619" s="768"/>
      <c r="S619" s="131"/>
    </row>
    <row r="620" spans="1:19" ht="81.75" customHeight="1" thickBot="1">
      <c r="A620" s="342" t="s">
        <v>458</v>
      </c>
      <c r="B620" s="137" t="s">
        <v>126</v>
      </c>
      <c r="C620" s="137" t="s">
        <v>122</v>
      </c>
      <c r="D620" s="137">
        <v>18</v>
      </c>
      <c r="E620" s="137">
        <v>7</v>
      </c>
      <c r="F620" s="592" t="s">
        <v>213</v>
      </c>
      <c r="G620" s="137">
        <v>7</v>
      </c>
      <c r="H620" s="144">
        <v>2</v>
      </c>
      <c r="I620" s="145">
        <f>INDEX('دورة1 دورة2'!B10:BJ43,MATCH("z",'دورة1 دورة2'!B10:B43,0),54)</f>
        <v>0</v>
      </c>
      <c r="J620" s="146">
        <f>IF(I620&lt;300,0,30)</f>
        <v>0</v>
      </c>
      <c r="K620" s="199" t="str">
        <f>INDEX('دورة1 دورة2'!B10:BJ43,MATCH("z",'دورة1 دورة2'!B10:B43,0),56)</f>
        <v>د1</v>
      </c>
      <c r="L620" s="147">
        <f>(I620)/30</f>
        <v>0</v>
      </c>
      <c r="M620" s="148">
        <f>IF(L620&lt;10,J620,30)</f>
        <v>0</v>
      </c>
      <c r="N620" s="148" t="str">
        <f>INDEX('دورة1 دورة2'!B10:BJ43,MATCH("z",'دورة1 دورة2'!B10:B43,0),56)</f>
        <v>د1</v>
      </c>
      <c r="O620" s="148" t="e">
        <f>LOOKUP("r",'دورة1 دورة2'!B:B,'دورة1 دورة2'!#REF!)</f>
        <v>#REF!</v>
      </c>
      <c r="P620" s="341">
        <f>(I620)/30</f>
        <v>0</v>
      </c>
      <c r="Q620" s="146">
        <f>IF(P620&lt;10,M620,30)</f>
        <v>0</v>
      </c>
      <c r="R620" s="343" t="str">
        <f>INDEX('دورة1 دورة2'!B10:BJ43,MATCH("z",'دورة1 دورة2'!B10:B43,0),60)</f>
        <v>د1</v>
      </c>
      <c r="S620" s="131"/>
    </row>
    <row r="621" spans="1:18" ht="17.25" customHeight="1" thickBot="1">
      <c r="A621" s="62" t="s">
        <v>150</v>
      </c>
      <c r="B621" s="135">
        <f>(P613+P620)/2</f>
        <v>0</v>
      </c>
      <c r="C621" s="759" t="s">
        <v>461</v>
      </c>
      <c r="D621" s="760"/>
      <c r="E621" s="760"/>
      <c r="F621" s="761"/>
      <c r="G621" s="136">
        <f>Q613+Q620</f>
        <v>0</v>
      </c>
      <c r="H621" s="6"/>
      <c r="I621" s="6"/>
      <c r="J621" s="134" t="s">
        <v>72</v>
      </c>
      <c r="K621" s="6"/>
      <c r="L621" s="6"/>
      <c r="M621" s="6"/>
      <c r="N621" s="6"/>
      <c r="O621" s="6"/>
      <c r="P621" s="583">
        <v>120</v>
      </c>
      <c r="Q621" s="130"/>
      <c r="R621" s="130"/>
    </row>
    <row r="622" spans="1:18" ht="16.5" customHeight="1" thickBot="1">
      <c r="A622" s="62" t="s">
        <v>121</v>
      </c>
      <c r="B622" s="75" t="str">
        <f>IF(B621&lt;10,"راسب(ة)","ناجح(ة)")</f>
        <v>راسب(ة)</v>
      </c>
      <c r="G622" s="129"/>
      <c r="I622" s="80"/>
      <c r="J622" s="134" t="s">
        <v>73</v>
      </c>
      <c r="K622" s="6"/>
      <c r="L622" s="6"/>
      <c r="M622" s="6"/>
      <c r="N622" s="6"/>
      <c r="O622" s="6"/>
      <c r="P622" s="133">
        <v>120</v>
      </c>
      <c r="Q622" s="5"/>
      <c r="R622" s="5"/>
    </row>
    <row r="623" spans="1:7" ht="16.5" customHeight="1">
      <c r="A623" s="62" t="s">
        <v>120</v>
      </c>
      <c r="B623" s="77">
        <f ca="1">TODAY()</f>
        <v>43188</v>
      </c>
      <c r="G623" s="129"/>
    </row>
    <row r="624" spans="1:14" ht="16.5" customHeight="1">
      <c r="A624" s="62" t="s">
        <v>74</v>
      </c>
      <c r="B624" s="8" t="s">
        <v>119</v>
      </c>
      <c r="L624" s="762" t="s">
        <v>29</v>
      </c>
      <c r="M624" s="762"/>
      <c r="N624" s="75"/>
    </row>
    <row r="625" spans="1:17" ht="20.25">
      <c r="A625" s="187" t="s">
        <v>45</v>
      </c>
      <c r="B625" s="188"/>
      <c r="C625" s="188"/>
      <c r="D625" s="188"/>
      <c r="E625" s="188"/>
      <c r="F625" s="188"/>
      <c r="G625" s="188"/>
      <c r="H625" s="189"/>
      <c r="I625" s="189"/>
      <c r="J625" s="189"/>
      <c r="K625" s="189"/>
      <c r="L625" s="189"/>
      <c r="M625" s="78" t="s">
        <v>46</v>
      </c>
      <c r="N625" s="189"/>
      <c r="O625" s="78"/>
      <c r="P625" s="189"/>
      <c r="Q625" s="189"/>
    </row>
    <row r="626" spans="6:10" ht="15" customHeight="1">
      <c r="F626" s="191" t="s">
        <v>47</v>
      </c>
      <c r="G626" s="10" t="s">
        <v>19</v>
      </c>
      <c r="H626" s="10"/>
      <c r="I626" s="10"/>
      <c r="J626" s="10"/>
    </row>
    <row r="627" spans="6:10" ht="15" customHeight="1">
      <c r="F627" s="191" t="s">
        <v>48</v>
      </c>
      <c r="G627" s="10" t="s">
        <v>49</v>
      </c>
      <c r="H627" s="10"/>
      <c r="I627" s="10"/>
      <c r="J627" s="10"/>
    </row>
    <row r="628" spans="6:10" ht="15" customHeight="1">
      <c r="F628" s="191" t="s">
        <v>50</v>
      </c>
      <c r="G628" s="10" t="s">
        <v>51</v>
      </c>
      <c r="H628" s="10"/>
      <c r="I628" s="10"/>
      <c r="J628" s="10"/>
    </row>
    <row r="629" spans="4:11" ht="21" customHeight="1">
      <c r="D629" s="782" t="s">
        <v>99</v>
      </c>
      <c r="E629" s="782"/>
      <c r="F629" s="782"/>
      <c r="G629" s="782"/>
      <c r="H629" s="782"/>
      <c r="I629" s="782"/>
      <c r="J629" s="782"/>
      <c r="K629" s="782"/>
    </row>
    <row r="630" spans="1:18" ht="18">
      <c r="A630" s="2" t="s">
        <v>148</v>
      </c>
      <c r="B630" s="196" t="str">
        <f>B6</f>
        <v>2017/2018</v>
      </c>
      <c r="C630" s="62"/>
      <c r="E630" s="61"/>
      <c r="F630" s="62"/>
      <c r="G630" s="157"/>
      <c r="H630" s="62"/>
      <c r="I630" s="61"/>
      <c r="J630" s="61"/>
      <c r="K630" s="61"/>
      <c r="L630" s="151"/>
      <c r="M630" s="151"/>
      <c r="N630" s="151"/>
      <c r="O630" s="151"/>
      <c r="P630" s="61"/>
      <c r="Q630" s="61"/>
      <c r="R630" s="61"/>
    </row>
    <row r="631" spans="1:18" ht="15.75" customHeight="1">
      <c r="A631" s="62" t="s">
        <v>147</v>
      </c>
      <c r="B631" s="190" t="str">
        <f>INDEX('دورة1 دورة2'!B10:BJ43,MATCH("aa",'دورة1 دورة2'!B10:B43,0),3)</f>
        <v> </v>
      </c>
      <c r="C631" s="158" t="s">
        <v>146</v>
      </c>
      <c r="D631" s="186" t="str">
        <f>INDEX('دورة1 دورة2'!B10:BJ43,MATCH("aa",'دورة1 دورة2'!B10:B43,0),4)</f>
        <v> </v>
      </c>
      <c r="E631" s="62"/>
      <c r="F631" s="158" t="s">
        <v>52</v>
      </c>
      <c r="G631" s="783">
        <f>INDEX('دورة1 دورة2'!B10:BJ43,MATCH("aa",'دورة1 دورة2'!B10:B43,0),6)</f>
        <v>0</v>
      </c>
      <c r="H631" s="783"/>
      <c r="I631" s="783"/>
      <c r="J631" s="61"/>
      <c r="K631" s="132" t="s">
        <v>53</v>
      </c>
      <c r="L631" s="784">
        <f>INDEX('دورة1 دورة2'!B10:BJ43,MATCH("aa",'دورة1 دورة2'!B10:B43,0),7)</f>
        <v>0</v>
      </c>
      <c r="M631" s="784"/>
      <c r="O631" s="186"/>
      <c r="P631" s="8" t="s">
        <v>54</v>
      </c>
      <c r="Q631" s="784">
        <f>INDEX('دورة1 دورة2'!B10:BJ43,MATCH("aa",'دورة1 دورة2'!B10:B43,0),8)</f>
        <v>0</v>
      </c>
      <c r="R631" s="784"/>
    </row>
    <row r="632" spans="1:18" ht="15" customHeight="1">
      <c r="A632" s="2" t="s">
        <v>149</v>
      </c>
      <c r="B632" s="190">
        <f>INDEX('دورة1 دورة2'!B10:BJ43,MATCH("aa",'دورة1 دورة2'!B10:B43,0),5)</f>
        <v>0</v>
      </c>
      <c r="C632" s="166"/>
      <c r="D632" s="9" t="s">
        <v>55</v>
      </c>
      <c r="E632" s="11" t="s">
        <v>56</v>
      </c>
      <c r="F632" s="11"/>
      <c r="G632" s="156"/>
      <c r="H632" s="11"/>
      <c r="I632" s="9"/>
      <c r="J632" s="9" t="s">
        <v>57</v>
      </c>
      <c r="K632" s="9"/>
      <c r="L632" s="11"/>
      <c r="N632" s="4" t="s">
        <v>98</v>
      </c>
      <c r="O632" s="2" t="s">
        <v>98</v>
      </c>
      <c r="P632" s="10" t="s">
        <v>97</v>
      </c>
      <c r="R632" s="61"/>
    </row>
    <row r="633" spans="1:16" ht="15.75" thickBot="1">
      <c r="A633" s="3" t="s">
        <v>58</v>
      </c>
      <c r="B633" s="139" t="s">
        <v>200</v>
      </c>
      <c r="C633" s="139"/>
      <c r="G633" s="129"/>
      <c r="J633" s="4"/>
      <c r="K633" s="4"/>
      <c r="M633" s="4"/>
      <c r="N633" s="4"/>
      <c r="O633" s="126"/>
      <c r="P633" s="126"/>
    </row>
    <row r="634" spans="1:18" ht="26.25" customHeight="1" thickBot="1" thickTop="1">
      <c r="A634" s="775" t="s">
        <v>25</v>
      </c>
      <c r="B634" s="777" t="s">
        <v>59</v>
      </c>
      <c r="C634" s="777"/>
      <c r="D634" s="778"/>
      <c r="E634" s="777"/>
      <c r="F634" s="777" t="s">
        <v>60</v>
      </c>
      <c r="G634" s="777"/>
      <c r="H634" s="777"/>
      <c r="I634" s="777" t="s">
        <v>61</v>
      </c>
      <c r="J634" s="777"/>
      <c r="K634" s="777"/>
      <c r="L634" s="777"/>
      <c r="M634" s="777"/>
      <c r="N634" s="777"/>
      <c r="O634" s="777"/>
      <c r="P634" s="777"/>
      <c r="Q634" s="777"/>
      <c r="R634" s="779"/>
    </row>
    <row r="635" spans="1:18" ht="15.75" thickBot="1">
      <c r="A635" s="776"/>
      <c r="B635" s="780" t="s">
        <v>63</v>
      </c>
      <c r="C635" s="771" t="s">
        <v>62</v>
      </c>
      <c r="D635" s="149" t="s">
        <v>64</v>
      </c>
      <c r="E635" s="781" t="s">
        <v>65</v>
      </c>
      <c r="F635" s="771" t="s">
        <v>66</v>
      </c>
      <c r="G635" s="138" t="s">
        <v>64</v>
      </c>
      <c r="H635" s="771" t="s">
        <v>65</v>
      </c>
      <c r="I635" s="771" t="s">
        <v>67</v>
      </c>
      <c r="J635" s="771"/>
      <c r="K635" s="771"/>
      <c r="L635" s="771" t="s">
        <v>68</v>
      </c>
      <c r="M635" s="771"/>
      <c r="N635" s="771"/>
      <c r="O635" s="771"/>
      <c r="P635" s="771" t="s">
        <v>25</v>
      </c>
      <c r="Q635" s="771"/>
      <c r="R635" s="772"/>
    </row>
    <row r="636" spans="1:21" ht="15.75" thickBot="1">
      <c r="A636" s="776"/>
      <c r="B636" s="780"/>
      <c r="C636" s="771"/>
      <c r="D636" s="150" t="s">
        <v>69</v>
      </c>
      <c r="E636" s="781"/>
      <c r="F636" s="771"/>
      <c r="G636" s="138" t="s">
        <v>69</v>
      </c>
      <c r="H636" s="771"/>
      <c r="I636" s="133" t="s">
        <v>70</v>
      </c>
      <c r="J636" s="133" t="s">
        <v>100</v>
      </c>
      <c r="K636" s="133" t="s">
        <v>96</v>
      </c>
      <c r="L636" s="133" t="s">
        <v>70</v>
      </c>
      <c r="M636" s="133" t="s">
        <v>100</v>
      </c>
      <c r="N636" s="133" t="s">
        <v>96</v>
      </c>
      <c r="O636" s="133" t="s">
        <v>93</v>
      </c>
      <c r="P636" s="133" t="s">
        <v>70</v>
      </c>
      <c r="Q636" s="133" t="s">
        <v>100</v>
      </c>
      <c r="R636" s="140" t="s">
        <v>96</v>
      </c>
      <c r="U636" s="134"/>
    </row>
    <row r="637" spans="1:21" ht="18.75" customHeight="1" thickBot="1">
      <c r="A637" s="773" t="s">
        <v>457</v>
      </c>
      <c r="B637" s="769" t="s">
        <v>126</v>
      </c>
      <c r="C637" s="769" t="s">
        <v>122</v>
      </c>
      <c r="D637" s="774">
        <v>18</v>
      </c>
      <c r="E637" s="769">
        <v>7</v>
      </c>
      <c r="F637" s="588" t="s">
        <v>205</v>
      </c>
      <c r="G637" s="137">
        <v>7</v>
      </c>
      <c r="H637" s="144">
        <v>3</v>
      </c>
      <c r="I637" s="145">
        <f>INDEX('دورة1 دورة2'!B10:BJ43,MATCH("aa",'دورة1 دورة2'!B10:B43,0),9)</f>
        <v>0</v>
      </c>
      <c r="J637" s="146">
        <f>IF(I637&lt;30,0,7)</f>
        <v>0</v>
      </c>
      <c r="K637" s="199" t="str">
        <f>INDEX('دورة1 دورة2'!B10:BJ43,MATCH("aa",'دورة1 دورة2'!B10:B43,0),11)</f>
        <v>د1</v>
      </c>
      <c r="L637" s="770">
        <f>(I637+I638+I639)/7</f>
        <v>0</v>
      </c>
      <c r="M637" s="763">
        <f>IF(L637&lt;10,J637+J638+J639,18)</f>
        <v>0</v>
      </c>
      <c r="N637" s="763" t="str">
        <f>INDEX('دورة1 دورة2'!B10:BJ43,MATCH("aa",'دورة1 دورة2'!B10:B43,0),20)</f>
        <v>د1</v>
      </c>
      <c r="O637" s="763">
        <f>LOOKUP("r",'دورة1 دورة2'!B:B,'دورة1 دورة2'!AG:AG)</f>
        <v>2018</v>
      </c>
      <c r="P637" s="765">
        <f>(I637+I638+I639+I640+I641+I642+I643)/14</f>
        <v>0</v>
      </c>
      <c r="Q637" s="766">
        <f>IF(P637&lt;10,M637+M640+M642+M643,30)</f>
        <v>0</v>
      </c>
      <c r="R637" s="767" t="str">
        <f>INDEX('دورة1 دورة2'!B10:BJ43,MATCH("aa",'دورة1 دورة2'!B10:B43,0),51)</f>
        <v>د1</v>
      </c>
      <c r="S637" s="764"/>
      <c r="U637" s="134"/>
    </row>
    <row r="638" spans="1:19" ht="18.75" customHeight="1" thickBot="1">
      <c r="A638" s="773"/>
      <c r="B638" s="769"/>
      <c r="C638" s="769"/>
      <c r="D638" s="769"/>
      <c r="E638" s="769"/>
      <c r="F638" s="589" t="s">
        <v>206</v>
      </c>
      <c r="G638" s="137">
        <v>6</v>
      </c>
      <c r="H638" s="144">
        <v>2</v>
      </c>
      <c r="I638" s="145">
        <f>INDEX('دورة1 دورة2'!B10:BJ43,MATCH("aa",'دورة1 دورة2'!B10:B43,0),12)</f>
        <v>0</v>
      </c>
      <c r="J638" s="146">
        <f>IF(I638&lt;20,0,6)</f>
        <v>0</v>
      </c>
      <c r="K638" s="199" t="str">
        <f>INDEX('دورة1 دورة2'!B10:BJ43,MATCH("aa",'دورة1 دورة2'!B10:B43,0),14)</f>
        <v>د1</v>
      </c>
      <c r="L638" s="770"/>
      <c r="M638" s="763"/>
      <c r="N638" s="763"/>
      <c r="O638" s="763"/>
      <c r="P638" s="765"/>
      <c r="Q638" s="766"/>
      <c r="R638" s="767"/>
      <c r="S638" s="764"/>
    </row>
    <row r="639" spans="1:19" ht="18.75" customHeight="1" thickBot="1">
      <c r="A639" s="773"/>
      <c r="B639" s="769"/>
      <c r="C639" s="769"/>
      <c r="D639" s="769"/>
      <c r="E639" s="769"/>
      <c r="F639" s="589" t="s">
        <v>207</v>
      </c>
      <c r="G639" s="137">
        <v>5</v>
      </c>
      <c r="H639" s="144">
        <v>2</v>
      </c>
      <c r="I639" s="145">
        <f>INDEX('دورة1 دورة2'!B10:BJ43,MATCH("aa",'دورة1 دورة2'!B10:B43,0),15)</f>
        <v>0</v>
      </c>
      <c r="J639" s="146">
        <f>IF(I639&lt;20,0,5)</f>
        <v>0</v>
      </c>
      <c r="K639" s="199" t="str">
        <f>INDEX('دورة1 دورة2'!B10:BJ43,MATCH("aa",'دورة1 دورة2'!B10:B43,0),17)</f>
        <v>د1</v>
      </c>
      <c r="L639" s="770"/>
      <c r="M639" s="763"/>
      <c r="N639" s="763"/>
      <c r="O639" s="763"/>
      <c r="P639" s="765"/>
      <c r="Q639" s="766"/>
      <c r="R639" s="767"/>
      <c r="S639" s="764"/>
    </row>
    <row r="640" spans="1:19" ht="18.75" customHeight="1" thickBot="1">
      <c r="A640" s="773"/>
      <c r="B640" s="769" t="s">
        <v>127</v>
      </c>
      <c r="C640" s="769" t="s">
        <v>123</v>
      </c>
      <c r="D640" s="769">
        <v>9</v>
      </c>
      <c r="E640" s="769">
        <v>4</v>
      </c>
      <c r="F640" s="590" t="s">
        <v>208</v>
      </c>
      <c r="G640" s="137">
        <v>5</v>
      </c>
      <c r="H640" s="144">
        <v>2</v>
      </c>
      <c r="I640" s="145">
        <f>INDEX('دورة1 دورة2'!B10:BJ43,MATCH("aa",'دورة1 دورة2'!B10:B43,0),23)</f>
        <v>0</v>
      </c>
      <c r="J640" s="146">
        <f>IF(I640&lt;20,0,5)</f>
        <v>0</v>
      </c>
      <c r="K640" s="199" t="str">
        <f>INDEX('دورة1 دورة2'!B10:BJ43,MATCH("aa",'دورة1 دورة2'!B10:B43,0),25)</f>
        <v>د1</v>
      </c>
      <c r="L640" s="770">
        <f>(I641+I640)/4</f>
        <v>0</v>
      </c>
      <c r="M640" s="763">
        <f>IF(L640&lt;10,J641+J640,9)</f>
        <v>0</v>
      </c>
      <c r="N640" s="763" t="str">
        <f>INDEX('دورة1 دورة2'!B10:BJ43,MATCH("aa",'دورة1 دورة2'!B10:B43,0),31)</f>
        <v>د1</v>
      </c>
      <c r="O640" s="763">
        <f>LOOKUP("r",'دورة1 دورة2'!B:B,'دورة1 دورة2'!AN:AN)</f>
        <v>2018</v>
      </c>
      <c r="P640" s="765"/>
      <c r="Q640" s="766"/>
      <c r="R640" s="767"/>
      <c r="S640" s="764"/>
    </row>
    <row r="641" spans="1:19" ht="18.75" customHeight="1" thickBot="1">
      <c r="A641" s="773"/>
      <c r="B641" s="769"/>
      <c r="C641" s="769"/>
      <c r="D641" s="769"/>
      <c r="E641" s="769"/>
      <c r="F641" s="589" t="s">
        <v>209</v>
      </c>
      <c r="G641" s="137">
        <v>4</v>
      </c>
      <c r="H641" s="144">
        <v>2</v>
      </c>
      <c r="I641" s="145">
        <f>INDEX('دورة1 دورة2'!B10:BJ43,MATCH("aa",'دورة1 دورة2'!B10:B43,0),26)</f>
        <v>0</v>
      </c>
      <c r="J641" s="146">
        <f>IF(I641&lt;20,0,4)</f>
        <v>0</v>
      </c>
      <c r="K641" s="199" t="str">
        <f>INDEX('دورة1 دورة2'!B10:BJ43,MATCH("aa",'دورة1 دورة2'!B10:B43,0),28)</f>
        <v>د1</v>
      </c>
      <c r="L641" s="770"/>
      <c r="M641" s="763"/>
      <c r="N641" s="763"/>
      <c r="O641" s="763"/>
      <c r="P641" s="765"/>
      <c r="Q641" s="766"/>
      <c r="R641" s="767"/>
      <c r="S641" s="764"/>
    </row>
    <row r="642" spans="1:19" ht="18.75" customHeight="1" thickBot="1">
      <c r="A642" s="773"/>
      <c r="B642" s="137" t="s">
        <v>128</v>
      </c>
      <c r="C642" s="137" t="s">
        <v>124</v>
      </c>
      <c r="D642" s="137">
        <v>2</v>
      </c>
      <c r="E642" s="137">
        <v>2</v>
      </c>
      <c r="F642" s="589" t="s">
        <v>211</v>
      </c>
      <c r="G642" s="137">
        <v>2</v>
      </c>
      <c r="H642" s="144">
        <v>2</v>
      </c>
      <c r="I642" s="145">
        <f>INDEX('دورة1 دورة2'!B10:BJ43,MATCH("aa",'دورة1 دورة2'!B10:B43,0),34)</f>
        <v>0</v>
      </c>
      <c r="J642" s="146">
        <f>IF(I642&lt;20,0,2)</f>
        <v>0</v>
      </c>
      <c r="K642" s="199" t="str">
        <f>INDEX('دورة1 دورة2'!B10:BJ43,MATCH("aa",'دورة1 دورة2'!B10:B43,0),36)</f>
        <v>د1</v>
      </c>
      <c r="L642" s="147">
        <f>I642/2</f>
        <v>0</v>
      </c>
      <c r="M642" s="148">
        <f>J642</f>
        <v>0</v>
      </c>
      <c r="N642" s="199" t="str">
        <f>INDEX('دورة1 دورة2'!B10:BJ43,MATCH("aa",'دورة1 دورة2'!B10:B43,0),36)</f>
        <v>د1</v>
      </c>
      <c r="O642" s="146">
        <f>LOOKUP("r",'دورة1 دورة2'!B:B,'دورة1 دورة2'!AU:AU)</f>
        <v>2018</v>
      </c>
      <c r="P642" s="765"/>
      <c r="Q642" s="766"/>
      <c r="R642" s="767"/>
      <c r="S642" s="131"/>
    </row>
    <row r="643" spans="1:19" ht="18.75" customHeight="1" thickBot="1">
      <c r="A643" s="773"/>
      <c r="B643" s="137" t="s">
        <v>129</v>
      </c>
      <c r="C643" s="137" t="s">
        <v>125</v>
      </c>
      <c r="D643" s="137">
        <v>1</v>
      </c>
      <c r="E643" s="137">
        <v>1</v>
      </c>
      <c r="F643" s="591" t="s">
        <v>191</v>
      </c>
      <c r="G643" s="137">
        <v>1</v>
      </c>
      <c r="H643" s="144">
        <v>1</v>
      </c>
      <c r="I643" s="145">
        <f>INDEX('دورة1 دورة2'!B10:BJ43,MATCH("aa",'دورة1 دورة2'!B10:B43,0),41)</f>
        <v>0</v>
      </c>
      <c r="J643" s="146">
        <f>IF(I643&lt;10,0,1)</f>
        <v>0</v>
      </c>
      <c r="K643" s="199" t="str">
        <f>INDEX('دورة1 دورة2'!B10:BJ43,MATCH("aa",'دورة1 دورة2'!B10:B43,0),43)</f>
        <v>د1</v>
      </c>
      <c r="L643" s="147">
        <f>I643</f>
        <v>0</v>
      </c>
      <c r="M643" s="148">
        <f>J643</f>
        <v>0</v>
      </c>
      <c r="N643" s="199" t="str">
        <f>INDEX('دورة1 دورة2'!B10:BJ43,MATCH("aa",'دورة1 دورة2'!B10:B43,0),43)</f>
        <v>د1</v>
      </c>
      <c r="O643" s="146">
        <f>LOOKUP("r",'دورة1 دورة2'!B:B,'دورة1 دورة2'!AU:AU)</f>
        <v>2018</v>
      </c>
      <c r="P643" s="765"/>
      <c r="Q643" s="766"/>
      <c r="R643" s="768"/>
      <c r="S643" s="131"/>
    </row>
    <row r="644" spans="1:19" ht="86.25" customHeight="1" thickBot="1">
      <c r="A644" s="342" t="s">
        <v>458</v>
      </c>
      <c r="B644" s="137" t="s">
        <v>126</v>
      </c>
      <c r="C644" s="137" t="s">
        <v>122</v>
      </c>
      <c r="D644" s="137">
        <v>18</v>
      </c>
      <c r="E644" s="137">
        <v>7</v>
      </c>
      <c r="F644" s="592" t="s">
        <v>213</v>
      </c>
      <c r="G644" s="137">
        <v>7</v>
      </c>
      <c r="H644" s="144">
        <v>2</v>
      </c>
      <c r="I644" s="145">
        <f>INDEX('دورة1 دورة2'!B10:BJ43,MATCH("aa",'دورة1 دورة2'!B10:B43,0),54)</f>
        <v>0</v>
      </c>
      <c r="J644" s="146">
        <f>IF(I644&lt;300,0,30)</f>
        <v>0</v>
      </c>
      <c r="K644" s="199" t="str">
        <f>INDEX('دورة1 دورة2'!B10:BJ43,MATCH("aa",'دورة1 دورة2'!B10:B43,0),56)</f>
        <v>د1</v>
      </c>
      <c r="L644" s="147">
        <f>(I644)/30</f>
        <v>0</v>
      </c>
      <c r="M644" s="148">
        <f>IF(L644&lt;10,J644,30)</f>
        <v>0</v>
      </c>
      <c r="N644" s="148" t="str">
        <f>INDEX('دورة1 دورة2'!B10:BJ43,MATCH("aa",'دورة1 دورة2'!B10:B43,0),56)</f>
        <v>د1</v>
      </c>
      <c r="O644" s="148" t="e">
        <f>LOOKUP("r",'دورة1 دورة2'!B:B,'دورة1 دورة2'!#REF!)</f>
        <v>#REF!</v>
      </c>
      <c r="P644" s="341">
        <f>(I644)/30</f>
        <v>0</v>
      </c>
      <c r="Q644" s="146">
        <f>IF(P644&lt;10,M644,30)</f>
        <v>0</v>
      </c>
      <c r="R644" s="343" t="str">
        <f>INDEX('دورة1 دورة2'!B10:BJ43,MATCH("aa",'دورة1 دورة2'!B10:B43,0),60)</f>
        <v>د1</v>
      </c>
      <c r="S644" s="131"/>
    </row>
    <row r="645" spans="1:18" ht="17.25" customHeight="1" thickBot="1">
      <c r="A645" s="62" t="s">
        <v>150</v>
      </c>
      <c r="B645" s="135">
        <f>(P637+P644)/2</f>
        <v>0</v>
      </c>
      <c r="C645" s="759" t="s">
        <v>461</v>
      </c>
      <c r="D645" s="760"/>
      <c r="E645" s="760"/>
      <c r="F645" s="761"/>
      <c r="G645" s="136">
        <f>Q637+Q644</f>
        <v>0</v>
      </c>
      <c r="H645" s="6"/>
      <c r="I645" s="6"/>
      <c r="J645" s="134" t="s">
        <v>72</v>
      </c>
      <c r="K645" s="202"/>
      <c r="L645" s="6"/>
      <c r="M645" s="6"/>
      <c r="N645" s="6"/>
      <c r="O645" s="6"/>
      <c r="P645" s="583">
        <v>120</v>
      </c>
      <c r="Q645" s="130"/>
      <c r="R645" s="130"/>
    </row>
    <row r="646" spans="1:18" ht="16.5" customHeight="1" thickBot="1">
      <c r="A646" s="62" t="s">
        <v>121</v>
      </c>
      <c r="B646" s="75" t="str">
        <f>IF(B645&lt;10,"راسب(ة)","ناجح(ة)")</f>
        <v>راسب(ة)</v>
      </c>
      <c r="G646" s="129"/>
      <c r="I646" s="80"/>
      <c r="J646" s="134" t="s">
        <v>73</v>
      </c>
      <c r="K646" s="6"/>
      <c r="L646" s="6"/>
      <c r="M646" s="6"/>
      <c r="N646" s="6"/>
      <c r="O646" s="6"/>
      <c r="P646" s="133">
        <v>120</v>
      </c>
      <c r="Q646" s="5"/>
      <c r="R646" s="5"/>
    </row>
    <row r="647" spans="1:7" ht="16.5" customHeight="1">
      <c r="A647" s="62" t="s">
        <v>120</v>
      </c>
      <c r="B647" s="77">
        <f ca="1">TODAY()</f>
        <v>43188</v>
      </c>
      <c r="G647" s="129"/>
    </row>
    <row r="648" spans="1:14" ht="16.5" customHeight="1">
      <c r="A648" s="62" t="s">
        <v>74</v>
      </c>
      <c r="B648" s="8" t="s">
        <v>119</v>
      </c>
      <c r="L648" s="762" t="s">
        <v>29</v>
      </c>
      <c r="M648" s="762"/>
      <c r="N648" s="75"/>
    </row>
    <row r="649" spans="1:17" ht="20.25">
      <c r="A649" s="187" t="s">
        <v>45</v>
      </c>
      <c r="B649" s="188"/>
      <c r="C649" s="188"/>
      <c r="D649" s="188"/>
      <c r="E649" s="188"/>
      <c r="F649" s="188"/>
      <c r="G649" s="188"/>
      <c r="H649" s="189"/>
      <c r="I649" s="189"/>
      <c r="J649" s="189"/>
      <c r="K649" s="189"/>
      <c r="L649" s="189"/>
      <c r="M649" s="78" t="s">
        <v>46</v>
      </c>
      <c r="N649" s="189"/>
      <c r="O649" s="78"/>
      <c r="P649" s="189"/>
      <c r="Q649" s="189"/>
    </row>
    <row r="650" spans="6:10" ht="15" customHeight="1">
      <c r="F650" s="191" t="s">
        <v>47</v>
      </c>
      <c r="G650" s="10" t="s">
        <v>19</v>
      </c>
      <c r="H650" s="10"/>
      <c r="I650" s="10"/>
      <c r="J650" s="10"/>
    </row>
    <row r="651" spans="6:10" ht="15" customHeight="1">
      <c r="F651" s="191" t="s">
        <v>48</v>
      </c>
      <c r="G651" s="10" t="s">
        <v>49</v>
      </c>
      <c r="H651" s="10"/>
      <c r="I651" s="10"/>
      <c r="J651" s="10"/>
    </row>
    <row r="652" spans="6:10" ht="15" customHeight="1">
      <c r="F652" s="191" t="s">
        <v>50</v>
      </c>
      <c r="G652" s="10" t="s">
        <v>51</v>
      </c>
      <c r="H652" s="10"/>
      <c r="I652" s="10"/>
      <c r="J652" s="10"/>
    </row>
    <row r="653" spans="4:11" ht="21" customHeight="1">
      <c r="D653" s="782" t="s">
        <v>99</v>
      </c>
      <c r="E653" s="782"/>
      <c r="F653" s="782"/>
      <c r="G653" s="782"/>
      <c r="H653" s="782"/>
      <c r="I653" s="782"/>
      <c r="J653" s="782"/>
      <c r="K653" s="782"/>
    </row>
    <row r="654" spans="1:18" ht="18">
      <c r="A654" s="2" t="s">
        <v>148</v>
      </c>
      <c r="B654" s="196" t="str">
        <f>B6</f>
        <v>2017/2018</v>
      </c>
      <c r="C654" s="62"/>
      <c r="E654" s="61"/>
      <c r="F654" s="62"/>
      <c r="G654" s="157"/>
      <c r="H654" s="62"/>
      <c r="I654" s="61"/>
      <c r="J654" s="61"/>
      <c r="K654" s="61"/>
      <c r="L654" s="151"/>
      <c r="M654" s="151"/>
      <c r="N654" s="151"/>
      <c r="O654" s="151"/>
      <c r="P654" s="61"/>
      <c r="Q654" s="61"/>
      <c r="R654" s="61"/>
    </row>
    <row r="655" spans="1:18" ht="15.75" customHeight="1">
      <c r="A655" s="62" t="s">
        <v>147</v>
      </c>
      <c r="B655" s="190" t="str">
        <f>INDEX('دورة1 دورة2'!B10:BJ43,MATCH("bb",'دورة1 دورة2'!B10:B43,0),3)</f>
        <v> </v>
      </c>
      <c r="C655" s="158" t="s">
        <v>146</v>
      </c>
      <c r="D655" s="186" t="str">
        <f>INDEX('دورة1 دورة2'!B10:BJ43,MATCH("bb",'دورة1 دورة2'!B10:B43,0),4)</f>
        <v> </v>
      </c>
      <c r="E655" s="62"/>
      <c r="F655" s="158" t="s">
        <v>52</v>
      </c>
      <c r="G655" s="783">
        <f>INDEX('دورة1 دورة2'!B10:BJ43,MATCH("bb",'دورة1 دورة2'!B10:B43,0),6)</f>
        <v>0</v>
      </c>
      <c r="H655" s="783"/>
      <c r="I655" s="783"/>
      <c r="J655" s="61"/>
      <c r="K655" s="132" t="s">
        <v>53</v>
      </c>
      <c r="L655" s="784">
        <f>INDEX('دورة1 دورة2'!B10:BJ43,MATCH("bb",'دورة1 دورة2'!B10:B43,0),7)</f>
        <v>0</v>
      </c>
      <c r="M655" s="784"/>
      <c r="O655" s="186"/>
      <c r="P655" s="8" t="s">
        <v>54</v>
      </c>
      <c r="Q655" s="784">
        <f>INDEX('دورة1 دورة2'!B10:BJ43,MATCH("bb",'دورة1 دورة2'!B10:B43,0),8)</f>
        <v>0</v>
      </c>
      <c r="R655" s="784"/>
    </row>
    <row r="656" spans="1:18" ht="15" customHeight="1">
      <c r="A656" s="2" t="s">
        <v>149</v>
      </c>
      <c r="B656" s="190">
        <f>INDEX('دورة1 دورة2'!B10:BJ43,MATCH("bb",'دورة1 دورة2'!B10:B43,0),5)</f>
        <v>0</v>
      </c>
      <c r="C656" s="166"/>
      <c r="D656" s="9" t="s">
        <v>55</v>
      </c>
      <c r="E656" s="11" t="s">
        <v>56</v>
      </c>
      <c r="F656" s="11"/>
      <c r="G656" s="156"/>
      <c r="H656" s="11"/>
      <c r="I656" s="9"/>
      <c r="J656" s="9" t="s">
        <v>57</v>
      </c>
      <c r="K656" s="9"/>
      <c r="L656" s="11"/>
      <c r="N656" s="4" t="s">
        <v>98</v>
      </c>
      <c r="O656" s="2" t="s">
        <v>98</v>
      </c>
      <c r="P656" s="10" t="s">
        <v>97</v>
      </c>
      <c r="R656" s="61"/>
    </row>
    <row r="657" spans="1:16" ht="15.75" thickBot="1">
      <c r="A657" s="3" t="s">
        <v>58</v>
      </c>
      <c r="B657" s="139" t="s">
        <v>200</v>
      </c>
      <c r="C657" s="139"/>
      <c r="G657" s="129"/>
      <c r="J657" s="4"/>
      <c r="K657" s="4"/>
      <c r="M657" s="4"/>
      <c r="N657" s="4"/>
      <c r="O657" s="126"/>
      <c r="P657" s="126"/>
    </row>
    <row r="658" spans="1:18" ht="27.75" customHeight="1" thickBot="1" thickTop="1">
      <c r="A658" s="775" t="s">
        <v>25</v>
      </c>
      <c r="B658" s="777" t="s">
        <v>59</v>
      </c>
      <c r="C658" s="777"/>
      <c r="D658" s="778"/>
      <c r="E658" s="777"/>
      <c r="F658" s="777" t="s">
        <v>60</v>
      </c>
      <c r="G658" s="777"/>
      <c r="H658" s="777"/>
      <c r="I658" s="777" t="s">
        <v>61</v>
      </c>
      <c r="J658" s="777"/>
      <c r="K658" s="777"/>
      <c r="L658" s="777"/>
      <c r="M658" s="777"/>
      <c r="N658" s="777"/>
      <c r="O658" s="777"/>
      <c r="P658" s="777"/>
      <c r="Q658" s="777"/>
      <c r="R658" s="779"/>
    </row>
    <row r="659" spans="1:18" ht="15.75" thickBot="1">
      <c r="A659" s="776"/>
      <c r="B659" s="780" t="s">
        <v>63</v>
      </c>
      <c r="C659" s="771" t="s">
        <v>62</v>
      </c>
      <c r="D659" s="149" t="s">
        <v>64</v>
      </c>
      <c r="E659" s="781" t="s">
        <v>65</v>
      </c>
      <c r="F659" s="771" t="s">
        <v>66</v>
      </c>
      <c r="G659" s="138" t="s">
        <v>64</v>
      </c>
      <c r="H659" s="771" t="s">
        <v>65</v>
      </c>
      <c r="I659" s="771" t="s">
        <v>67</v>
      </c>
      <c r="J659" s="771"/>
      <c r="K659" s="771"/>
      <c r="L659" s="771" t="s">
        <v>68</v>
      </c>
      <c r="M659" s="771"/>
      <c r="N659" s="771"/>
      <c r="O659" s="771"/>
      <c r="P659" s="771" t="s">
        <v>25</v>
      </c>
      <c r="Q659" s="771"/>
      <c r="R659" s="772"/>
    </row>
    <row r="660" spans="1:21" ht="15.75" thickBot="1">
      <c r="A660" s="776"/>
      <c r="B660" s="780"/>
      <c r="C660" s="771"/>
      <c r="D660" s="150" t="s">
        <v>69</v>
      </c>
      <c r="E660" s="781"/>
      <c r="F660" s="771"/>
      <c r="G660" s="138" t="s">
        <v>69</v>
      </c>
      <c r="H660" s="771"/>
      <c r="I660" s="133" t="s">
        <v>70</v>
      </c>
      <c r="J660" s="133" t="s">
        <v>100</v>
      </c>
      <c r="K660" s="133" t="s">
        <v>96</v>
      </c>
      <c r="L660" s="133" t="s">
        <v>70</v>
      </c>
      <c r="M660" s="133" t="s">
        <v>100</v>
      </c>
      <c r="N660" s="133" t="s">
        <v>96</v>
      </c>
      <c r="O660" s="133" t="s">
        <v>93</v>
      </c>
      <c r="P660" s="133" t="s">
        <v>70</v>
      </c>
      <c r="Q660" s="133" t="s">
        <v>100</v>
      </c>
      <c r="R660" s="140" t="s">
        <v>96</v>
      </c>
      <c r="U660" s="134"/>
    </row>
    <row r="661" spans="1:21" ht="16.5" customHeight="1" thickBot="1">
      <c r="A661" s="773" t="s">
        <v>457</v>
      </c>
      <c r="B661" s="769" t="s">
        <v>126</v>
      </c>
      <c r="C661" s="769" t="s">
        <v>122</v>
      </c>
      <c r="D661" s="774">
        <v>18</v>
      </c>
      <c r="E661" s="769">
        <v>7</v>
      </c>
      <c r="F661" s="588" t="s">
        <v>205</v>
      </c>
      <c r="G661" s="137">
        <v>7</v>
      </c>
      <c r="H661" s="144">
        <v>3</v>
      </c>
      <c r="I661" s="145">
        <f>INDEX('دورة1 دورة2'!B10:BJ43,MATCH("bb",'دورة1 دورة2'!B10:B43,0),9)</f>
        <v>0</v>
      </c>
      <c r="J661" s="146">
        <f>IF(I661&lt;30,0,7)</f>
        <v>0</v>
      </c>
      <c r="K661" s="199" t="str">
        <f>INDEX('دورة1 دورة2'!B10:BJ43,MATCH("bb",'دورة1 دورة2'!B10:B43,0),11)</f>
        <v>د1</v>
      </c>
      <c r="L661" s="770">
        <f>(I661+I662+I663)/7</f>
        <v>0</v>
      </c>
      <c r="M661" s="763">
        <f>IF(L661&lt;10,J661+J662+J663,18)</f>
        <v>0</v>
      </c>
      <c r="N661" s="763" t="str">
        <f>INDEX('دورة1 دورة2'!B10:BJ43,MATCH("bb",'دورة1 دورة2'!B10:B43,0),20)</f>
        <v>د1</v>
      </c>
      <c r="O661" s="763">
        <f>LOOKUP("r",'دورة1 دورة2'!B:B,'دورة1 دورة2'!AG:AG)</f>
        <v>2018</v>
      </c>
      <c r="P661" s="765">
        <f>(I661+I662+I663+I664+I665+I666+I667)/14</f>
        <v>0</v>
      </c>
      <c r="Q661" s="766">
        <f>IF(P661&lt;10,M661+M664+M666+M667,30)</f>
        <v>0</v>
      </c>
      <c r="R661" s="767" t="str">
        <f>INDEX('دورة1 دورة2'!B10:BJ43,MATCH("bb",'دورة1 دورة2'!B10:B43,0),51)</f>
        <v>د1</v>
      </c>
      <c r="S661" s="764"/>
      <c r="U661" s="134"/>
    </row>
    <row r="662" spans="1:19" ht="16.5" customHeight="1" thickBot="1">
      <c r="A662" s="773"/>
      <c r="B662" s="769"/>
      <c r="C662" s="769"/>
      <c r="D662" s="769"/>
      <c r="E662" s="769"/>
      <c r="F662" s="589" t="s">
        <v>206</v>
      </c>
      <c r="G662" s="137">
        <v>6</v>
      </c>
      <c r="H662" s="144">
        <v>2</v>
      </c>
      <c r="I662" s="145">
        <f>INDEX('دورة1 دورة2'!B10:BJ43,MATCH("bb",'دورة1 دورة2'!B10:B43,0),12)</f>
        <v>0</v>
      </c>
      <c r="J662" s="146">
        <f>IF(I662&lt;20,0,6)</f>
        <v>0</v>
      </c>
      <c r="K662" s="199" t="str">
        <f>INDEX('دورة1 دورة2'!B10:BJ43,MATCH("bb",'دورة1 دورة2'!B10:B43,0),14)</f>
        <v>د1</v>
      </c>
      <c r="L662" s="770"/>
      <c r="M662" s="763"/>
      <c r="N662" s="763"/>
      <c r="O662" s="763"/>
      <c r="P662" s="765"/>
      <c r="Q662" s="766"/>
      <c r="R662" s="767"/>
      <c r="S662" s="764"/>
    </row>
    <row r="663" spans="1:19" ht="16.5" customHeight="1" thickBot="1">
      <c r="A663" s="773"/>
      <c r="B663" s="769"/>
      <c r="C663" s="769"/>
      <c r="D663" s="769"/>
      <c r="E663" s="769"/>
      <c r="F663" s="589" t="s">
        <v>207</v>
      </c>
      <c r="G663" s="137">
        <v>5</v>
      </c>
      <c r="H663" s="144">
        <v>2</v>
      </c>
      <c r="I663" s="145">
        <f>INDEX('دورة1 دورة2'!B10:BJ43,MATCH("bb",'دورة1 دورة2'!B10:B43,0),15)</f>
        <v>0</v>
      </c>
      <c r="J663" s="146">
        <f>IF(I663&lt;20,0,5)</f>
        <v>0</v>
      </c>
      <c r="K663" s="199" t="str">
        <f>INDEX('دورة1 دورة2'!B10:BJ43,MATCH("bb",'دورة1 دورة2'!B10:B43,0),17)</f>
        <v>د1</v>
      </c>
      <c r="L663" s="770"/>
      <c r="M663" s="763"/>
      <c r="N663" s="763"/>
      <c r="O663" s="763"/>
      <c r="P663" s="765"/>
      <c r="Q663" s="766"/>
      <c r="R663" s="767"/>
      <c r="S663" s="764"/>
    </row>
    <row r="664" spans="1:19" ht="16.5" customHeight="1" thickBot="1">
      <c r="A664" s="773"/>
      <c r="B664" s="769" t="s">
        <v>127</v>
      </c>
      <c r="C664" s="769" t="s">
        <v>123</v>
      </c>
      <c r="D664" s="769">
        <v>9</v>
      </c>
      <c r="E664" s="769">
        <v>4</v>
      </c>
      <c r="F664" s="590" t="s">
        <v>208</v>
      </c>
      <c r="G664" s="137">
        <v>5</v>
      </c>
      <c r="H664" s="144">
        <v>2</v>
      </c>
      <c r="I664" s="145">
        <f>INDEX('دورة1 دورة2'!B10:BJ43,MATCH("bb",'دورة1 دورة2'!B10:B43,0),23)</f>
        <v>0</v>
      </c>
      <c r="J664" s="146">
        <f>IF(I664&lt;20,0,5)</f>
        <v>0</v>
      </c>
      <c r="K664" s="199" t="str">
        <f>INDEX('دورة1 دورة2'!B10:BJ43,MATCH("bb",'دورة1 دورة2'!B10:B43,0),25)</f>
        <v>د1</v>
      </c>
      <c r="L664" s="770">
        <f>(I665+I664)/4</f>
        <v>0</v>
      </c>
      <c r="M664" s="763">
        <f>IF(L664&lt;10,J665+J664,9)</f>
        <v>0</v>
      </c>
      <c r="N664" s="763" t="str">
        <f>INDEX('دورة1 دورة2'!B10:BJ43,MATCH("bb",'دورة1 دورة2'!B10:B43,0),31)</f>
        <v>د1</v>
      </c>
      <c r="O664" s="763">
        <f>LOOKUP("r",'دورة1 دورة2'!B:B,'دورة1 دورة2'!AN:AN)</f>
        <v>2018</v>
      </c>
      <c r="P664" s="765"/>
      <c r="Q664" s="766"/>
      <c r="R664" s="767"/>
      <c r="S664" s="764"/>
    </row>
    <row r="665" spans="1:19" ht="16.5" customHeight="1" thickBot="1">
      <c r="A665" s="773"/>
      <c r="B665" s="769"/>
      <c r="C665" s="769"/>
      <c r="D665" s="769"/>
      <c r="E665" s="769"/>
      <c r="F665" s="589" t="s">
        <v>209</v>
      </c>
      <c r="G665" s="137">
        <v>4</v>
      </c>
      <c r="H665" s="144">
        <v>2</v>
      </c>
      <c r="I665" s="145">
        <f>INDEX('دورة1 دورة2'!B10:BJ43,MATCH("bb",'دورة1 دورة2'!B10:B43,0),26)</f>
        <v>0</v>
      </c>
      <c r="J665" s="146">
        <f>IF(I665&lt;20,0,4)</f>
        <v>0</v>
      </c>
      <c r="K665" s="199" t="str">
        <f>INDEX('دورة1 دورة2'!B10:BJ43,MATCH("bb",'دورة1 دورة2'!B10:B43,0),28)</f>
        <v>د1</v>
      </c>
      <c r="L665" s="770"/>
      <c r="M665" s="763"/>
      <c r="N665" s="763"/>
      <c r="O665" s="763"/>
      <c r="P665" s="765"/>
      <c r="Q665" s="766"/>
      <c r="R665" s="767"/>
      <c r="S665" s="764"/>
    </row>
    <row r="666" spans="1:19" ht="16.5" customHeight="1" thickBot="1">
      <c r="A666" s="773"/>
      <c r="B666" s="137" t="s">
        <v>128</v>
      </c>
      <c r="C666" s="137" t="s">
        <v>124</v>
      </c>
      <c r="D666" s="137">
        <v>2</v>
      </c>
      <c r="E666" s="137">
        <v>2</v>
      </c>
      <c r="F666" s="589" t="s">
        <v>211</v>
      </c>
      <c r="G666" s="137">
        <v>2</v>
      </c>
      <c r="H666" s="144">
        <v>2</v>
      </c>
      <c r="I666" s="145">
        <f>INDEX('دورة1 دورة2'!B10:BJ43,MATCH("bb",'دورة1 دورة2'!B10:B43,0),34)</f>
        <v>0</v>
      </c>
      <c r="J666" s="146">
        <f>IF(I666&lt;20,0,2)</f>
        <v>0</v>
      </c>
      <c r="K666" s="199" t="str">
        <f>INDEX('دورة1 دورة2'!B10:BJ43,MATCH("bb",'دورة1 دورة2'!B10:B43,0),36)</f>
        <v>د1</v>
      </c>
      <c r="L666" s="147">
        <f>I666/2</f>
        <v>0</v>
      </c>
      <c r="M666" s="148">
        <f>J666</f>
        <v>0</v>
      </c>
      <c r="N666" s="199" t="str">
        <f>INDEX('دورة1 دورة2'!B10:BJ43,MATCH("bb",'دورة1 دورة2'!B10:B43,0),36)</f>
        <v>د1</v>
      </c>
      <c r="O666" s="146">
        <f>LOOKUP("r",'دورة1 دورة2'!B:B,'دورة1 دورة2'!AU:AU)</f>
        <v>2018</v>
      </c>
      <c r="P666" s="765"/>
      <c r="Q666" s="766"/>
      <c r="R666" s="767"/>
      <c r="S666" s="131"/>
    </row>
    <row r="667" spans="1:19" ht="16.5" customHeight="1" thickBot="1">
      <c r="A667" s="773"/>
      <c r="B667" s="137" t="s">
        <v>129</v>
      </c>
      <c r="C667" s="137" t="s">
        <v>125</v>
      </c>
      <c r="D667" s="137">
        <v>1</v>
      </c>
      <c r="E667" s="137">
        <v>1</v>
      </c>
      <c r="F667" s="591" t="s">
        <v>191</v>
      </c>
      <c r="G667" s="137">
        <v>1</v>
      </c>
      <c r="H667" s="144">
        <v>1</v>
      </c>
      <c r="I667" s="145">
        <f>INDEX('دورة1 دورة2'!B10:BJ43,MATCH("bb",'دورة1 دورة2'!B10:B43,0),41)</f>
        <v>0</v>
      </c>
      <c r="J667" s="146">
        <f>IF(I667&lt;10,0,1)</f>
        <v>0</v>
      </c>
      <c r="K667" s="199" t="str">
        <f>INDEX('دورة1 دورة2'!B10:BJ43,MATCH("bb",'دورة1 دورة2'!B10:B43,0),43)</f>
        <v>د1</v>
      </c>
      <c r="L667" s="147">
        <f>I667</f>
        <v>0</v>
      </c>
      <c r="M667" s="148">
        <f>J667</f>
        <v>0</v>
      </c>
      <c r="N667" s="199" t="str">
        <f>INDEX('دورة1 دورة2'!B10:BJ43,MATCH("bb",'دورة1 دورة2'!B10:B43,0),43)</f>
        <v>د1</v>
      </c>
      <c r="O667" s="146">
        <f>LOOKUP("r",'دورة1 دورة2'!B:B,'دورة1 دورة2'!AU:AU)</f>
        <v>2018</v>
      </c>
      <c r="P667" s="765"/>
      <c r="Q667" s="766"/>
      <c r="R667" s="768"/>
      <c r="S667" s="131"/>
    </row>
    <row r="668" spans="1:19" ht="98.25" customHeight="1" thickBot="1">
      <c r="A668" s="342" t="s">
        <v>458</v>
      </c>
      <c r="B668" s="137" t="s">
        <v>126</v>
      </c>
      <c r="C668" s="137" t="s">
        <v>122</v>
      </c>
      <c r="D668" s="137">
        <v>18</v>
      </c>
      <c r="E668" s="137">
        <v>7</v>
      </c>
      <c r="F668" s="592" t="s">
        <v>213</v>
      </c>
      <c r="G668" s="137">
        <v>7</v>
      </c>
      <c r="H668" s="144">
        <v>2</v>
      </c>
      <c r="I668" s="145">
        <f>INDEX('دورة1 دورة2'!B10:BJ43,MATCH("bb",'دورة1 دورة2'!B10:B43,0),54)</f>
        <v>0</v>
      </c>
      <c r="J668" s="146">
        <f>IF(I668&lt;300,0,30)</f>
        <v>0</v>
      </c>
      <c r="K668" s="199" t="str">
        <f>INDEX('دورة1 دورة2'!B10:BJ43,MATCH("bb",'دورة1 دورة2'!B10:B43,0),56)</f>
        <v>د1</v>
      </c>
      <c r="L668" s="147">
        <f>(I668)/30</f>
        <v>0</v>
      </c>
      <c r="M668" s="148">
        <f>IF(L668&lt;10,J668,30)</f>
        <v>0</v>
      </c>
      <c r="N668" s="148" t="str">
        <f>INDEX('دورة1 دورة2'!B10:BJ43,MATCH("bb",'دورة1 دورة2'!B10:B43,0),56)</f>
        <v>د1</v>
      </c>
      <c r="O668" s="148" t="e">
        <f>LOOKUP("r",'دورة1 دورة2'!B:B,'دورة1 دورة2'!#REF!)</f>
        <v>#REF!</v>
      </c>
      <c r="P668" s="341">
        <f>(I668)/30</f>
        <v>0</v>
      </c>
      <c r="Q668" s="146">
        <f>IF(P668&lt;10,M668,30)</f>
        <v>0</v>
      </c>
      <c r="R668" s="343" t="str">
        <f>INDEX('دورة1 دورة2'!B10:BJ43,MATCH("bb",'دورة1 دورة2'!B10:B43,0),60)</f>
        <v>د1</v>
      </c>
      <c r="S668" s="131"/>
    </row>
    <row r="669" spans="1:18" ht="17.25" customHeight="1" thickBot="1">
      <c r="A669" s="62" t="s">
        <v>150</v>
      </c>
      <c r="B669" s="135">
        <f>(P661+P668)/2</f>
        <v>0</v>
      </c>
      <c r="C669" s="759" t="s">
        <v>461</v>
      </c>
      <c r="D669" s="760"/>
      <c r="E669" s="760"/>
      <c r="F669" s="761"/>
      <c r="G669" s="136">
        <f>Q661+Q668</f>
        <v>0</v>
      </c>
      <c r="H669" s="6"/>
      <c r="I669" s="6"/>
      <c r="J669" s="134" t="s">
        <v>72</v>
      </c>
      <c r="K669" s="202"/>
      <c r="L669" s="6"/>
      <c r="M669" s="6"/>
      <c r="N669" s="6"/>
      <c r="O669" s="6"/>
      <c r="P669" s="583">
        <v>120</v>
      </c>
      <c r="Q669" s="130"/>
      <c r="R669" s="130"/>
    </row>
    <row r="670" spans="1:18" ht="16.5" customHeight="1" thickBot="1">
      <c r="A670" s="62" t="s">
        <v>121</v>
      </c>
      <c r="B670" s="75" t="str">
        <f>IF(B669&lt;10,"راسب(ة)","ناجح(ة)")</f>
        <v>راسب(ة)</v>
      </c>
      <c r="G670" s="129"/>
      <c r="I670" s="80"/>
      <c r="J670" s="134" t="s">
        <v>73</v>
      </c>
      <c r="K670" s="6"/>
      <c r="L670" s="6"/>
      <c r="M670" s="6"/>
      <c r="N670" s="6"/>
      <c r="O670" s="6"/>
      <c r="P670" s="133">
        <v>120</v>
      </c>
      <c r="Q670" s="5"/>
      <c r="R670" s="5"/>
    </row>
    <row r="671" spans="1:7" ht="16.5" customHeight="1">
      <c r="A671" s="62" t="s">
        <v>120</v>
      </c>
      <c r="B671" s="77">
        <f ca="1">TODAY()</f>
        <v>43188</v>
      </c>
      <c r="G671" s="129"/>
    </row>
    <row r="672" spans="1:14" ht="16.5" customHeight="1">
      <c r="A672" s="62" t="s">
        <v>74</v>
      </c>
      <c r="B672" s="8" t="s">
        <v>119</v>
      </c>
      <c r="L672" s="762" t="s">
        <v>29</v>
      </c>
      <c r="M672" s="762"/>
      <c r="N672" s="75"/>
    </row>
    <row r="673" spans="1:17" ht="20.25">
      <c r="A673" s="187" t="s">
        <v>45</v>
      </c>
      <c r="B673" s="188"/>
      <c r="C673" s="188"/>
      <c r="D673" s="188"/>
      <c r="E673" s="188"/>
      <c r="F673" s="188"/>
      <c r="G673" s="188"/>
      <c r="H673" s="189"/>
      <c r="I673" s="189"/>
      <c r="J673" s="189"/>
      <c r="K673" s="189"/>
      <c r="L673" s="189"/>
      <c r="M673" s="78" t="s">
        <v>46</v>
      </c>
      <c r="N673" s="189"/>
      <c r="O673" s="78"/>
      <c r="P673" s="189"/>
      <c r="Q673" s="189"/>
    </row>
    <row r="674" spans="6:10" ht="15" customHeight="1">
      <c r="F674" s="191" t="s">
        <v>47</v>
      </c>
      <c r="G674" s="10" t="s">
        <v>19</v>
      </c>
      <c r="H674" s="10"/>
      <c r="I674" s="10"/>
      <c r="J674" s="10"/>
    </row>
    <row r="675" spans="6:10" ht="15" customHeight="1">
      <c r="F675" s="191" t="s">
        <v>48</v>
      </c>
      <c r="G675" s="10" t="s">
        <v>49</v>
      </c>
      <c r="H675" s="10"/>
      <c r="I675" s="10"/>
      <c r="J675" s="10"/>
    </row>
    <row r="676" spans="6:10" ht="15" customHeight="1">
      <c r="F676" s="191" t="s">
        <v>50</v>
      </c>
      <c r="G676" s="10" t="s">
        <v>51</v>
      </c>
      <c r="H676" s="10"/>
      <c r="I676" s="10"/>
      <c r="J676" s="10"/>
    </row>
    <row r="677" spans="4:11" ht="21" customHeight="1">
      <c r="D677" s="782" t="s">
        <v>99</v>
      </c>
      <c r="E677" s="782"/>
      <c r="F677" s="782"/>
      <c r="G677" s="782"/>
      <c r="H677" s="782"/>
      <c r="I677" s="782"/>
      <c r="J677" s="782"/>
      <c r="K677" s="782"/>
    </row>
    <row r="678" spans="1:18" ht="18">
      <c r="A678" s="2" t="s">
        <v>148</v>
      </c>
      <c r="B678" s="196" t="str">
        <f>B6</f>
        <v>2017/2018</v>
      </c>
      <c r="C678" s="62"/>
      <c r="E678" s="61"/>
      <c r="F678" s="62"/>
      <c r="G678" s="157"/>
      <c r="H678" s="62"/>
      <c r="I678" s="61"/>
      <c r="J678" s="61"/>
      <c r="K678" s="61"/>
      <c r="L678" s="151"/>
      <c r="M678" s="151"/>
      <c r="N678" s="151"/>
      <c r="O678" s="151"/>
      <c r="P678" s="61"/>
      <c r="Q678" s="61"/>
      <c r="R678" s="61"/>
    </row>
    <row r="679" spans="1:18" ht="15.75" customHeight="1">
      <c r="A679" s="62" t="s">
        <v>147</v>
      </c>
      <c r="B679" s="190" t="str">
        <f>INDEX('دورة1 دورة2'!B10:BJ43,MATCH("cc",'دورة1 دورة2'!B10:B43,0),3)</f>
        <v> </v>
      </c>
      <c r="C679" s="158" t="s">
        <v>146</v>
      </c>
      <c r="D679" s="186" t="str">
        <f>INDEX('دورة1 دورة2'!B10:BJ43,MATCH("cc",'دورة1 دورة2'!B10:B43,0),4)</f>
        <v> </v>
      </c>
      <c r="E679" s="62"/>
      <c r="F679" s="158" t="s">
        <v>52</v>
      </c>
      <c r="G679" s="783">
        <f>INDEX('دورة1 دورة2'!B10:BJ43,MATCH("cc",'دورة1 دورة2'!B10:B43,0),6)</f>
        <v>0</v>
      </c>
      <c r="H679" s="783"/>
      <c r="I679" s="783"/>
      <c r="J679" s="61"/>
      <c r="K679" s="132" t="s">
        <v>53</v>
      </c>
      <c r="L679" s="784">
        <f>INDEX('دورة1 دورة2'!B10:BJ43,MATCH("cc",'دورة1 دورة2'!B10:B43,0),7)</f>
        <v>0</v>
      </c>
      <c r="M679" s="784"/>
      <c r="O679" s="186"/>
      <c r="P679" s="8" t="s">
        <v>54</v>
      </c>
      <c r="Q679" s="784">
        <f>INDEX('دورة1 دورة2'!B10:BJ43,MATCH("cc",'دورة1 دورة2'!B10:B43,0),8)</f>
        <v>0</v>
      </c>
      <c r="R679" s="784"/>
    </row>
    <row r="680" spans="1:18" ht="15" customHeight="1">
      <c r="A680" s="2" t="s">
        <v>149</v>
      </c>
      <c r="B680" s="190">
        <f>INDEX('دورة1 دورة2'!B10:BJ43,MATCH("cc",'دورة1 دورة2'!B10:B43,0),5)</f>
        <v>0</v>
      </c>
      <c r="C680" s="166"/>
      <c r="D680" s="9" t="s">
        <v>55</v>
      </c>
      <c r="E680" s="11" t="s">
        <v>56</v>
      </c>
      <c r="F680" s="11"/>
      <c r="G680" s="156"/>
      <c r="H680" s="11"/>
      <c r="I680" s="9"/>
      <c r="J680" s="9" t="s">
        <v>57</v>
      </c>
      <c r="K680" s="9"/>
      <c r="L680" s="11"/>
      <c r="N680" s="4" t="s">
        <v>98</v>
      </c>
      <c r="O680" s="2" t="s">
        <v>98</v>
      </c>
      <c r="P680" s="10" t="s">
        <v>97</v>
      </c>
      <c r="R680" s="61"/>
    </row>
    <row r="681" spans="1:16" ht="15.75" thickBot="1">
      <c r="A681" s="3" t="s">
        <v>58</v>
      </c>
      <c r="B681" s="139" t="s">
        <v>200</v>
      </c>
      <c r="C681" s="139"/>
      <c r="G681" s="129"/>
      <c r="J681" s="4"/>
      <c r="K681" s="4"/>
      <c r="M681" s="4"/>
      <c r="N681" s="4"/>
      <c r="O681" s="126"/>
      <c r="P681" s="126"/>
    </row>
    <row r="682" spans="1:18" ht="33.75" customHeight="1" thickBot="1" thickTop="1">
      <c r="A682" s="775" t="s">
        <v>25</v>
      </c>
      <c r="B682" s="777" t="s">
        <v>59</v>
      </c>
      <c r="C682" s="777"/>
      <c r="D682" s="778"/>
      <c r="E682" s="777"/>
      <c r="F682" s="777" t="s">
        <v>60</v>
      </c>
      <c r="G682" s="777"/>
      <c r="H682" s="777"/>
      <c r="I682" s="777" t="s">
        <v>61</v>
      </c>
      <c r="J682" s="777"/>
      <c r="K682" s="777"/>
      <c r="L682" s="777"/>
      <c r="M682" s="777"/>
      <c r="N682" s="777"/>
      <c r="O682" s="777"/>
      <c r="P682" s="777"/>
      <c r="Q682" s="777"/>
      <c r="R682" s="779"/>
    </row>
    <row r="683" spans="1:18" ht="15.75" thickBot="1">
      <c r="A683" s="776"/>
      <c r="B683" s="780" t="s">
        <v>63</v>
      </c>
      <c r="C683" s="771" t="s">
        <v>62</v>
      </c>
      <c r="D683" s="149" t="s">
        <v>64</v>
      </c>
      <c r="E683" s="781" t="s">
        <v>65</v>
      </c>
      <c r="F683" s="771" t="s">
        <v>66</v>
      </c>
      <c r="G683" s="138" t="s">
        <v>64</v>
      </c>
      <c r="H683" s="771" t="s">
        <v>65</v>
      </c>
      <c r="I683" s="771" t="s">
        <v>67</v>
      </c>
      <c r="J683" s="771"/>
      <c r="K683" s="771"/>
      <c r="L683" s="771" t="s">
        <v>68</v>
      </c>
      <c r="M683" s="771"/>
      <c r="N683" s="771"/>
      <c r="O683" s="771"/>
      <c r="P683" s="771" t="s">
        <v>25</v>
      </c>
      <c r="Q683" s="771"/>
      <c r="R683" s="772"/>
    </row>
    <row r="684" spans="1:21" ht="15.75" thickBot="1">
      <c r="A684" s="776"/>
      <c r="B684" s="780"/>
      <c r="C684" s="771"/>
      <c r="D684" s="150" t="s">
        <v>69</v>
      </c>
      <c r="E684" s="781"/>
      <c r="F684" s="771"/>
      <c r="G684" s="138" t="s">
        <v>69</v>
      </c>
      <c r="H684" s="771"/>
      <c r="I684" s="133" t="s">
        <v>70</v>
      </c>
      <c r="J684" s="133" t="s">
        <v>100</v>
      </c>
      <c r="K684" s="133" t="s">
        <v>96</v>
      </c>
      <c r="L684" s="133" t="s">
        <v>70</v>
      </c>
      <c r="M684" s="133" t="s">
        <v>100</v>
      </c>
      <c r="N684" s="133" t="s">
        <v>96</v>
      </c>
      <c r="O684" s="133" t="s">
        <v>93</v>
      </c>
      <c r="P684" s="133" t="s">
        <v>70</v>
      </c>
      <c r="Q684" s="133" t="s">
        <v>100</v>
      </c>
      <c r="R684" s="140" t="s">
        <v>96</v>
      </c>
      <c r="U684" s="134"/>
    </row>
    <row r="685" spans="1:21" ht="16.5" customHeight="1" thickBot="1">
      <c r="A685" s="773" t="s">
        <v>457</v>
      </c>
      <c r="B685" s="769" t="s">
        <v>126</v>
      </c>
      <c r="C685" s="769" t="s">
        <v>122</v>
      </c>
      <c r="D685" s="774">
        <v>18</v>
      </c>
      <c r="E685" s="769">
        <v>7</v>
      </c>
      <c r="F685" s="588" t="s">
        <v>205</v>
      </c>
      <c r="G685" s="137">
        <v>7</v>
      </c>
      <c r="H685" s="144">
        <v>3</v>
      </c>
      <c r="I685" s="145">
        <f>INDEX('دورة1 دورة2'!B10:BJ43,MATCH("cc",'دورة1 دورة2'!B10:B43,0),9)</f>
        <v>0</v>
      </c>
      <c r="J685" s="146">
        <f>IF(I685&lt;30,0,7)</f>
        <v>0</v>
      </c>
      <c r="K685" s="199" t="str">
        <f>INDEX('دورة1 دورة2'!B10:BJ43,MATCH("cc",'دورة1 دورة2'!B10:B43,0),11)</f>
        <v>د1</v>
      </c>
      <c r="L685" s="770">
        <f>(I685+I686+I687)/7</f>
        <v>0</v>
      </c>
      <c r="M685" s="763">
        <f>IF(L685&lt;10,J685+J686+J687,18)</f>
        <v>0</v>
      </c>
      <c r="N685" s="763" t="str">
        <f>INDEX('دورة1 دورة2'!B10:BJ43,MATCH("cc",'دورة1 دورة2'!B10:B43,0),20)</f>
        <v>د1</v>
      </c>
      <c r="O685" s="763">
        <f>LOOKUP("r",'دورة1 دورة2'!B:B,'دورة1 دورة2'!AG:AG)</f>
        <v>2018</v>
      </c>
      <c r="P685" s="765">
        <f>(I685+I686+I687+I688+I689+I690+I691)/14</f>
        <v>0</v>
      </c>
      <c r="Q685" s="766">
        <f>IF(P685&lt;10,M685+M688+M690+M691,30)</f>
        <v>0</v>
      </c>
      <c r="R685" s="767" t="str">
        <f>INDEX('دورة1 دورة2'!B10:BJ43,MATCH("cc",'دورة1 دورة2'!B10:B43,0),51)</f>
        <v>د1</v>
      </c>
      <c r="S685" s="764"/>
      <c r="U685" s="134"/>
    </row>
    <row r="686" spans="1:19" ht="16.5" customHeight="1" thickBot="1">
      <c r="A686" s="773"/>
      <c r="B686" s="769"/>
      <c r="C686" s="769"/>
      <c r="D686" s="769"/>
      <c r="E686" s="769"/>
      <c r="F686" s="589" t="s">
        <v>206</v>
      </c>
      <c r="G686" s="137">
        <v>6</v>
      </c>
      <c r="H686" s="144">
        <v>2</v>
      </c>
      <c r="I686" s="145">
        <f>INDEX('دورة1 دورة2'!B10:BJ43,MATCH("cc",'دورة1 دورة2'!B10:B43,0),12)</f>
        <v>0</v>
      </c>
      <c r="J686" s="146">
        <f>IF(I686&lt;20,0,6)</f>
        <v>0</v>
      </c>
      <c r="K686" s="199" t="str">
        <f>INDEX('دورة1 دورة2'!B10:BJ43,MATCH("cc",'دورة1 دورة2'!B10:B43,0),14)</f>
        <v>د1</v>
      </c>
      <c r="L686" s="770"/>
      <c r="M686" s="763"/>
      <c r="N686" s="763"/>
      <c r="O686" s="763"/>
      <c r="P686" s="765"/>
      <c r="Q686" s="766"/>
      <c r="R686" s="767"/>
      <c r="S686" s="764"/>
    </row>
    <row r="687" spans="1:19" ht="16.5" customHeight="1" thickBot="1">
      <c r="A687" s="773"/>
      <c r="B687" s="769"/>
      <c r="C687" s="769"/>
      <c r="D687" s="769"/>
      <c r="E687" s="769"/>
      <c r="F687" s="589" t="s">
        <v>207</v>
      </c>
      <c r="G687" s="137">
        <v>5</v>
      </c>
      <c r="H687" s="144">
        <v>2</v>
      </c>
      <c r="I687" s="145">
        <f>INDEX('دورة1 دورة2'!B10:BJ43,MATCH("cc",'دورة1 دورة2'!B10:B43,0),15)</f>
        <v>0</v>
      </c>
      <c r="J687" s="146">
        <f>IF(I687&lt;20,0,5)</f>
        <v>0</v>
      </c>
      <c r="K687" s="199" t="str">
        <f>INDEX('دورة1 دورة2'!B10:BJ43,MATCH("cc",'دورة1 دورة2'!B10:B43,0),17)</f>
        <v>د1</v>
      </c>
      <c r="L687" s="770"/>
      <c r="M687" s="763"/>
      <c r="N687" s="763"/>
      <c r="O687" s="763"/>
      <c r="P687" s="765"/>
      <c r="Q687" s="766"/>
      <c r="R687" s="767"/>
      <c r="S687" s="764"/>
    </row>
    <row r="688" spans="1:19" ht="16.5" customHeight="1" thickBot="1">
      <c r="A688" s="773"/>
      <c r="B688" s="769" t="s">
        <v>127</v>
      </c>
      <c r="C688" s="769" t="s">
        <v>123</v>
      </c>
      <c r="D688" s="769">
        <v>9</v>
      </c>
      <c r="E688" s="769">
        <v>4</v>
      </c>
      <c r="F688" s="590" t="s">
        <v>208</v>
      </c>
      <c r="G688" s="137">
        <v>5</v>
      </c>
      <c r="H688" s="144">
        <v>2</v>
      </c>
      <c r="I688" s="145">
        <f>INDEX('دورة1 دورة2'!B10:BJ43,MATCH("cc",'دورة1 دورة2'!B10:B43,0),23)</f>
        <v>0</v>
      </c>
      <c r="J688" s="146">
        <f>IF(I688&lt;20,0,5)</f>
        <v>0</v>
      </c>
      <c r="K688" s="199" t="str">
        <f>INDEX('دورة1 دورة2'!B10:BJ43,MATCH("cc",'دورة1 دورة2'!B10:B43,0),25)</f>
        <v>د1</v>
      </c>
      <c r="L688" s="770">
        <f>(I689+I688)/4</f>
        <v>0</v>
      </c>
      <c r="M688" s="763">
        <f>IF(L688&lt;10,J689+J688,9)</f>
        <v>0</v>
      </c>
      <c r="N688" s="763" t="str">
        <f>INDEX('دورة1 دورة2'!B10:BJ43,MATCH("cc",'دورة1 دورة2'!B10:B43,0),31)</f>
        <v>د1</v>
      </c>
      <c r="O688" s="763">
        <f>LOOKUP("r",'دورة1 دورة2'!B:B,'دورة1 دورة2'!AN:AN)</f>
        <v>2018</v>
      </c>
      <c r="P688" s="765"/>
      <c r="Q688" s="766"/>
      <c r="R688" s="767"/>
      <c r="S688" s="764"/>
    </row>
    <row r="689" spans="1:19" ht="16.5" customHeight="1" thickBot="1">
      <c r="A689" s="773"/>
      <c r="B689" s="769"/>
      <c r="C689" s="769"/>
      <c r="D689" s="769"/>
      <c r="E689" s="769"/>
      <c r="F689" s="589" t="s">
        <v>209</v>
      </c>
      <c r="G689" s="137">
        <v>4</v>
      </c>
      <c r="H689" s="144">
        <v>2</v>
      </c>
      <c r="I689" s="145">
        <f>INDEX('دورة1 دورة2'!B10:BJ43,MATCH("cc",'دورة1 دورة2'!B10:B43,0),26)</f>
        <v>0</v>
      </c>
      <c r="J689" s="146">
        <f>IF(I689&lt;20,0,4)</f>
        <v>0</v>
      </c>
      <c r="K689" s="199" t="str">
        <f>INDEX('دورة1 دورة2'!B10:BJ43,MATCH("cc",'دورة1 دورة2'!B10:B43,0),28)</f>
        <v>د1</v>
      </c>
      <c r="L689" s="770"/>
      <c r="M689" s="763"/>
      <c r="N689" s="763"/>
      <c r="O689" s="763"/>
      <c r="P689" s="765"/>
      <c r="Q689" s="766"/>
      <c r="R689" s="767"/>
      <c r="S689" s="764"/>
    </row>
    <row r="690" spans="1:19" ht="16.5" customHeight="1" thickBot="1">
      <c r="A690" s="773"/>
      <c r="B690" s="137" t="s">
        <v>128</v>
      </c>
      <c r="C690" s="137" t="s">
        <v>124</v>
      </c>
      <c r="D690" s="137">
        <v>2</v>
      </c>
      <c r="E690" s="137">
        <v>2</v>
      </c>
      <c r="F690" s="589" t="s">
        <v>211</v>
      </c>
      <c r="G690" s="137">
        <v>2</v>
      </c>
      <c r="H690" s="144">
        <v>2</v>
      </c>
      <c r="I690" s="145">
        <f>INDEX('دورة1 دورة2'!B10:BJ43,MATCH("cc",'دورة1 دورة2'!B10:B43,0),34)</f>
        <v>0</v>
      </c>
      <c r="J690" s="146">
        <f>IF(I690&lt;20,0,2)</f>
        <v>0</v>
      </c>
      <c r="K690" s="199" t="str">
        <f>INDEX('دورة1 دورة2'!B10:BJ43,MATCH("cc",'دورة1 دورة2'!B10:B43,0),36)</f>
        <v>د1</v>
      </c>
      <c r="L690" s="147">
        <f>I690/2</f>
        <v>0</v>
      </c>
      <c r="M690" s="148">
        <f>J690</f>
        <v>0</v>
      </c>
      <c r="N690" s="199" t="str">
        <f>INDEX('دورة1 دورة2'!B10:BJ43,MATCH("cc",'دورة1 دورة2'!B10:B43,0),36)</f>
        <v>د1</v>
      </c>
      <c r="O690" s="146">
        <f>LOOKUP("r",'دورة1 دورة2'!B:B,'دورة1 دورة2'!AU:AU)</f>
        <v>2018</v>
      </c>
      <c r="P690" s="765"/>
      <c r="Q690" s="766"/>
      <c r="R690" s="767"/>
      <c r="S690" s="131"/>
    </row>
    <row r="691" spans="1:19" ht="16.5" customHeight="1" thickBot="1">
      <c r="A691" s="773"/>
      <c r="B691" s="137" t="s">
        <v>129</v>
      </c>
      <c r="C691" s="137" t="s">
        <v>125</v>
      </c>
      <c r="D691" s="137">
        <v>1</v>
      </c>
      <c r="E691" s="137">
        <v>1</v>
      </c>
      <c r="F691" s="591" t="s">
        <v>191</v>
      </c>
      <c r="G691" s="137">
        <v>1</v>
      </c>
      <c r="H691" s="144">
        <v>1</v>
      </c>
      <c r="I691" s="145">
        <f>INDEX('دورة1 دورة2'!B10:BJ43,MATCH("cc",'دورة1 دورة2'!B10:B43,0),41)</f>
        <v>0</v>
      </c>
      <c r="J691" s="146">
        <f>IF(I691&lt;10,0,1)</f>
        <v>0</v>
      </c>
      <c r="K691" s="199" t="str">
        <f>INDEX('دورة1 دورة2'!B10:BJ43,MATCH("cc",'دورة1 دورة2'!B10:B43,0),43)</f>
        <v>د1</v>
      </c>
      <c r="L691" s="147">
        <f>I691</f>
        <v>0</v>
      </c>
      <c r="M691" s="148">
        <f>J691</f>
        <v>0</v>
      </c>
      <c r="N691" s="199" t="str">
        <f>INDEX('دورة1 دورة2'!B10:BJ43,MATCH("cc",'دورة1 دورة2'!B10:B43,0),43)</f>
        <v>د1</v>
      </c>
      <c r="O691" s="146">
        <f>LOOKUP("r",'دورة1 دورة2'!B:B,'دورة1 دورة2'!AU:AU)</f>
        <v>2018</v>
      </c>
      <c r="P691" s="765"/>
      <c r="Q691" s="766"/>
      <c r="R691" s="768"/>
      <c r="S691" s="131"/>
    </row>
    <row r="692" spans="1:19" ht="87" customHeight="1" thickBot="1">
      <c r="A692" s="342" t="s">
        <v>458</v>
      </c>
      <c r="B692" s="137" t="s">
        <v>126</v>
      </c>
      <c r="C692" s="137" t="s">
        <v>122</v>
      </c>
      <c r="D692" s="137">
        <v>18</v>
      </c>
      <c r="E692" s="137">
        <v>7</v>
      </c>
      <c r="F692" s="592" t="s">
        <v>213</v>
      </c>
      <c r="G692" s="137">
        <v>7</v>
      </c>
      <c r="H692" s="144">
        <v>2</v>
      </c>
      <c r="I692" s="145">
        <f>INDEX('دورة1 دورة2'!B10:BJ43,MATCH("cc",'دورة1 دورة2'!B10:B43,0),54)</f>
        <v>0</v>
      </c>
      <c r="J692" s="146">
        <f>IF(I692&lt;300,0,30)</f>
        <v>0</v>
      </c>
      <c r="K692" s="199" t="str">
        <f>INDEX('دورة1 دورة2'!B10:BJ43,MATCH("cc",'دورة1 دورة2'!B10:B43,0),56)</f>
        <v>د1</v>
      </c>
      <c r="L692" s="147">
        <f>(I692)/30</f>
        <v>0</v>
      </c>
      <c r="M692" s="148">
        <f>IF(L692&lt;10,J692,30)</f>
        <v>0</v>
      </c>
      <c r="N692" s="148" t="str">
        <f>INDEX('دورة1 دورة2'!B10:BJ43,MATCH("cc",'دورة1 دورة2'!B10:B43,0),56)</f>
        <v>د1</v>
      </c>
      <c r="O692" s="148" t="e">
        <f>LOOKUP("r",'دورة1 دورة2'!B:B,'دورة1 دورة2'!#REF!)</f>
        <v>#REF!</v>
      </c>
      <c r="P692" s="341">
        <f>(I692)/30</f>
        <v>0</v>
      </c>
      <c r="Q692" s="146">
        <f>IF(P692&lt;10,M692,30)</f>
        <v>0</v>
      </c>
      <c r="R692" s="343" t="str">
        <f>INDEX('دورة1 دورة2'!B10:BJ43,MATCH("cc",'دورة1 دورة2'!B10:B43,0),60)</f>
        <v>د1</v>
      </c>
      <c r="S692" s="131"/>
    </row>
    <row r="693" spans="1:18" ht="17.25" customHeight="1" thickBot="1">
      <c r="A693" s="62" t="s">
        <v>150</v>
      </c>
      <c r="B693" s="135">
        <f>(P685+P692)/2</f>
        <v>0</v>
      </c>
      <c r="C693" s="759" t="s">
        <v>461</v>
      </c>
      <c r="D693" s="760"/>
      <c r="E693" s="760"/>
      <c r="F693" s="761"/>
      <c r="G693" s="136">
        <f>Q685+Q692</f>
        <v>0</v>
      </c>
      <c r="H693" s="6"/>
      <c r="I693" s="6"/>
      <c r="J693" s="134" t="s">
        <v>72</v>
      </c>
      <c r="K693" s="202"/>
      <c r="L693" s="6"/>
      <c r="M693" s="6"/>
      <c r="N693" s="6"/>
      <c r="O693" s="6"/>
      <c r="P693" s="583">
        <v>120</v>
      </c>
      <c r="Q693" s="130"/>
      <c r="R693" s="130"/>
    </row>
    <row r="694" spans="1:18" ht="16.5" customHeight="1" thickBot="1">
      <c r="A694" s="62" t="s">
        <v>121</v>
      </c>
      <c r="B694" s="75" t="str">
        <f>IF(B693&lt;10,"راسب(ة)","ناجح(ة)")</f>
        <v>راسب(ة)</v>
      </c>
      <c r="G694" s="129"/>
      <c r="I694" s="80"/>
      <c r="J694" s="134" t="s">
        <v>73</v>
      </c>
      <c r="K694" s="6"/>
      <c r="L694" s="6"/>
      <c r="M694" s="6"/>
      <c r="N694" s="6"/>
      <c r="O694" s="6"/>
      <c r="P694" s="133">
        <v>120</v>
      </c>
      <c r="Q694" s="5"/>
      <c r="R694" s="5"/>
    </row>
    <row r="695" spans="1:7" ht="16.5" customHeight="1">
      <c r="A695" s="62" t="s">
        <v>120</v>
      </c>
      <c r="B695" s="77">
        <f ca="1">TODAY()</f>
        <v>43188</v>
      </c>
      <c r="G695" s="129"/>
    </row>
    <row r="696" spans="1:14" ht="16.5" customHeight="1">
      <c r="A696" s="62" t="s">
        <v>74</v>
      </c>
      <c r="B696" s="8" t="s">
        <v>119</v>
      </c>
      <c r="L696" s="762" t="s">
        <v>29</v>
      </c>
      <c r="M696" s="762"/>
      <c r="N696" s="75"/>
    </row>
    <row r="697" spans="1:17" ht="20.25">
      <c r="A697" s="187" t="s">
        <v>45</v>
      </c>
      <c r="B697" s="188"/>
      <c r="C697" s="188"/>
      <c r="D697" s="188"/>
      <c r="E697" s="188"/>
      <c r="F697" s="188"/>
      <c r="G697" s="188"/>
      <c r="H697" s="189"/>
      <c r="I697" s="189"/>
      <c r="J697" s="189"/>
      <c r="K697" s="189"/>
      <c r="L697" s="189"/>
      <c r="M697" s="78" t="s">
        <v>46</v>
      </c>
      <c r="N697" s="189"/>
      <c r="O697" s="78"/>
      <c r="P697" s="189"/>
      <c r="Q697" s="189"/>
    </row>
    <row r="698" spans="6:10" ht="15" customHeight="1">
      <c r="F698" s="191" t="s">
        <v>47</v>
      </c>
      <c r="G698" s="10" t="s">
        <v>19</v>
      </c>
      <c r="H698" s="10"/>
      <c r="I698" s="10"/>
      <c r="J698" s="10"/>
    </row>
    <row r="699" spans="6:10" ht="15" customHeight="1">
      <c r="F699" s="191" t="s">
        <v>48</v>
      </c>
      <c r="G699" s="10" t="s">
        <v>49</v>
      </c>
      <c r="H699" s="10"/>
      <c r="I699" s="10"/>
      <c r="J699" s="10"/>
    </row>
    <row r="700" spans="6:10" ht="15" customHeight="1">
      <c r="F700" s="191" t="s">
        <v>50</v>
      </c>
      <c r="G700" s="10" t="s">
        <v>51</v>
      </c>
      <c r="H700" s="10"/>
      <c r="I700" s="10"/>
      <c r="J700" s="10"/>
    </row>
    <row r="701" spans="4:11" ht="21" customHeight="1">
      <c r="D701" s="782" t="s">
        <v>99</v>
      </c>
      <c r="E701" s="782"/>
      <c r="F701" s="782"/>
      <c r="G701" s="782"/>
      <c r="H701" s="782"/>
      <c r="I701" s="782"/>
      <c r="J701" s="782"/>
      <c r="K701" s="782"/>
    </row>
    <row r="702" spans="1:18" ht="18">
      <c r="A702" s="2" t="s">
        <v>148</v>
      </c>
      <c r="B702" s="196" t="str">
        <f>B6</f>
        <v>2017/2018</v>
      </c>
      <c r="C702" s="62"/>
      <c r="E702" s="61"/>
      <c r="F702" s="62"/>
      <c r="G702" s="157"/>
      <c r="H702" s="62"/>
      <c r="I702" s="61"/>
      <c r="J702" s="61"/>
      <c r="K702" s="61"/>
      <c r="L702" s="151"/>
      <c r="M702" s="151"/>
      <c r="N702" s="151"/>
      <c r="O702" s="151"/>
      <c r="P702" s="61"/>
      <c r="Q702" s="61"/>
      <c r="R702" s="61"/>
    </row>
    <row r="703" spans="1:18" ht="15.75" customHeight="1">
      <c r="A703" s="62" t="s">
        <v>147</v>
      </c>
      <c r="B703" s="190" t="str">
        <f>INDEX('دورة1 دورة2'!B10:BJ43,MATCH("dd",'دورة1 دورة2'!B10:B43,0),3)</f>
        <v> </v>
      </c>
      <c r="C703" s="158" t="s">
        <v>146</v>
      </c>
      <c r="D703" s="186" t="str">
        <f>INDEX('دورة1 دورة2'!B10:BJ43,MATCH("dd",'دورة1 دورة2'!B10:B43,0),4)</f>
        <v> </v>
      </c>
      <c r="E703" s="62"/>
      <c r="F703" s="158" t="s">
        <v>52</v>
      </c>
      <c r="G703" s="783">
        <f>INDEX('دورة1 دورة2'!B10:BJ43,MATCH("dd",'دورة1 دورة2'!B10:B43,0),6)</f>
        <v>0</v>
      </c>
      <c r="H703" s="783"/>
      <c r="I703" s="783"/>
      <c r="J703" s="61"/>
      <c r="K703" s="132" t="s">
        <v>53</v>
      </c>
      <c r="L703" s="784">
        <f>INDEX('دورة1 دورة2'!B10:BJ43,MATCH("dd",'دورة1 دورة2'!B10:B43,0),7)</f>
        <v>0</v>
      </c>
      <c r="M703" s="784"/>
      <c r="O703" s="186"/>
      <c r="P703" s="8" t="s">
        <v>54</v>
      </c>
      <c r="Q703" s="784">
        <f>INDEX('دورة1 دورة2'!B10:BJ43,MATCH("dd",'دورة1 دورة2'!B10:B43,0),8)</f>
        <v>0</v>
      </c>
      <c r="R703" s="784"/>
    </row>
    <row r="704" spans="1:18" ht="15" customHeight="1">
      <c r="A704" s="2" t="s">
        <v>149</v>
      </c>
      <c r="B704" s="190">
        <f>INDEX('دورة1 دورة2'!B10:BJ43,MATCH("dd",'دورة1 دورة2'!B10:B43,0),5)</f>
        <v>0</v>
      </c>
      <c r="C704" s="166"/>
      <c r="D704" s="9" t="s">
        <v>55</v>
      </c>
      <c r="E704" s="11" t="s">
        <v>56</v>
      </c>
      <c r="F704" s="11"/>
      <c r="G704" s="156"/>
      <c r="H704" s="11"/>
      <c r="I704" s="9"/>
      <c r="J704" s="9" t="s">
        <v>57</v>
      </c>
      <c r="K704" s="9"/>
      <c r="L704" s="11"/>
      <c r="N704" s="4" t="s">
        <v>98</v>
      </c>
      <c r="O704" s="2" t="s">
        <v>98</v>
      </c>
      <c r="P704" s="10" t="s">
        <v>97</v>
      </c>
      <c r="R704" s="61"/>
    </row>
    <row r="705" spans="1:16" ht="15.75" thickBot="1">
      <c r="A705" s="3" t="s">
        <v>58</v>
      </c>
      <c r="B705" s="139" t="s">
        <v>200</v>
      </c>
      <c r="C705" s="139"/>
      <c r="G705" s="129"/>
      <c r="J705" s="4"/>
      <c r="K705" s="4"/>
      <c r="M705" s="4"/>
      <c r="N705" s="4"/>
      <c r="O705" s="126"/>
      <c r="P705" s="126"/>
    </row>
    <row r="706" spans="1:18" ht="30.75" customHeight="1" thickBot="1" thickTop="1">
      <c r="A706" s="775" t="s">
        <v>25</v>
      </c>
      <c r="B706" s="777" t="s">
        <v>59</v>
      </c>
      <c r="C706" s="777"/>
      <c r="D706" s="778"/>
      <c r="E706" s="777"/>
      <c r="F706" s="777" t="s">
        <v>60</v>
      </c>
      <c r="G706" s="777"/>
      <c r="H706" s="777"/>
      <c r="I706" s="777" t="s">
        <v>61</v>
      </c>
      <c r="J706" s="777"/>
      <c r="K706" s="777"/>
      <c r="L706" s="777"/>
      <c r="M706" s="777"/>
      <c r="N706" s="777"/>
      <c r="O706" s="777"/>
      <c r="P706" s="777"/>
      <c r="Q706" s="777"/>
      <c r="R706" s="779"/>
    </row>
    <row r="707" spans="1:18" ht="15.75" thickBot="1">
      <c r="A707" s="776"/>
      <c r="B707" s="780" t="s">
        <v>63</v>
      </c>
      <c r="C707" s="771" t="s">
        <v>62</v>
      </c>
      <c r="D707" s="149" t="s">
        <v>64</v>
      </c>
      <c r="E707" s="781" t="s">
        <v>65</v>
      </c>
      <c r="F707" s="771" t="s">
        <v>66</v>
      </c>
      <c r="G707" s="138" t="s">
        <v>64</v>
      </c>
      <c r="H707" s="771" t="s">
        <v>65</v>
      </c>
      <c r="I707" s="771" t="s">
        <v>67</v>
      </c>
      <c r="J707" s="771"/>
      <c r="K707" s="771"/>
      <c r="L707" s="771" t="s">
        <v>68</v>
      </c>
      <c r="M707" s="771"/>
      <c r="N707" s="771"/>
      <c r="O707" s="771"/>
      <c r="P707" s="771" t="s">
        <v>25</v>
      </c>
      <c r="Q707" s="771"/>
      <c r="R707" s="772"/>
    </row>
    <row r="708" spans="1:21" ht="15.75" thickBot="1">
      <c r="A708" s="776"/>
      <c r="B708" s="780"/>
      <c r="C708" s="771"/>
      <c r="D708" s="150" t="s">
        <v>69</v>
      </c>
      <c r="E708" s="781"/>
      <c r="F708" s="771"/>
      <c r="G708" s="138" t="s">
        <v>69</v>
      </c>
      <c r="H708" s="771"/>
      <c r="I708" s="133" t="s">
        <v>70</v>
      </c>
      <c r="J708" s="133" t="s">
        <v>100</v>
      </c>
      <c r="K708" s="133" t="s">
        <v>96</v>
      </c>
      <c r="L708" s="133" t="s">
        <v>70</v>
      </c>
      <c r="M708" s="133" t="s">
        <v>100</v>
      </c>
      <c r="N708" s="133" t="s">
        <v>96</v>
      </c>
      <c r="O708" s="133" t="s">
        <v>93</v>
      </c>
      <c r="P708" s="133" t="s">
        <v>70</v>
      </c>
      <c r="Q708" s="133" t="s">
        <v>100</v>
      </c>
      <c r="R708" s="140" t="s">
        <v>96</v>
      </c>
      <c r="U708" s="134"/>
    </row>
    <row r="709" spans="1:21" ht="16.5" customHeight="1" thickBot="1">
      <c r="A709" s="773" t="s">
        <v>457</v>
      </c>
      <c r="B709" s="769" t="s">
        <v>126</v>
      </c>
      <c r="C709" s="769" t="s">
        <v>122</v>
      </c>
      <c r="D709" s="774">
        <v>18</v>
      </c>
      <c r="E709" s="769">
        <v>7</v>
      </c>
      <c r="F709" s="588" t="s">
        <v>205</v>
      </c>
      <c r="G709" s="137">
        <v>7</v>
      </c>
      <c r="H709" s="144">
        <v>3</v>
      </c>
      <c r="I709" s="145">
        <f>INDEX('دورة1 دورة2'!B10:BJ43,MATCH("dd",'دورة1 دورة2'!B10:B43,0),9)</f>
        <v>0</v>
      </c>
      <c r="J709" s="146">
        <f>IF(I709&lt;30,0,7)</f>
        <v>0</v>
      </c>
      <c r="K709" s="199" t="str">
        <f>INDEX('دورة1 دورة2'!B10:BJ43,MATCH("dd",'دورة1 دورة2'!B10:B43,0),11)</f>
        <v>د1</v>
      </c>
      <c r="L709" s="770">
        <f>(I709+I710+I711)/7</f>
        <v>0</v>
      </c>
      <c r="M709" s="763">
        <f>IF(L709&lt;10,J709+J710+J711,18)</f>
        <v>0</v>
      </c>
      <c r="N709" s="763" t="str">
        <f>INDEX('دورة1 دورة2'!B10:BJ43,MATCH("dd",'دورة1 دورة2'!B10:B43,0),20)</f>
        <v>د1</v>
      </c>
      <c r="O709" s="763">
        <f>LOOKUP("r",'دورة1 دورة2'!B:B,'دورة1 دورة2'!AG:AG)</f>
        <v>2018</v>
      </c>
      <c r="P709" s="765">
        <f>(I709+I710+I711+I712+I713+I714+I715)/14</f>
        <v>0</v>
      </c>
      <c r="Q709" s="766">
        <f>IF(P709&lt;10,M709+M712+M714+M715,30)</f>
        <v>0</v>
      </c>
      <c r="R709" s="767" t="str">
        <f>INDEX('دورة1 دورة2'!B10:BJ43,MATCH("dd",'دورة1 دورة2'!B10:B43,0),51)</f>
        <v>د1</v>
      </c>
      <c r="S709" s="764"/>
      <c r="U709" s="134"/>
    </row>
    <row r="710" spans="1:19" ht="16.5" customHeight="1" thickBot="1">
      <c r="A710" s="773"/>
      <c r="B710" s="769"/>
      <c r="C710" s="769"/>
      <c r="D710" s="769"/>
      <c r="E710" s="769"/>
      <c r="F710" s="589" t="s">
        <v>206</v>
      </c>
      <c r="G710" s="137">
        <v>6</v>
      </c>
      <c r="H710" s="144">
        <v>2</v>
      </c>
      <c r="I710" s="145">
        <f>INDEX('دورة1 دورة2'!B10:BJ43,MATCH("dd",'دورة1 دورة2'!B10:B43,0),12)</f>
        <v>0</v>
      </c>
      <c r="J710" s="146">
        <f>IF(I710&lt;20,0,6)</f>
        <v>0</v>
      </c>
      <c r="K710" s="199" t="str">
        <f>INDEX('دورة1 دورة2'!B10:BJ43,MATCH("dd",'دورة1 دورة2'!B10:B43,0),14)</f>
        <v>د1</v>
      </c>
      <c r="L710" s="770"/>
      <c r="M710" s="763"/>
      <c r="N710" s="763"/>
      <c r="O710" s="763"/>
      <c r="P710" s="765"/>
      <c r="Q710" s="766"/>
      <c r="R710" s="767"/>
      <c r="S710" s="764"/>
    </row>
    <row r="711" spans="1:19" ht="16.5" customHeight="1" thickBot="1">
      <c r="A711" s="773"/>
      <c r="B711" s="769"/>
      <c r="C711" s="769"/>
      <c r="D711" s="769"/>
      <c r="E711" s="769"/>
      <c r="F711" s="589" t="s">
        <v>207</v>
      </c>
      <c r="G711" s="137">
        <v>5</v>
      </c>
      <c r="H711" s="144">
        <v>2</v>
      </c>
      <c r="I711" s="145">
        <f>INDEX('دورة1 دورة2'!B10:BJ43,MATCH("dd",'دورة1 دورة2'!B10:B43,0),15)</f>
        <v>0</v>
      </c>
      <c r="J711" s="146">
        <f>IF(I711&lt;20,0,5)</f>
        <v>0</v>
      </c>
      <c r="K711" s="199" t="str">
        <f>INDEX('دورة1 دورة2'!B10:BJ43,MATCH("dd",'دورة1 دورة2'!B10:B43,0),17)</f>
        <v>د1</v>
      </c>
      <c r="L711" s="770"/>
      <c r="M711" s="763"/>
      <c r="N711" s="763"/>
      <c r="O711" s="763"/>
      <c r="P711" s="765"/>
      <c r="Q711" s="766"/>
      <c r="R711" s="767"/>
      <c r="S711" s="764"/>
    </row>
    <row r="712" spans="1:19" ht="16.5" customHeight="1" thickBot="1">
      <c r="A712" s="773"/>
      <c r="B712" s="769" t="s">
        <v>127</v>
      </c>
      <c r="C712" s="769" t="s">
        <v>123</v>
      </c>
      <c r="D712" s="769">
        <v>9</v>
      </c>
      <c r="E712" s="769">
        <v>4</v>
      </c>
      <c r="F712" s="590" t="s">
        <v>208</v>
      </c>
      <c r="G712" s="137">
        <v>5</v>
      </c>
      <c r="H712" s="144">
        <v>2</v>
      </c>
      <c r="I712" s="145">
        <f>INDEX('دورة1 دورة2'!B10:BJ43,MATCH("dd",'دورة1 دورة2'!B10:B43,0),23)</f>
        <v>0</v>
      </c>
      <c r="J712" s="146">
        <f>IF(I712&lt;20,0,5)</f>
        <v>0</v>
      </c>
      <c r="K712" s="199" t="str">
        <f>INDEX('دورة1 دورة2'!B10:BJ43,MATCH("dd",'دورة1 دورة2'!B10:B43,0),25)</f>
        <v>د1</v>
      </c>
      <c r="L712" s="770">
        <f>(I713+I712)/4</f>
        <v>0</v>
      </c>
      <c r="M712" s="763">
        <f>IF(L712&lt;10,J713+J712,9)</f>
        <v>0</v>
      </c>
      <c r="N712" s="763" t="str">
        <f>INDEX('دورة1 دورة2'!B10:BJ43,MATCH("dd",'دورة1 دورة2'!B10:B43,0),31)</f>
        <v>د1</v>
      </c>
      <c r="O712" s="763">
        <f>LOOKUP("r",'دورة1 دورة2'!B:B,'دورة1 دورة2'!AN:AN)</f>
        <v>2018</v>
      </c>
      <c r="P712" s="765"/>
      <c r="Q712" s="766"/>
      <c r="R712" s="767"/>
      <c r="S712" s="764"/>
    </row>
    <row r="713" spans="1:19" ht="16.5" customHeight="1" thickBot="1">
      <c r="A713" s="773"/>
      <c r="B713" s="769"/>
      <c r="C713" s="769"/>
      <c r="D713" s="769"/>
      <c r="E713" s="769"/>
      <c r="F713" s="589" t="s">
        <v>209</v>
      </c>
      <c r="G713" s="137">
        <v>4</v>
      </c>
      <c r="H713" s="144">
        <v>2</v>
      </c>
      <c r="I713" s="145">
        <f>INDEX('دورة1 دورة2'!B10:BJ43,MATCH("dd",'دورة1 دورة2'!B10:B43,0),26)</f>
        <v>0</v>
      </c>
      <c r="J713" s="146">
        <f>IF(I713&lt;20,0,4)</f>
        <v>0</v>
      </c>
      <c r="K713" s="199" t="str">
        <f>INDEX('دورة1 دورة2'!B10:BJ43,MATCH("dd",'دورة1 دورة2'!B10:B43,0),28)</f>
        <v>د1</v>
      </c>
      <c r="L713" s="770"/>
      <c r="M713" s="763"/>
      <c r="N713" s="763"/>
      <c r="O713" s="763"/>
      <c r="P713" s="765"/>
      <c r="Q713" s="766"/>
      <c r="R713" s="767"/>
      <c r="S713" s="764"/>
    </row>
    <row r="714" spans="1:19" ht="16.5" customHeight="1" thickBot="1">
      <c r="A714" s="773"/>
      <c r="B714" s="137" t="s">
        <v>128</v>
      </c>
      <c r="C714" s="137" t="s">
        <v>124</v>
      </c>
      <c r="D714" s="137">
        <v>2</v>
      </c>
      <c r="E714" s="137">
        <v>2</v>
      </c>
      <c r="F714" s="589" t="s">
        <v>211</v>
      </c>
      <c r="G714" s="137">
        <v>2</v>
      </c>
      <c r="H714" s="144">
        <v>2</v>
      </c>
      <c r="I714" s="145">
        <f>INDEX('دورة1 دورة2'!B10:BJ43,MATCH("dd",'دورة1 دورة2'!B10:B43,0),34)</f>
        <v>0</v>
      </c>
      <c r="J714" s="146">
        <f>IF(I714&lt;20,0,2)</f>
        <v>0</v>
      </c>
      <c r="K714" s="199" t="str">
        <f>INDEX('دورة1 دورة2'!B10:BJ43,MATCH("dd",'دورة1 دورة2'!B10:B43,0),36)</f>
        <v>د1</v>
      </c>
      <c r="L714" s="147">
        <f>I714/2</f>
        <v>0</v>
      </c>
      <c r="M714" s="148">
        <f>J714</f>
        <v>0</v>
      </c>
      <c r="N714" s="199" t="str">
        <f>INDEX('دورة1 دورة2'!B10:BJ43,MATCH("dd",'دورة1 دورة2'!B10:B43,0),36)</f>
        <v>د1</v>
      </c>
      <c r="O714" s="146">
        <f>LOOKUP("r",'دورة1 دورة2'!B:B,'دورة1 دورة2'!AU:AU)</f>
        <v>2018</v>
      </c>
      <c r="P714" s="765"/>
      <c r="Q714" s="766"/>
      <c r="R714" s="767"/>
      <c r="S714" s="131"/>
    </row>
    <row r="715" spans="1:19" ht="16.5" customHeight="1" thickBot="1">
      <c r="A715" s="773"/>
      <c r="B715" s="137" t="s">
        <v>129</v>
      </c>
      <c r="C715" s="137" t="s">
        <v>125</v>
      </c>
      <c r="D715" s="137">
        <v>1</v>
      </c>
      <c r="E715" s="137">
        <v>1</v>
      </c>
      <c r="F715" s="591" t="s">
        <v>191</v>
      </c>
      <c r="G715" s="137">
        <v>1</v>
      </c>
      <c r="H715" s="144">
        <v>1</v>
      </c>
      <c r="I715" s="145">
        <f>INDEX('دورة1 دورة2'!B10:BJ43,MATCH("dd",'دورة1 دورة2'!B10:B43,0),41)</f>
        <v>0</v>
      </c>
      <c r="J715" s="146">
        <f>IF(I715&lt;10,0,1)</f>
        <v>0</v>
      </c>
      <c r="K715" s="199" t="str">
        <f>INDEX('دورة1 دورة2'!B10:BJ43,MATCH("dd",'دورة1 دورة2'!B10:B43,0),43)</f>
        <v>د1</v>
      </c>
      <c r="L715" s="147">
        <f>I715</f>
        <v>0</v>
      </c>
      <c r="M715" s="148">
        <f>J715</f>
        <v>0</v>
      </c>
      <c r="N715" s="199" t="str">
        <f>INDEX('دورة1 دورة2'!B10:BJ43,MATCH("dd",'دورة1 دورة2'!B10:B43,0),43)</f>
        <v>د1</v>
      </c>
      <c r="O715" s="146">
        <f>LOOKUP("r",'دورة1 دورة2'!B:B,'دورة1 دورة2'!AU:AU)</f>
        <v>2018</v>
      </c>
      <c r="P715" s="765"/>
      <c r="Q715" s="766"/>
      <c r="R715" s="768"/>
      <c r="S715" s="131"/>
    </row>
    <row r="716" spans="1:19" ht="89.25" customHeight="1" thickBot="1">
      <c r="A716" s="342" t="s">
        <v>458</v>
      </c>
      <c r="B716" s="137" t="s">
        <v>126</v>
      </c>
      <c r="C716" s="137" t="s">
        <v>122</v>
      </c>
      <c r="D716" s="137">
        <v>18</v>
      </c>
      <c r="E716" s="137">
        <v>7</v>
      </c>
      <c r="F716" s="592" t="s">
        <v>213</v>
      </c>
      <c r="G716" s="137">
        <v>7</v>
      </c>
      <c r="H716" s="144">
        <v>2</v>
      </c>
      <c r="I716" s="145">
        <f>INDEX('دورة1 دورة2'!B10:BJ43,MATCH("dd",'دورة1 دورة2'!B10:B43,0),54)</f>
        <v>0</v>
      </c>
      <c r="J716" s="146">
        <f>IF(I716&lt;300,0,30)</f>
        <v>0</v>
      </c>
      <c r="K716" s="199" t="str">
        <f>INDEX('دورة1 دورة2'!B10:BJ43,MATCH("dd",'دورة1 دورة2'!B10:B43,0),56)</f>
        <v>د1</v>
      </c>
      <c r="L716" s="147">
        <f>(I716)/30</f>
        <v>0</v>
      </c>
      <c r="M716" s="148">
        <f>IF(L716&lt;10,J716,30)</f>
        <v>0</v>
      </c>
      <c r="N716" s="148" t="str">
        <f>INDEX('دورة1 دورة2'!B10:BJ43,MATCH("dd",'دورة1 دورة2'!B10:B43,0),56)</f>
        <v>د1</v>
      </c>
      <c r="O716" s="148" t="e">
        <f>LOOKUP("r",'دورة1 دورة2'!B:B,'دورة1 دورة2'!#REF!)</f>
        <v>#REF!</v>
      </c>
      <c r="P716" s="341">
        <f>(I716)/30</f>
        <v>0</v>
      </c>
      <c r="Q716" s="146">
        <f>IF(P716&lt;10,M716,30)</f>
        <v>0</v>
      </c>
      <c r="R716" s="343" t="str">
        <f>INDEX('دورة1 دورة2'!B10:BJ43,MATCH("dd",'دورة1 دورة2'!B10:B43,0),60)</f>
        <v>د1</v>
      </c>
      <c r="S716" s="131"/>
    </row>
    <row r="717" spans="1:18" ht="17.25" customHeight="1" thickBot="1">
      <c r="A717" s="62" t="s">
        <v>150</v>
      </c>
      <c r="B717" s="135">
        <f>(P709+P716)/2</f>
        <v>0</v>
      </c>
      <c r="C717" s="759" t="s">
        <v>461</v>
      </c>
      <c r="D717" s="760"/>
      <c r="E717" s="760"/>
      <c r="F717" s="761"/>
      <c r="G717" s="136">
        <f>Q709+Q716</f>
        <v>0</v>
      </c>
      <c r="H717" s="6"/>
      <c r="I717" s="6"/>
      <c r="J717" s="134" t="s">
        <v>72</v>
      </c>
      <c r="K717" s="202"/>
      <c r="L717" s="6"/>
      <c r="M717" s="6"/>
      <c r="N717" s="6"/>
      <c r="O717" s="6"/>
      <c r="P717" s="583">
        <v>120</v>
      </c>
      <c r="Q717" s="130"/>
      <c r="R717" s="130"/>
    </row>
    <row r="718" spans="1:18" ht="16.5" customHeight="1" thickBot="1">
      <c r="A718" s="62" t="s">
        <v>121</v>
      </c>
      <c r="B718" s="75" t="str">
        <f>IF(B717&lt;10,"راسب(ة)","ناجح(ة)")</f>
        <v>راسب(ة)</v>
      </c>
      <c r="G718" s="129"/>
      <c r="I718" s="80"/>
      <c r="J718" s="134" t="s">
        <v>73</v>
      </c>
      <c r="K718" s="6"/>
      <c r="L718" s="6"/>
      <c r="M718" s="6"/>
      <c r="N718" s="6"/>
      <c r="O718" s="6"/>
      <c r="P718" s="133">
        <v>120</v>
      </c>
      <c r="Q718" s="5"/>
      <c r="R718" s="5"/>
    </row>
    <row r="719" spans="1:7" ht="16.5" customHeight="1">
      <c r="A719" s="62" t="s">
        <v>120</v>
      </c>
      <c r="B719" s="77">
        <f ca="1">TODAY()</f>
        <v>43188</v>
      </c>
      <c r="G719" s="129"/>
    </row>
    <row r="720" spans="1:14" ht="16.5" customHeight="1">
      <c r="A720" s="62" t="s">
        <v>74</v>
      </c>
      <c r="B720" s="8" t="s">
        <v>119</v>
      </c>
      <c r="L720" s="762" t="s">
        <v>29</v>
      </c>
      <c r="M720" s="762"/>
      <c r="N720" s="75"/>
    </row>
    <row r="721" spans="1:17" ht="20.25">
      <c r="A721" s="187" t="s">
        <v>45</v>
      </c>
      <c r="B721" s="188"/>
      <c r="C721" s="188"/>
      <c r="D721" s="188"/>
      <c r="E721" s="188"/>
      <c r="F721" s="188"/>
      <c r="G721" s="188"/>
      <c r="H721" s="189"/>
      <c r="I721" s="189"/>
      <c r="J721" s="189"/>
      <c r="K721" s="189"/>
      <c r="L721" s="189"/>
      <c r="M721" s="78" t="s">
        <v>46</v>
      </c>
      <c r="N721" s="189"/>
      <c r="O721" s="78"/>
      <c r="P721" s="189"/>
      <c r="Q721" s="189"/>
    </row>
    <row r="722" spans="6:10" ht="15" customHeight="1">
      <c r="F722" s="191" t="s">
        <v>47</v>
      </c>
      <c r="G722" s="10" t="s">
        <v>19</v>
      </c>
      <c r="H722" s="10"/>
      <c r="I722" s="10"/>
      <c r="J722" s="10"/>
    </row>
    <row r="723" spans="6:10" ht="15" customHeight="1">
      <c r="F723" s="191" t="s">
        <v>48</v>
      </c>
      <c r="G723" s="10" t="s">
        <v>49</v>
      </c>
      <c r="H723" s="10"/>
      <c r="I723" s="10"/>
      <c r="J723" s="10"/>
    </row>
    <row r="724" spans="6:10" ht="15" customHeight="1">
      <c r="F724" s="191" t="s">
        <v>50</v>
      </c>
      <c r="G724" s="10" t="s">
        <v>51</v>
      </c>
      <c r="H724" s="10"/>
      <c r="I724" s="10"/>
      <c r="J724" s="10"/>
    </row>
    <row r="725" spans="4:11" ht="21" customHeight="1">
      <c r="D725" s="782" t="s">
        <v>99</v>
      </c>
      <c r="E725" s="782"/>
      <c r="F725" s="782"/>
      <c r="G725" s="782"/>
      <c r="H725" s="782"/>
      <c r="I725" s="782"/>
      <c r="J725" s="782"/>
      <c r="K725" s="782"/>
    </row>
    <row r="726" spans="1:18" ht="18">
      <c r="A726" s="2" t="s">
        <v>148</v>
      </c>
      <c r="B726" s="196" t="str">
        <f>B6</f>
        <v>2017/2018</v>
      </c>
      <c r="C726" s="62"/>
      <c r="E726" s="61"/>
      <c r="F726" s="62"/>
      <c r="G726" s="157"/>
      <c r="H726" s="62"/>
      <c r="I726" s="61"/>
      <c r="J726" s="61"/>
      <c r="K726" s="61"/>
      <c r="L726" s="151"/>
      <c r="M726" s="151"/>
      <c r="N726" s="151"/>
      <c r="O726" s="151"/>
      <c r="P726" s="61"/>
      <c r="Q726" s="61"/>
      <c r="R726" s="61"/>
    </row>
    <row r="727" spans="1:18" ht="15.75" customHeight="1">
      <c r="A727" s="62" t="s">
        <v>147</v>
      </c>
      <c r="B727" s="190" t="str">
        <f>INDEX('دورة1 دورة2'!B10:BJ43,MATCH("ee",'دورة1 دورة2'!B10:B43,0),3)</f>
        <v> </v>
      </c>
      <c r="C727" s="158" t="s">
        <v>146</v>
      </c>
      <c r="D727" s="186" t="str">
        <f>INDEX('دورة1 دورة2'!B10:BJ43,MATCH("ee",'دورة1 دورة2'!B10:B43,0),4)</f>
        <v> </v>
      </c>
      <c r="E727" s="62"/>
      <c r="F727" s="158" t="s">
        <v>52</v>
      </c>
      <c r="G727" s="783">
        <f>INDEX('دورة1 دورة2'!B10:BJ43,MATCH("ee",'دورة1 دورة2'!B10:B43,0),6)</f>
        <v>0</v>
      </c>
      <c r="H727" s="783"/>
      <c r="I727" s="783"/>
      <c r="J727" s="61"/>
      <c r="K727" s="132" t="s">
        <v>53</v>
      </c>
      <c r="L727" s="784">
        <f>INDEX('دورة1 دورة2'!B10:BJ43,MATCH("ee",'دورة1 دورة2'!B10:B43,0),7)</f>
        <v>0</v>
      </c>
      <c r="M727" s="784"/>
      <c r="O727" s="186"/>
      <c r="P727" s="8" t="s">
        <v>54</v>
      </c>
      <c r="Q727" s="784">
        <f>INDEX('دورة1 دورة2'!B10:BJ43,MATCH("ee",'دورة1 دورة2'!B10:B43,0),8)</f>
        <v>0</v>
      </c>
      <c r="R727" s="784"/>
    </row>
    <row r="728" spans="1:18" ht="15" customHeight="1">
      <c r="A728" s="2" t="s">
        <v>149</v>
      </c>
      <c r="B728" s="190">
        <f>INDEX('دورة1 دورة2'!B10:BJ43,MATCH("ee",'دورة1 دورة2'!B10:B43,0),5)</f>
        <v>0</v>
      </c>
      <c r="C728" s="166"/>
      <c r="D728" s="9" t="s">
        <v>55</v>
      </c>
      <c r="E728" s="11" t="s">
        <v>56</v>
      </c>
      <c r="F728" s="11"/>
      <c r="G728" s="156"/>
      <c r="H728" s="11"/>
      <c r="I728" s="9"/>
      <c r="J728" s="9" t="s">
        <v>57</v>
      </c>
      <c r="K728" s="9"/>
      <c r="L728" s="11"/>
      <c r="N728" s="4" t="s">
        <v>98</v>
      </c>
      <c r="O728" s="2" t="s">
        <v>98</v>
      </c>
      <c r="P728" s="10" t="s">
        <v>97</v>
      </c>
      <c r="R728" s="61"/>
    </row>
    <row r="729" spans="1:16" ht="15.75" thickBot="1">
      <c r="A729" s="3" t="s">
        <v>58</v>
      </c>
      <c r="B729" s="139" t="s">
        <v>200</v>
      </c>
      <c r="C729" s="139"/>
      <c r="G729" s="129"/>
      <c r="J729" s="4"/>
      <c r="K729" s="4"/>
      <c r="M729" s="4"/>
      <c r="N729" s="4"/>
      <c r="O729" s="126"/>
      <c r="P729" s="126"/>
    </row>
    <row r="730" spans="1:18" ht="30" customHeight="1" thickBot="1" thickTop="1">
      <c r="A730" s="775" t="s">
        <v>25</v>
      </c>
      <c r="B730" s="777" t="s">
        <v>59</v>
      </c>
      <c r="C730" s="777"/>
      <c r="D730" s="778"/>
      <c r="E730" s="777"/>
      <c r="F730" s="777" t="s">
        <v>60</v>
      </c>
      <c r="G730" s="777"/>
      <c r="H730" s="777"/>
      <c r="I730" s="777" t="s">
        <v>61</v>
      </c>
      <c r="J730" s="777"/>
      <c r="K730" s="777"/>
      <c r="L730" s="777"/>
      <c r="M730" s="777"/>
      <c r="N730" s="777"/>
      <c r="O730" s="777"/>
      <c r="P730" s="777"/>
      <c r="Q730" s="777"/>
      <c r="R730" s="779"/>
    </row>
    <row r="731" spans="1:18" ht="15.75" thickBot="1">
      <c r="A731" s="776"/>
      <c r="B731" s="780" t="s">
        <v>63</v>
      </c>
      <c r="C731" s="771" t="s">
        <v>62</v>
      </c>
      <c r="D731" s="149" t="s">
        <v>64</v>
      </c>
      <c r="E731" s="781" t="s">
        <v>65</v>
      </c>
      <c r="F731" s="771" t="s">
        <v>66</v>
      </c>
      <c r="G731" s="138" t="s">
        <v>64</v>
      </c>
      <c r="H731" s="771" t="s">
        <v>65</v>
      </c>
      <c r="I731" s="771" t="s">
        <v>67</v>
      </c>
      <c r="J731" s="771"/>
      <c r="K731" s="771"/>
      <c r="L731" s="771" t="s">
        <v>68</v>
      </c>
      <c r="M731" s="771"/>
      <c r="N731" s="771"/>
      <c r="O731" s="771"/>
      <c r="P731" s="771" t="s">
        <v>25</v>
      </c>
      <c r="Q731" s="771"/>
      <c r="R731" s="772"/>
    </row>
    <row r="732" spans="1:21" ht="15.75" thickBot="1">
      <c r="A732" s="776"/>
      <c r="B732" s="780"/>
      <c r="C732" s="771"/>
      <c r="D732" s="150" t="s">
        <v>69</v>
      </c>
      <c r="E732" s="781"/>
      <c r="F732" s="771"/>
      <c r="G732" s="138" t="s">
        <v>69</v>
      </c>
      <c r="H732" s="771"/>
      <c r="I732" s="133" t="s">
        <v>70</v>
      </c>
      <c r="J732" s="133" t="s">
        <v>100</v>
      </c>
      <c r="K732" s="133" t="s">
        <v>96</v>
      </c>
      <c r="L732" s="133" t="s">
        <v>70</v>
      </c>
      <c r="M732" s="133" t="s">
        <v>100</v>
      </c>
      <c r="N732" s="133" t="s">
        <v>96</v>
      </c>
      <c r="O732" s="133" t="s">
        <v>93</v>
      </c>
      <c r="P732" s="133" t="s">
        <v>70</v>
      </c>
      <c r="Q732" s="133" t="s">
        <v>100</v>
      </c>
      <c r="R732" s="140" t="s">
        <v>96</v>
      </c>
      <c r="U732" s="134"/>
    </row>
    <row r="733" spans="1:21" ht="16.5" customHeight="1" thickBot="1">
      <c r="A733" s="773" t="s">
        <v>457</v>
      </c>
      <c r="B733" s="769" t="s">
        <v>126</v>
      </c>
      <c r="C733" s="769" t="s">
        <v>122</v>
      </c>
      <c r="D733" s="774">
        <v>18</v>
      </c>
      <c r="E733" s="769">
        <v>7</v>
      </c>
      <c r="F733" s="588" t="s">
        <v>205</v>
      </c>
      <c r="G733" s="137">
        <v>7</v>
      </c>
      <c r="H733" s="144">
        <v>3</v>
      </c>
      <c r="I733" s="145">
        <f>INDEX('دورة1 دورة2'!B10:BJ43,MATCH("ee",'دورة1 دورة2'!B10:B43,0),9)</f>
        <v>0</v>
      </c>
      <c r="J733" s="146">
        <f>IF(I733&lt;30,0,7)</f>
        <v>0</v>
      </c>
      <c r="K733" s="199" t="str">
        <f>INDEX('دورة1 دورة2'!B10:BJ43,MATCH("ee",'دورة1 دورة2'!B10:B43,0),11)</f>
        <v>د1</v>
      </c>
      <c r="L733" s="770">
        <f>(I733+I734+I735)/7</f>
        <v>0</v>
      </c>
      <c r="M733" s="763">
        <f>IF(L733&lt;10,J733+J734+J735,18)</f>
        <v>0</v>
      </c>
      <c r="N733" s="763" t="str">
        <f>INDEX('دورة1 دورة2'!B10:BJ43,MATCH("ee",'دورة1 دورة2'!B10:B43,0),20)</f>
        <v>د1</v>
      </c>
      <c r="O733" s="763">
        <f>LOOKUP("r",'دورة1 دورة2'!B:B,'دورة1 دورة2'!AG:AG)</f>
        <v>2018</v>
      </c>
      <c r="P733" s="765">
        <f>(I733+I734+I735+I736+I737+I738+I739)/14</f>
        <v>0</v>
      </c>
      <c r="Q733" s="766">
        <f>IF(P733&lt;10,M733+M736+M738+M739,30)</f>
        <v>0</v>
      </c>
      <c r="R733" s="767" t="str">
        <f>INDEX('دورة1 دورة2'!B10:BJ43,MATCH("ee",'دورة1 دورة2'!B10:B43,0),51)</f>
        <v>د1</v>
      </c>
      <c r="S733" s="764"/>
      <c r="U733" s="134"/>
    </row>
    <row r="734" spans="1:19" ht="16.5" customHeight="1" thickBot="1">
      <c r="A734" s="773"/>
      <c r="B734" s="769"/>
      <c r="C734" s="769"/>
      <c r="D734" s="769"/>
      <c r="E734" s="769"/>
      <c r="F734" s="589" t="s">
        <v>206</v>
      </c>
      <c r="G734" s="137">
        <v>6</v>
      </c>
      <c r="H734" s="144">
        <v>2</v>
      </c>
      <c r="I734" s="145">
        <f>INDEX('دورة1 دورة2'!B10:BJ43,MATCH("ee",'دورة1 دورة2'!B10:B43,0),12)</f>
        <v>0</v>
      </c>
      <c r="J734" s="146">
        <f>IF(I734&lt;20,0,6)</f>
        <v>0</v>
      </c>
      <c r="K734" s="199" t="str">
        <f>INDEX('دورة1 دورة2'!B10:BJ43,MATCH("ee",'دورة1 دورة2'!B10:B43,0),14)</f>
        <v>د1</v>
      </c>
      <c r="L734" s="770"/>
      <c r="M734" s="763"/>
      <c r="N734" s="763"/>
      <c r="O734" s="763"/>
      <c r="P734" s="765"/>
      <c r="Q734" s="766"/>
      <c r="R734" s="767"/>
      <c r="S734" s="764"/>
    </row>
    <row r="735" spans="1:19" ht="16.5" customHeight="1" thickBot="1">
      <c r="A735" s="773"/>
      <c r="B735" s="769"/>
      <c r="C735" s="769"/>
      <c r="D735" s="769"/>
      <c r="E735" s="769"/>
      <c r="F735" s="589" t="s">
        <v>207</v>
      </c>
      <c r="G735" s="137">
        <v>5</v>
      </c>
      <c r="H735" s="144">
        <v>2</v>
      </c>
      <c r="I735" s="145">
        <f>INDEX('دورة1 دورة2'!B10:BJ43,MATCH("ee",'دورة1 دورة2'!B10:B43,0),15)</f>
        <v>0</v>
      </c>
      <c r="J735" s="146">
        <f>IF(I735&lt;20,0,5)</f>
        <v>0</v>
      </c>
      <c r="K735" s="199" t="str">
        <f>INDEX('دورة1 دورة2'!B10:BJ43,MATCH("ee",'دورة1 دورة2'!B10:B43,0),17)</f>
        <v>د1</v>
      </c>
      <c r="L735" s="770"/>
      <c r="M735" s="763"/>
      <c r="N735" s="763"/>
      <c r="O735" s="763"/>
      <c r="P735" s="765"/>
      <c r="Q735" s="766"/>
      <c r="R735" s="767"/>
      <c r="S735" s="764"/>
    </row>
    <row r="736" spans="1:19" ht="16.5" customHeight="1" thickBot="1">
      <c r="A736" s="773"/>
      <c r="B736" s="769" t="s">
        <v>127</v>
      </c>
      <c r="C736" s="769" t="s">
        <v>123</v>
      </c>
      <c r="D736" s="769">
        <v>9</v>
      </c>
      <c r="E736" s="769">
        <v>4</v>
      </c>
      <c r="F736" s="590" t="s">
        <v>208</v>
      </c>
      <c r="G736" s="137">
        <v>5</v>
      </c>
      <c r="H736" s="144">
        <v>2</v>
      </c>
      <c r="I736" s="145">
        <f>INDEX('دورة1 دورة2'!B10:BJ43,MATCH("ee",'دورة1 دورة2'!B10:B43,0),23)</f>
        <v>0</v>
      </c>
      <c r="J736" s="146">
        <f>IF(I736&lt;20,0,5)</f>
        <v>0</v>
      </c>
      <c r="K736" s="199" t="str">
        <f>INDEX('دورة1 دورة2'!B10:BJ43,MATCH("ee",'دورة1 دورة2'!B10:B43,0),25)</f>
        <v>د1</v>
      </c>
      <c r="L736" s="770">
        <f>(I737+I736)/4</f>
        <v>0</v>
      </c>
      <c r="M736" s="763">
        <f>IF(L736&lt;10,J737+J736,9)</f>
        <v>0</v>
      </c>
      <c r="N736" s="763" t="str">
        <f>INDEX('دورة1 دورة2'!B10:BJ43,MATCH("ee",'دورة1 دورة2'!B10:B43,0),31)</f>
        <v>د1</v>
      </c>
      <c r="O736" s="763">
        <f>LOOKUP("r",'دورة1 دورة2'!B:B,'دورة1 دورة2'!AN:AN)</f>
        <v>2018</v>
      </c>
      <c r="P736" s="765"/>
      <c r="Q736" s="766"/>
      <c r="R736" s="767"/>
      <c r="S736" s="764"/>
    </row>
    <row r="737" spans="1:19" ht="16.5" customHeight="1" thickBot="1">
      <c r="A737" s="773"/>
      <c r="B737" s="769"/>
      <c r="C737" s="769"/>
      <c r="D737" s="769"/>
      <c r="E737" s="769"/>
      <c r="F737" s="589" t="s">
        <v>209</v>
      </c>
      <c r="G737" s="137">
        <v>4</v>
      </c>
      <c r="H737" s="144">
        <v>2</v>
      </c>
      <c r="I737" s="145">
        <f>INDEX('دورة1 دورة2'!B10:BJ43,MATCH("ee",'دورة1 دورة2'!B10:B43,0),26)</f>
        <v>0</v>
      </c>
      <c r="J737" s="146">
        <f>IF(I737&lt;20,0,4)</f>
        <v>0</v>
      </c>
      <c r="K737" s="199" t="str">
        <f>INDEX('دورة1 دورة2'!B10:BJ43,MATCH("ee",'دورة1 دورة2'!B10:B43,0),28)</f>
        <v>د1</v>
      </c>
      <c r="L737" s="770"/>
      <c r="M737" s="763"/>
      <c r="N737" s="763"/>
      <c r="O737" s="763"/>
      <c r="P737" s="765"/>
      <c r="Q737" s="766"/>
      <c r="R737" s="767"/>
      <c r="S737" s="764"/>
    </row>
    <row r="738" spans="1:19" ht="16.5" customHeight="1" thickBot="1">
      <c r="A738" s="773"/>
      <c r="B738" s="137" t="s">
        <v>128</v>
      </c>
      <c r="C738" s="137" t="s">
        <v>124</v>
      </c>
      <c r="D738" s="137">
        <v>2</v>
      </c>
      <c r="E738" s="137">
        <v>2</v>
      </c>
      <c r="F738" s="589" t="s">
        <v>211</v>
      </c>
      <c r="G738" s="137">
        <v>2</v>
      </c>
      <c r="H738" s="144">
        <v>2</v>
      </c>
      <c r="I738" s="145">
        <f>INDEX('دورة1 دورة2'!B10:BJ43,MATCH("ee",'دورة1 دورة2'!B10:B43,0),34)</f>
        <v>0</v>
      </c>
      <c r="J738" s="146">
        <f>IF(I738&lt;20,0,2)</f>
        <v>0</v>
      </c>
      <c r="K738" s="199" t="str">
        <f>INDEX('دورة1 دورة2'!B10:BJ43,MATCH("ee",'دورة1 دورة2'!B10:B43,0),36)</f>
        <v>د1</v>
      </c>
      <c r="L738" s="147">
        <f>I738/2</f>
        <v>0</v>
      </c>
      <c r="M738" s="148">
        <f>J738</f>
        <v>0</v>
      </c>
      <c r="N738" s="199" t="str">
        <f>INDEX('دورة1 دورة2'!B10:BJ43,MATCH("ee",'دورة1 دورة2'!B10:B43,0),36)</f>
        <v>د1</v>
      </c>
      <c r="O738" s="146">
        <f>LOOKUP("r",'دورة1 دورة2'!B:B,'دورة1 دورة2'!AU:AU)</f>
        <v>2018</v>
      </c>
      <c r="P738" s="765"/>
      <c r="Q738" s="766"/>
      <c r="R738" s="767"/>
      <c r="S738" s="131"/>
    </row>
    <row r="739" spans="1:19" ht="16.5" customHeight="1" thickBot="1">
      <c r="A739" s="773"/>
      <c r="B739" s="137" t="s">
        <v>129</v>
      </c>
      <c r="C739" s="137" t="s">
        <v>125</v>
      </c>
      <c r="D739" s="137">
        <v>1</v>
      </c>
      <c r="E739" s="137">
        <v>1</v>
      </c>
      <c r="F739" s="591" t="s">
        <v>191</v>
      </c>
      <c r="G739" s="137">
        <v>1</v>
      </c>
      <c r="H739" s="144">
        <v>1</v>
      </c>
      <c r="I739" s="145">
        <f>INDEX('دورة1 دورة2'!B10:BJ43,MATCH("ee",'دورة1 دورة2'!B10:B43,0),41)</f>
        <v>0</v>
      </c>
      <c r="J739" s="146">
        <f>IF(I739&lt;10,0,1)</f>
        <v>0</v>
      </c>
      <c r="K739" s="199" t="str">
        <f>INDEX('دورة1 دورة2'!B10:BJ43,MATCH("ee",'دورة1 دورة2'!B10:B43,0),43)</f>
        <v>د1</v>
      </c>
      <c r="L739" s="147">
        <f>I739</f>
        <v>0</v>
      </c>
      <c r="M739" s="148">
        <f>J739</f>
        <v>0</v>
      </c>
      <c r="N739" s="199" t="str">
        <f>INDEX('دورة1 دورة2'!B10:BJ43,MATCH("ee",'دورة1 دورة2'!B10:B43,0),43)</f>
        <v>د1</v>
      </c>
      <c r="O739" s="146">
        <f>LOOKUP("r",'دورة1 دورة2'!B:B,'دورة1 دورة2'!AU:AU)</f>
        <v>2018</v>
      </c>
      <c r="P739" s="765"/>
      <c r="Q739" s="766"/>
      <c r="R739" s="768"/>
      <c r="S739" s="131"/>
    </row>
    <row r="740" spans="1:19" ht="97.5" customHeight="1" thickBot="1">
      <c r="A740" s="342" t="s">
        <v>458</v>
      </c>
      <c r="B740" s="137" t="s">
        <v>126</v>
      </c>
      <c r="C740" s="137" t="s">
        <v>122</v>
      </c>
      <c r="D740" s="137">
        <v>18</v>
      </c>
      <c r="E740" s="137">
        <v>7</v>
      </c>
      <c r="F740" s="592" t="s">
        <v>213</v>
      </c>
      <c r="G740" s="137">
        <v>7</v>
      </c>
      <c r="H740" s="144">
        <v>2</v>
      </c>
      <c r="I740" s="145">
        <f>INDEX('دورة1 دورة2'!B10:BJ43,MATCH("ee",'دورة1 دورة2'!B10:B43,0),54)</f>
        <v>0</v>
      </c>
      <c r="J740" s="146">
        <f>IF(I740&lt;300,0,30)</f>
        <v>0</v>
      </c>
      <c r="K740" s="199" t="str">
        <f>INDEX('دورة1 دورة2'!B10:BJ43,MATCH("ee",'دورة1 دورة2'!B10:B43,0),56)</f>
        <v>د1</v>
      </c>
      <c r="L740" s="147">
        <f>(I740)/30</f>
        <v>0</v>
      </c>
      <c r="M740" s="148">
        <f>IF(L740&lt;10,J740,30)</f>
        <v>0</v>
      </c>
      <c r="N740" s="148" t="str">
        <f>INDEX('دورة1 دورة2'!B10:BJ43,MATCH("ee",'دورة1 دورة2'!B10:B43,0),56)</f>
        <v>د1</v>
      </c>
      <c r="O740" s="148" t="e">
        <f>LOOKUP("r",'دورة1 دورة2'!B:B,'دورة1 دورة2'!#REF!)</f>
        <v>#REF!</v>
      </c>
      <c r="P740" s="341">
        <f>(I740)/30</f>
        <v>0</v>
      </c>
      <c r="Q740" s="146">
        <f>IF(P740&lt;10,M740,30)</f>
        <v>0</v>
      </c>
      <c r="R740" s="343" t="str">
        <f>INDEX('دورة1 دورة2'!B10:BJ43,MATCH("ee",'دورة1 دورة2'!B10:B43,0),60)</f>
        <v>د1</v>
      </c>
      <c r="S740" s="131"/>
    </row>
    <row r="741" spans="1:18" ht="17.25" customHeight="1" thickBot="1">
      <c r="A741" s="62" t="s">
        <v>150</v>
      </c>
      <c r="B741" s="135">
        <f>(P733+P740)/2</f>
        <v>0</v>
      </c>
      <c r="C741" s="759" t="s">
        <v>461</v>
      </c>
      <c r="D741" s="760"/>
      <c r="E741" s="760"/>
      <c r="F741" s="761"/>
      <c r="G741" s="136">
        <f>Q733+Q740</f>
        <v>0</v>
      </c>
      <c r="H741" s="6"/>
      <c r="I741" s="6"/>
      <c r="J741" s="134" t="s">
        <v>72</v>
      </c>
      <c r="K741" s="202"/>
      <c r="L741" s="6"/>
      <c r="M741" s="6"/>
      <c r="N741" s="6"/>
      <c r="O741" s="6"/>
      <c r="P741" s="583">
        <v>120</v>
      </c>
      <c r="Q741" s="130"/>
      <c r="R741" s="130"/>
    </row>
    <row r="742" spans="1:18" ht="16.5" customHeight="1" thickBot="1">
      <c r="A742" s="62" t="s">
        <v>121</v>
      </c>
      <c r="B742" s="75" t="str">
        <f>IF(B741&lt;10,"راسب(ة)","ناجح(ة)")</f>
        <v>راسب(ة)</v>
      </c>
      <c r="G742" s="129"/>
      <c r="I742" s="80"/>
      <c r="J742" s="134" t="s">
        <v>73</v>
      </c>
      <c r="K742" s="6"/>
      <c r="L742" s="6"/>
      <c r="M742" s="6"/>
      <c r="N742" s="6"/>
      <c r="O742" s="6"/>
      <c r="P742" s="133">
        <v>120</v>
      </c>
      <c r="Q742" s="5"/>
      <c r="R742" s="5"/>
    </row>
    <row r="743" spans="1:7" ht="16.5" customHeight="1">
      <c r="A743" s="62" t="s">
        <v>120</v>
      </c>
      <c r="B743" s="77">
        <f ca="1">TODAY()</f>
        <v>43188</v>
      </c>
      <c r="G743" s="129"/>
    </row>
    <row r="744" spans="1:14" ht="16.5" customHeight="1">
      <c r="A744" s="62" t="s">
        <v>74</v>
      </c>
      <c r="B744" s="8" t="s">
        <v>119</v>
      </c>
      <c r="L744" s="762" t="s">
        <v>29</v>
      </c>
      <c r="M744" s="762"/>
      <c r="N744" s="75"/>
    </row>
    <row r="745" spans="1:17" ht="20.25">
      <c r="A745" s="187" t="s">
        <v>45</v>
      </c>
      <c r="B745" s="188"/>
      <c r="C745" s="188"/>
      <c r="D745" s="188"/>
      <c r="E745" s="188"/>
      <c r="F745" s="188"/>
      <c r="G745" s="188"/>
      <c r="H745" s="189"/>
      <c r="I745" s="189"/>
      <c r="J745" s="189"/>
      <c r="K745" s="189"/>
      <c r="L745" s="189"/>
      <c r="M745" s="78" t="s">
        <v>46</v>
      </c>
      <c r="N745" s="189"/>
      <c r="O745" s="78"/>
      <c r="P745" s="189"/>
      <c r="Q745" s="189"/>
    </row>
    <row r="746" spans="6:10" ht="15" customHeight="1">
      <c r="F746" s="191" t="s">
        <v>47</v>
      </c>
      <c r="G746" s="10" t="s">
        <v>19</v>
      </c>
      <c r="H746" s="10"/>
      <c r="I746" s="10"/>
      <c r="J746" s="10"/>
    </row>
    <row r="747" spans="6:10" ht="15" customHeight="1">
      <c r="F747" s="191" t="s">
        <v>48</v>
      </c>
      <c r="G747" s="10" t="s">
        <v>49</v>
      </c>
      <c r="H747" s="10"/>
      <c r="I747" s="10"/>
      <c r="J747" s="10"/>
    </row>
    <row r="748" spans="6:10" ht="15" customHeight="1">
      <c r="F748" s="191" t="s">
        <v>50</v>
      </c>
      <c r="G748" s="10" t="s">
        <v>51</v>
      </c>
      <c r="H748" s="10"/>
      <c r="I748" s="10"/>
      <c r="J748" s="10"/>
    </row>
    <row r="749" spans="4:11" ht="21" customHeight="1">
      <c r="D749" s="782" t="s">
        <v>99</v>
      </c>
      <c r="E749" s="782"/>
      <c r="F749" s="782"/>
      <c r="G749" s="782"/>
      <c r="H749" s="782"/>
      <c r="I749" s="782"/>
      <c r="J749" s="782"/>
      <c r="K749" s="782"/>
    </row>
    <row r="750" spans="1:18" ht="18">
      <c r="A750" s="2" t="s">
        <v>148</v>
      </c>
      <c r="B750" s="196" t="str">
        <f>B6</f>
        <v>2017/2018</v>
      </c>
      <c r="C750" s="62"/>
      <c r="E750" s="61"/>
      <c r="F750" s="62"/>
      <c r="G750" s="157"/>
      <c r="H750" s="62"/>
      <c r="I750" s="61"/>
      <c r="J750" s="61"/>
      <c r="K750" s="61"/>
      <c r="L750" s="151"/>
      <c r="M750" s="151"/>
      <c r="N750" s="151"/>
      <c r="O750" s="151"/>
      <c r="P750" s="61"/>
      <c r="Q750" s="61"/>
      <c r="R750" s="61"/>
    </row>
    <row r="751" spans="1:18" ht="15.75" customHeight="1">
      <c r="A751" s="62" t="s">
        <v>147</v>
      </c>
      <c r="B751" s="190" t="str">
        <f>INDEX('دورة1 دورة2'!B10:BJ43,MATCH("ff",'دورة1 دورة2'!B10:B43,0),3)</f>
        <v> </v>
      </c>
      <c r="C751" s="158" t="s">
        <v>146</v>
      </c>
      <c r="D751" s="186" t="str">
        <f>INDEX('دورة1 دورة2'!B10:BJ43,MATCH("ff",'دورة1 دورة2'!B10:B43,0),4)</f>
        <v> </v>
      </c>
      <c r="E751" s="62"/>
      <c r="F751" s="158" t="s">
        <v>52</v>
      </c>
      <c r="G751" s="783">
        <f>INDEX('دورة1 دورة2'!B10:BJ43,MATCH("ff",'دورة1 دورة2'!B10:B43,0),6)</f>
        <v>0</v>
      </c>
      <c r="H751" s="783"/>
      <c r="I751" s="783"/>
      <c r="J751" s="61"/>
      <c r="K751" s="132" t="s">
        <v>53</v>
      </c>
      <c r="L751" s="784">
        <f>INDEX('دورة1 دورة2'!B10:BJ43,MATCH("ff",'دورة1 دورة2'!B10:B43,0),7)</f>
        <v>0</v>
      </c>
      <c r="M751" s="784"/>
      <c r="O751" s="186"/>
      <c r="P751" s="8" t="s">
        <v>54</v>
      </c>
      <c r="Q751" s="784">
        <f>INDEX('دورة1 دورة2'!B10:BJ43,MATCH("ff",'دورة1 دورة2'!B10:B43,0),8)</f>
        <v>0</v>
      </c>
      <c r="R751" s="784"/>
    </row>
    <row r="752" spans="1:18" ht="15" customHeight="1">
      <c r="A752" s="2" t="s">
        <v>149</v>
      </c>
      <c r="B752" s="190">
        <f>INDEX('دورة1 دورة2'!B10:BJ43,MATCH("ff",'دورة1 دورة2'!B10:B43,0),5)</f>
        <v>0</v>
      </c>
      <c r="C752" s="166"/>
      <c r="D752" s="9" t="s">
        <v>55</v>
      </c>
      <c r="E752" s="11" t="s">
        <v>56</v>
      </c>
      <c r="F752" s="11"/>
      <c r="G752" s="156"/>
      <c r="H752" s="11"/>
      <c r="I752" s="9"/>
      <c r="J752" s="9" t="s">
        <v>57</v>
      </c>
      <c r="K752" s="9"/>
      <c r="L752" s="11"/>
      <c r="N752" s="4" t="s">
        <v>98</v>
      </c>
      <c r="O752" s="2" t="s">
        <v>98</v>
      </c>
      <c r="P752" s="10" t="s">
        <v>97</v>
      </c>
      <c r="R752" s="61"/>
    </row>
    <row r="753" spans="1:16" ht="15.75" thickBot="1">
      <c r="A753" s="3" t="s">
        <v>58</v>
      </c>
      <c r="B753" s="139" t="s">
        <v>200</v>
      </c>
      <c r="C753" s="139"/>
      <c r="G753" s="129"/>
      <c r="J753" s="4"/>
      <c r="K753" s="4"/>
      <c r="M753" s="4"/>
      <c r="N753" s="4"/>
      <c r="O753" s="126"/>
      <c r="P753" s="126"/>
    </row>
    <row r="754" spans="1:18" ht="31.5" customHeight="1" thickBot="1" thickTop="1">
      <c r="A754" s="775" t="s">
        <v>25</v>
      </c>
      <c r="B754" s="777" t="s">
        <v>59</v>
      </c>
      <c r="C754" s="777"/>
      <c r="D754" s="778"/>
      <c r="E754" s="777"/>
      <c r="F754" s="777" t="s">
        <v>60</v>
      </c>
      <c r="G754" s="777"/>
      <c r="H754" s="777"/>
      <c r="I754" s="777" t="s">
        <v>61</v>
      </c>
      <c r="J754" s="777"/>
      <c r="K754" s="777"/>
      <c r="L754" s="777"/>
      <c r="M754" s="777"/>
      <c r="N754" s="777"/>
      <c r="O754" s="777"/>
      <c r="P754" s="777"/>
      <c r="Q754" s="777"/>
      <c r="R754" s="779"/>
    </row>
    <row r="755" spans="1:18" ht="15.75" thickBot="1">
      <c r="A755" s="776"/>
      <c r="B755" s="780" t="s">
        <v>63</v>
      </c>
      <c r="C755" s="771" t="s">
        <v>62</v>
      </c>
      <c r="D755" s="149" t="s">
        <v>64</v>
      </c>
      <c r="E755" s="781" t="s">
        <v>65</v>
      </c>
      <c r="F755" s="771" t="s">
        <v>66</v>
      </c>
      <c r="G755" s="138" t="s">
        <v>64</v>
      </c>
      <c r="H755" s="771" t="s">
        <v>65</v>
      </c>
      <c r="I755" s="771" t="s">
        <v>67</v>
      </c>
      <c r="J755" s="771"/>
      <c r="K755" s="771"/>
      <c r="L755" s="771" t="s">
        <v>68</v>
      </c>
      <c r="M755" s="771"/>
      <c r="N755" s="771"/>
      <c r="O755" s="771"/>
      <c r="P755" s="771" t="s">
        <v>25</v>
      </c>
      <c r="Q755" s="771"/>
      <c r="R755" s="772"/>
    </row>
    <row r="756" spans="1:21" ht="15.75" thickBot="1">
      <c r="A756" s="776"/>
      <c r="B756" s="780"/>
      <c r="C756" s="771"/>
      <c r="D756" s="150" t="s">
        <v>69</v>
      </c>
      <c r="E756" s="781"/>
      <c r="F756" s="771"/>
      <c r="G756" s="138" t="s">
        <v>69</v>
      </c>
      <c r="H756" s="771"/>
      <c r="I756" s="133" t="s">
        <v>70</v>
      </c>
      <c r="J756" s="133" t="s">
        <v>100</v>
      </c>
      <c r="K756" s="133" t="s">
        <v>96</v>
      </c>
      <c r="L756" s="133" t="s">
        <v>70</v>
      </c>
      <c r="M756" s="133" t="s">
        <v>100</v>
      </c>
      <c r="N756" s="133" t="s">
        <v>96</v>
      </c>
      <c r="O756" s="133" t="s">
        <v>93</v>
      </c>
      <c r="P756" s="133" t="s">
        <v>70</v>
      </c>
      <c r="Q756" s="133" t="s">
        <v>100</v>
      </c>
      <c r="R756" s="140" t="s">
        <v>96</v>
      </c>
      <c r="U756" s="134"/>
    </row>
    <row r="757" spans="1:21" ht="16.5" customHeight="1" thickBot="1">
      <c r="A757" s="773" t="s">
        <v>457</v>
      </c>
      <c r="B757" s="769" t="s">
        <v>126</v>
      </c>
      <c r="C757" s="769" t="s">
        <v>122</v>
      </c>
      <c r="D757" s="774">
        <v>18</v>
      </c>
      <c r="E757" s="769">
        <v>7</v>
      </c>
      <c r="F757" s="588" t="s">
        <v>205</v>
      </c>
      <c r="G757" s="137">
        <v>7</v>
      </c>
      <c r="H757" s="144">
        <v>3</v>
      </c>
      <c r="I757" s="145">
        <f>INDEX('دورة1 دورة2'!B10:BJ43,MATCH("ff",'دورة1 دورة2'!B10:B43,0),9)</f>
        <v>0</v>
      </c>
      <c r="J757" s="146">
        <f>IF(I757&lt;30,0,7)</f>
        <v>0</v>
      </c>
      <c r="K757" s="199" t="str">
        <f>INDEX('دورة1 دورة2'!B10:BJ43,MATCH("ff",'دورة1 دورة2'!B10:B43,0),11)</f>
        <v>د1</v>
      </c>
      <c r="L757" s="770">
        <f>(I757+I758+I759)/7</f>
        <v>0</v>
      </c>
      <c r="M757" s="763">
        <f>IF(L757&lt;10,J757+J758+J759,18)</f>
        <v>0</v>
      </c>
      <c r="N757" s="763" t="str">
        <f>INDEX('دورة1 دورة2'!B10:BJ43,MATCH("ff",'دورة1 دورة2'!B10:B43,0),20)</f>
        <v>د1</v>
      </c>
      <c r="O757" s="763">
        <f>LOOKUP("r",'دورة1 دورة2'!B:B,'دورة1 دورة2'!AG:AG)</f>
        <v>2018</v>
      </c>
      <c r="P757" s="765">
        <f>(I757+I758+I759+I760+I761+I762+I763)/14</f>
        <v>0</v>
      </c>
      <c r="Q757" s="766">
        <f>IF(P757&lt;10,M757+M760+M762+M763,30)</f>
        <v>0</v>
      </c>
      <c r="R757" s="767" t="str">
        <f>INDEX('دورة1 دورة2'!B10:BJ43,MATCH("ff",'دورة1 دورة2'!B10:B43,0),51)</f>
        <v>د1</v>
      </c>
      <c r="S757" s="764"/>
      <c r="U757" s="134"/>
    </row>
    <row r="758" spans="1:19" ht="16.5" customHeight="1" thickBot="1">
      <c r="A758" s="773"/>
      <c r="B758" s="769"/>
      <c r="C758" s="769"/>
      <c r="D758" s="769"/>
      <c r="E758" s="769"/>
      <c r="F758" s="589" t="s">
        <v>206</v>
      </c>
      <c r="G758" s="137">
        <v>6</v>
      </c>
      <c r="H758" s="144">
        <v>2</v>
      </c>
      <c r="I758" s="145">
        <f>INDEX('دورة1 دورة2'!B10:BJ43,MATCH("ff",'دورة1 دورة2'!B10:B43,0),12)</f>
        <v>0</v>
      </c>
      <c r="J758" s="146">
        <f>IF(I758&lt;20,0,6)</f>
        <v>0</v>
      </c>
      <c r="K758" s="199" t="str">
        <f>INDEX('دورة1 دورة2'!B10:BJ43,MATCH("ff",'دورة1 دورة2'!B10:B43,0),14)</f>
        <v>د1</v>
      </c>
      <c r="L758" s="770"/>
      <c r="M758" s="763"/>
      <c r="N758" s="763"/>
      <c r="O758" s="763"/>
      <c r="P758" s="765"/>
      <c r="Q758" s="766"/>
      <c r="R758" s="767"/>
      <c r="S758" s="764"/>
    </row>
    <row r="759" spans="1:19" ht="16.5" customHeight="1" thickBot="1">
      <c r="A759" s="773"/>
      <c r="B759" s="769"/>
      <c r="C759" s="769"/>
      <c r="D759" s="769"/>
      <c r="E759" s="769"/>
      <c r="F759" s="589" t="s">
        <v>207</v>
      </c>
      <c r="G759" s="137">
        <v>5</v>
      </c>
      <c r="H759" s="144">
        <v>2</v>
      </c>
      <c r="I759" s="145">
        <f>INDEX('دورة1 دورة2'!B10:BJ43,MATCH("ff",'دورة1 دورة2'!B10:B43,0),15)</f>
        <v>0</v>
      </c>
      <c r="J759" s="146">
        <f>IF(I759&lt;20,0,5)</f>
        <v>0</v>
      </c>
      <c r="K759" s="199" t="str">
        <f>INDEX('دورة1 دورة2'!B10:BJ43,MATCH("ff",'دورة1 دورة2'!B10:B43,0),17)</f>
        <v>د1</v>
      </c>
      <c r="L759" s="770"/>
      <c r="M759" s="763"/>
      <c r="N759" s="763"/>
      <c r="O759" s="763"/>
      <c r="P759" s="765"/>
      <c r="Q759" s="766"/>
      <c r="R759" s="767"/>
      <c r="S759" s="764"/>
    </row>
    <row r="760" spans="1:19" ht="16.5" customHeight="1" thickBot="1">
      <c r="A760" s="773"/>
      <c r="B760" s="769" t="s">
        <v>127</v>
      </c>
      <c r="C760" s="769" t="s">
        <v>123</v>
      </c>
      <c r="D760" s="769">
        <v>9</v>
      </c>
      <c r="E760" s="769">
        <v>4</v>
      </c>
      <c r="F760" s="590" t="s">
        <v>208</v>
      </c>
      <c r="G760" s="137">
        <v>5</v>
      </c>
      <c r="H760" s="144">
        <v>2</v>
      </c>
      <c r="I760" s="145">
        <f>INDEX('دورة1 دورة2'!B10:BJ43,MATCH("ff",'دورة1 دورة2'!B10:B43,0),23)</f>
        <v>0</v>
      </c>
      <c r="J760" s="146">
        <f>IF(I760&lt;20,0,5)</f>
        <v>0</v>
      </c>
      <c r="K760" s="199" t="str">
        <f>INDEX('دورة1 دورة2'!B10:BJ43,MATCH("ff",'دورة1 دورة2'!B10:B43,0),25)</f>
        <v>د1</v>
      </c>
      <c r="L760" s="770">
        <f>(I761+I760)/4</f>
        <v>0</v>
      </c>
      <c r="M760" s="763">
        <f>IF(L760&lt;10,J761+J760,9)</f>
        <v>0</v>
      </c>
      <c r="N760" s="763" t="str">
        <f>INDEX('دورة1 دورة2'!B10:BJ43,MATCH("ff",'دورة1 دورة2'!B10:B43,0),31)</f>
        <v>د1</v>
      </c>
      <c r="O760" s="763">
        <f>LOOKUP("r",'دورة1 دورة2'!B:B,'دورة1 دورة2'!AN:AN)</f>
        <v>2018</v>
      </c>
      <c r="P760" s="765"/>
      <c r="Q760" s="766"/>
      <c r="R760" s="767"/>
      <c r="S760" s="764"/>
    </row>
    <row r="761" spans="1:19" ht="16.5" customHeight="1" thickBot="1">
      <c r="A761" s="773"/>
      <c r="B761" s="769"/>
      <c r="C761" s="769"/>
      <c r="D761" s="769"/>
      <c r="E761" s="769"/>
      <c r="F761" s="589" t="s">
        <v>209</v>
      </c>
      <c r="G761" s="137">
        <v>4</v>
      </c>
      <c r="H761" s="144">
        <v>2</v>
      </c>
      <c r="I761" s="145">
        <f>INDEX('دورة1 دورة2'!B10:BJ43,MATCH("ff",'دورة1 دورة2'!B10:B43,0),26)</f>
        <v>0</v>
      </c>
      <c r="J761" s="146">
        <f>IF(I761&lt;20,0,4)</f>
        <v>0</v>
      </c>
      <c r="K761" s="199" t="str">
        <f>INDEX('دورة1 دورة2'!B10:BJ43,MATCH("ff",'دورة1 دورة2'!B10:B43,0),28)</f>
        <v>د1</v>
      </c>
      <c r="L761" s="770"/>
      <c r="M761" s="763"/>
      <c r="N761" s="763"/>
      <c r="O761" s="763"/>
      <c r="P761" s="765"/>
      <c r="Q761" s="766"/>
      <c r="R761" s="767"/>
      <c r="S761" s="764"/>
    </row>
    <row r="762" spans="1:19" ht="16.5" customHeight="1" thickBot="1">
      <c r="A762" s="773"/>
      <c r="B762" s="137" t="s">
        <v>128</v>
      </c>
      <c r="C762" s="137" t="s">
        <v>124</v>
      </c>
      <c r="D762" s="137">
        <v>2</v>
      </c>
      <c r="E762" s="137">
        <v>2</v>
      </c>
      <c r="F762" s="589" t="s">
        <v>211</v>
      </c>
      <c r="G762" s="137">
        <v>2</v>
      </c>
      <c r="H762" s="144">
        <v>2</v>
      </c>
      <c r="I762" s="145">
        <f>INDEX('دورة1 دورة2'!B10:BJ43,MATCH("ff",'دورة1 دورة2'!B10:B43,0),34)</f>
        <v>0</v>
      </c>
      <c r="J762" s="146">
        <f>IF(I762&lt;20,0,2)</f>
        <v>0</v>
      </c>
      <c r="K762" s="199" t="str">
        <f>INDEX('دورة1 دورة2'!B10:BJ43,MATCH("ff",'دورة1 دورة2'!B10:B43,0),36)</f>
        <v>د1</v>
      </c>
      <c r="L762" s="147">
        <f>I762/2</f>
        <v>0</v>
      </c>
      <c r="M762" s="148">
        <f>J762</f>
        <v>0</v>
      </c>
      <c r="N762" s="199" t="str">
        <f>INDEX('دورة1 دورة2'!B10:BJ43,MATCH("ff",'دورة1 دورة2'!B10:B43,0),36)</f>
        <v>د1</v>
      </c>
      <c r="O762" s="146">
        <f>LOOKUP("r",'دورة1 دورة2'!B:B,'دورة1 دورة2'!AU:AU)</f>
        <v>2018</v>
      </c>
      <c r="P762" s="765"/>
      <c r="Q762" s="766"/>
      <c r="R762" s="767"/>
      <c r="S762" s="131"/>
    </row>
    <row r="763" spans="1:19" ht="16.5" customHeight="1" thickBot="1">
      <c r="A763" s="773"/>
      <c r="B763" s="137" t="s">
        <v>129</v>
      </c>
      <c r="C763" s="137" t="s">
        <v>125</v>
      </c>
      <c r="D763" s="137">
        <v>1</v>
      </c>
      <c r="E763" s="137">
        <v>1</v>
      </c>
      <c r="F763" s="591" t="s">
        <v>191</v>
      </c>
      <c r="G763" s="137">
        <v>1</v>
      </c>
      <c r="H763" s="144">
        <v>1</v>
      </c>
      <c r="I763" s="145">
        <f>INDEX('دورة1 دورة2'!B10:BJ43,MATCH("ff",'دورة1 دورة2'!B10:B43,0),41)</f>
        <v>0</v>
      </c>
      <c r="J763" s="146">
        <f>IF(I763&lt;10,0,1)</f>
        <v>0</v>
      </c>
      <c r="K763" s="199" t="str">
        <f>INDEX('دورة1 دورة2'!B10:BJ43,MATCH("ff",'دورة1 دورة2'!B10:B43,0),43)</f>
        <v>د1</v>
      </c>
      <c r="L763" s="147">
        <f>I763</f>
        <v>0</v>
      </c>
      <c r="M763" s="148">
        <f>J763</f>
        <v>0</v>
      </c>
      <c r="N763" s="199" t="str">
        <f>INDEX('دورة1 دورة2'!B10:BJ43,MATCH("ff",'دورة1 دورة2'!B10:B43,0),43)</f>
        <v>د1</v>
      </c>
      <c r="O763" s="146">
        <f>LOOKUP("r",'دورة1 دورة2'!B:B,'دورة1 دورة2'!AU:AU)</f>
        <v>2018</v>
      </c>
      <c r="P763" s="765"/>
      <c r="Q763" s="766"/>
      <c r="R763" s="768"/>
      <c r="S763" s="131"/>
    </row>
    <row r="764" spans="1:19" ht="96" customHeight="1" thickBot="1">
      <c r="A764" s="342" t="s">
        <v>458</v>
      </c>
      <c r="B764" s="137" t="s">
        <v>126</v>
      </c>
      <c r="C764" s="137" t="s">
        <v>122</v>
      </c>
      <c r="D764" s="137">
        <v>18</v>
      </c>
      <c r="E764" s="137">
        <v>7</v>
      </c>
      <c r="F764" s="592" t="s">
        <v>213</v>
      </c>
      <c r="G764" s="137">
        <v>7</v>
      </c>
      <c r="H764" s="144">
        <v>2</v>
      </c>
      <c r="I764" s="145">
        <f>INDEX('دورة1 دورة2'!B10:BJ43,MATCH("ff",'دورة1 دورة2'!B10:B43,0),54)</f>
        <v>0</v>
      </c>
      <c r="J764" s="146">
        <f>IF(I764&lt;300,0,30)</f>
        <v>0</v>
      </c>
      <c r="K764" s="199" t="str">
        <f>INDEX('دورة1 دورة2'!B10:BJ43,MATCH("ff",'دورة1 دورة2'!B10:B43,0),56)</f>
        <v>د1</v>
      </c>
      <c r="L764" s="147">
        <f>(I764)/7</f>
        <v>0</v>
      </c>
      <c r="M764" s="148">
        <f>IF(L764&lt;10,J764,30)</f>
        <v>0</v>
      </c>
      <c r="N764" s="148" t="str">
        <f>INDEX('دورة1 دورة2'!B10:BJ43,MATCH("ff",'دورة1 دورة2'!B10:B43,0),56)</f>
        <v>د1</v>
      </c>
      <c r="O764" s="148" t="e">
        <f>LOOKUP("r",'دورة1 دورة2'!B:B,'دورة1 دورة2'!#REF!)</f>
        <v>#REF!</v>
      </c>
      <c r="P764" s="341">
        <f>(I764)/30</f>
        <v>0</v>
      </c>
      <c r="Q764" s="146">
        <f>IF(P764&lt;10,M764,30)</f>
        <v>0</v>
      </c>
      <c r="R764" s="343" t="str">
        <f>INDEX('دورة1 دورة2'!B10:BJ43,MATCH("ff",'دورة1 دورة2'!B10:B43,0),60)</f>
        <v>د1</v>
      </c>
      <c r="S764" s="131"/>
    </row>
    <row r="765" spans="1:18" ht="17.25" customHeight="1" thickBot="1">
      <c r="A765" s="62" t="s">
        <v>150</v>
      </c>
      <c r="B765" s="135">
        <f>(P757+P764)/2</f>
        <v>0</v>
      </c>
      <c r="C765" s="759" t="s">
        <v>461</v>
      </c>
      <c r="D765" s="760"/>
      <c r="E765" s="760"/>
      <c r="F765" s="761"/>
      <c r="G765" s="136">
        <f>Q757+Q764</f>
        <v>0</v>
      </c>
      <c r="H765" s="6"/>
      <c r="I765" s="6"/>
      <c r="J765" s="134" t="s">
        <v>72</v>
      </c>
      <c r="K765" s="202"/>
      <c r="L765" s="6"/>
      <c r="M765" s="6"/>
      <c r="N765" s="6"/>
      <c r="O765" s="6"/>
      <c r="P765" s="583">
        <v>120</v>
      </c>
      <c r="Q765" s="130"/>
      <c r="R765" s="130"/>
    </row>
    <row r="766" spans="1:18" ht="16.5" customHeight="1" thickBot="1">
      <c r="A766" s="62" t="s">
        <v>121</v>
      </c>
      <c r="B766" s="75" t="str">
        <f>IF(B765&lt;10,"راسب(ة)","ناجح(ة)")</f>
        <v>راسب(ة)</v>
      </c>
      <c r="G766" s="129"/>
      <c r="I766" s="80"/>
      <c r="J766" s="134" t="s">
        <v>73</v>
      </c>
      <c r="K766" s="6"/>
      <c r="L766" s="6"/>
      <c r="M766" s="6"/>
      <c r="N766" s="6"/>
      <c r="O766" s="6"/>
      <c r="P766" s="133">
        <v>120</v>
      </c>
      <c r="Q766" s="5"/>
      <c r="R766" s="5"/>
    </row>
    <row r="767" spans="1:7" ht="16.5" customHeight="1">
      <c r="A767" s="62" t="s">
        <v>120</v>
      </c>
      <c r="B767" s="77">
        <f ca="1">TODAY()</f>
        <v>43188</v>
      </c>
      <c r="G767" s="129"/>
    </row>
    <row r="768" spans="1:14" ht="16.5" customHeight="1">
      <c r="A768" s="62" t="s">
        <v>74</v>
      </c>
      <c r="B768" s="8" t="s">
        <v>119</v>
      </c>
      <c r="L768" s="762" t="s">
        <v>29</v>
      </c>
      <c r="M768" s="762"/>
      <c r="N768" s="75"/>
    </row>
    <row r="769" spans="1:17" ht="20.25">
      <c r="A769" s="187" t="s">
        <v>45</v>
      </c>
      <c r="B769" s="188"/>
      <c r="C769" s="188"/>
      <c r="D769" s="188"/>
      <c r="E769" s="188"/>
      <c r="F769" s="188"/>
      <c r="G769" s="188"/>
      <c r="H769" s="189"/>
      <c r="I769" s="189"/>
      <c r="J769" s="189"/>
      <c r="K769" s="189"/>
      <c r="L769" s="189"/>
      <c r="M769" s="78" t="s">
        <v>46</v>
      </c>
      <c r="N769" s="189"/>
      <c r="O769" s="78"/>
      <c r="P769" s="189"/>
      <c r="Q769" s="189"/>
    </row>
    <row r="770" spans="6:10" ht="15" customHeight="1">
      <c r="F770" s="191" t="s">
        <v>47</v>
      </c>
      <c r="G770" s="10" t="s">
        <v>19</v>
      </c>
      <c r="H770" s="10"/>
      <c r="I770" s="10"/>
      <c r="J770" s="10"/>
    </row>
    <row r="771" spans="6:10" ht="15" customHeight="1">
      <c r="F771" s="191" t="s">
        <v>48</v>
      </c>
      <c r="G771" s="10" t="s">
        <v>49</v>
      </c>
      <c r="H771" s="10"/>
      <c r="I771" s="10"/>
      <c r="J771" s="10"/>
    </row>
    <row r="772" spans="6:10" ht="15" customHeight="1">
      <c r="F772" s="191" t="s">
        <v>50</v>
      </c>
      <c r="G772" s="10" t="s">
        <v>51</v>
      </c>
      <c r="H772" s="10"/>
      <c r="I772" s="10"/>
      <c r="J772" s="10"/>
    </row>
    <row r="773" spans="4:11" ht="21" customHeight="1">
      <c r="D773" s="782" t="s">
        <v>99</v>
      </c>
      <c r="E773" s="782"/>
      <c r="F773" s="782"/>
      <c r="G773" s="782"/>
      <c r="H773" s="782"/>
      <c r="I773" s="782"/>
      <c r="J773" s="782"/>
      <c r="K773" s="782"/>
    </row>
    <row r="774" spans="1:18" ht="18">
      <c r="A774" s="2" t="s">
        <v>148</v>
      </c>
      <c r="B774" s="196" t="str">
        <f>B6</f>
        <v>2017/2018</v>
      </c>
      <c r="C774" s="62"/>
      <c r="E774" s="61"/>
      <c r="F774" s="62"/>
      <c r="G774" s="157"/>
      <c r="H774" s="62"/>
      <c r="I774" s="61"/>
      <c r="J774" s="61"/>
      <c r="K774" s="61"/>
      <c r="L774" s="151"/>
      <c r="M774" s="151"/>
      <c r="N774" s="151"/>
      <c r="O774" s="151"/>
      <c r="P774" s="61"/>
      <c r="Q774" s="61"/>
      <c r="R774" s="61"/>
    </row>
    <row r="775" spans="1:18" ht="15.75" customHeight="1">
      <c r="A775" s="62" t="s">
        <v>147</v>
      </c>
      <c r="B775" s="190" t="str">
        <f>INDEX('دورة1 دورة2'!B10:BJ43,MATCH("gg",'دورة1 دورة2'!B10:B43,0),3)</f>
        <v> </v>
      </c>
      <c r="C775" s="158" t="s">
        <v>146</v>
      </c>
      <c r="D775" s="186" t="str">
        <f>INDEX('دورة1 دورة2'!B10:BJ43,MATCH("gg",'دورة1 دورة2'!B10:B43,0),4)</f>
        <v> </v>
      </c>
      <c r="E775" s="62"/>
      <c r="F775" s="158" t="s">
        <v>52</v>
      </c>
      <c r="G775" s="783">
        <f>INDEX('دورة1 دورة2'!B10:BJ43,MATCH("gg",'دورة1 دورة2'!B10:B43,0),6)</f>
        <v>0</v>
      </c>
      <c r="H775" s="783"/>
      <c r="I775" s="783"/>
      <c r="J775" s="61"/>
      <c r="K775" s="132" t="s">
        <v>53</v>
      </c>
      <c r="L775" s="784">
        <f>INDEX('دورة1 دورة2'!B10:BJ43,MATCH("gg",'دورة1 دورة2'!B10:B43,0),7)</f>
        <v>0</v>
      </c>
      <c r="M775" s="784"/>
      <c r="O775" s="186"/>
      <c r="P775" s="8" t="s">
        <v>54</v>
      </c>
      <c r="Q775" s="784">
        <f>INDEX('دورة1 دورة2'!B10:BJ43,MATCH("gg",'دورة1 دورة2'!B10:B43,0),8)</f>
        <v>0</v>
      </c>
      <c r="R775" s="784"/>
    </row>
    <row r="776" spans="1:18" ht="15" customHeight="1">
      <c r="A776" s="2" t="s">
        <v>149</v>
      </c>
      <c r="B776" s="190">
        <f>INDEX('دورة1 دورة2'!B10:BJ43,MATCH("gg",'دورة1 دورة2'!B10:B43,0),5)</f>
        <v>0</v>
      </c>
      <c r="C776" s="166"/>
      <c r="D776" s="9" t="s">
        <v>55</v>
      </c>
      <c r="E776" s="11" t="s">
        <v>56</v>
      </c>
      <c r="F776" s="11"/>
      <c r="G776" s="156"/>
      <c r="H776" s="11"/>
      <c r="I776" s="9"/>
      <c r="J776" s="9" t="s">
        <v>57</v>
      </c>
      <c r="K776" s="9"/>
      <c r="L776" s="11"/>
      <c r="N776" s="4" t="s">
        <v>98</v>
      </c>
      <c r="O776" s="2" t="s">
        <v>98</v>
      </c>
      <c r="P776" s="10" t="s">
        <v>97</v>
      </c>
      <c r="R776" s="61"/>
    </row>
    <row r="777" spans="1:16" ht="15.75" thickBot="1">
      <c r="A777" s="3" t="s">
        <v>58</v>
      </c>
      <c r="B777" s="139" t="s">
        <v>200</v>
      </c>
      <c r="C777" s="139"/>
      <c r="G777" s="129"/>
      <c r="J777" s="4"/>
      <c r="K777" s="4"/>
      <c r="M777" s="4"/>
      <c r="N777" s="4"/>
      <c r="O777" s="126"/>
      <c r="P777" s="126"/>
    </row>
    <row r="778" spans="1:18" ht="30" customHeight="1" thickBot="1" thickTop="1">
      <c r="A778" s="775" t="s">
        <v>25</v>
      </c>
      <c r="B778" s="777" t="s">
        <v>59</v>
      </c>
      <c r="C778" s="777"/>
      <c r="D778" s="778"/>
      <c r="E778" s="777"/>
      <c r="F778" s="777" t="s">
        <v>60</v>
      </c>
      <c r="G778" s="777"/>
      <c r="H778" s="777"/>
      <c r="I778" s="777" t="s">
        <v>61</v>
      </c>
      <c r="J778" s="777"/>
      <c r="K778" s="777"/>
      <c r="L778" s="777"/>
      <c r="M778" s="777"/>
      <c r="N778" s="777"/>
      <c r="O778" s="777"/>
      <c r="P778" s="777"/>
      <c r="Q778" s="777"/>
      <c r="R778" s="779"/>
    </row>
    <row r="779" spans="1:18" ht="15.75" thickBot="1">
      <c r="A779" s="776"/>
      <c r="B779" s="780" t="s">
        <v>63</v>
      </c>
      <c r="C779" s="771" t="s">
        <v>62</v>
      </c>
      <c r="D779" s="149" t="s">
        <v>64</v>
      </c>
      <c r="E779" s="781" t="s">
        <v>65</v>
      </c>
      <c r="F779" s="771" t="s">
        <v>66</v>
      </c>
      <c r="G779" s="138" t="s">
        <v>64</v>
      </c>
      <c r="H779" s="771" t="s">
        <v>65</v>
      </c>
      <c r="I779" s="771" t="s">
        <v>67</v>
      </c>
      <c r="J779" s="771"/>
      <c r="K779" s="771"/>
      <c r="L779" s="771" t="s">
        <v>68</v>
      </c>
      <c r="M779" s="771"/>
      <c r="N779" s="771"/>
      <c r="O779" s="771"/>
      <c r="P779" s="771" t="s">
        <v>25</v>
      </c>
      <c r="Q779" s="771"/>
      <c r="R779" s="772"/>
    </row>
    <row r="780" spans="1:21" ht="15.75" thickBot="1">
      <c r="A780" s="776"/>
      <c r="B780" s="780"/>
      <c r="C780" s="771"/>
      <c r="D780" s="150" t="s">
        <v>69</v>
      </c>
      <c r="E780" s="781"/>
      <c r="F780" s="771"/>
      <c r="G780" s="138" t="s">
        <v>69</v>
      </c>
      <c r="H780" s="771"/>
      <c r="I780" s="133" t="s">
        <v>70</v>
      </c>
      <c r="J780" s="133" t="s">
        <v>100</v>
      </c>
      <c r="K780" s="133" t="s">
        <v>96</v>
      </c>
      <c r="L780" s="133" t="s">
        <v>70</v>
      </c>
      <c r="M780" s="133" t="s">
        <v>100</v>
      </c>
      <c r="N780" s="133" t="s">
        <v>96</v>
      </c>
      <c r="O780" s="133" t="s">
        <v>93</v>
      </c>
      <c r="P780" s="133" t="s">
        <v>70</v>
      </c>
      <c r="Q780" s="133" t="s">
        <v>100</v>
      </c>
      <c r="R780" s="140" t="s">
        <v>96</v>
      </c>
      <c r="U780" s="134"/>
    </row>
    <row r="781" spans="1:21" ht="16.5" customHeight="1" thickBot="1">
      <c r="A781" s="773" t="s">
        <v>457</v>
      </c>
      <c r="B781" s="769" t="s">
        <v>126</v>
      </c>
      <c r="C781" s="769" t="s">
        <v>122</v>
      </c>
      <c r="D781" s="774">
        <v>18</v>
      </c>
      <c r="E781" s="769">
        <v>7</v>
      </c>
      <c r="F781" s="588" t="s">
        <v>205</v>
      </c>
      <c r="G781" s="137">
        <v>7</v>
      </c>
      <c r="H781" s="144">
        <v>3</v>
      </c>
      <c r="I781" s="145" t="str">
        <f>INDEX('دورة1 دورة2'!B10:BJ43,MATCH("gg",'دورة1 دورة2'!B10:B43,0),9)</f>
        <v>صالحي ي</v>
      </c>
      <c r="J781" s="146">
        <f>IF(I781&lt;30,0,7)</f>
        <v>7</v>
      </c>
      <c r="K781" s="199" t="str">
        <f>INDEX('دورة1 دورة2'!B10:BJ43,MATCH("gg",'دورة1 دورة2'!B10:B43,0),11)</f>
        <v>د1</v>
      </c>
      <c r="L781" s="770" t="e">
        <f>(I781+I782+I783)/7</f>
        <v>#VALUE!</v>
      </c>
      <c r="M781" s="763" t="e">
        <f>IF(L781&lt;10,J781+J782+J783,18)</f>
        <v>#VALUE!</v>
      </c>
      <c r="N781" s="763" t="str">
        <f>INDEX('دورة1 دورة2'!B10:BJ43,MATCH("gg",'دورة1 دورة2'!B10:B43,0),20)</f>
        <v>د1</v>
      </c>
      <c r="O781" s="763">
        <f>LOOKUP("r",'دورة1 دورة2'!B:B,'دورة1 دورة2'!AG:AG)</f>
        <v>2018</v>
      </c>
      <c r="P781" s="765" t="e">
        <f>(I781+I782+I783+I784+I785+I786+I787)/14</f>
        <v>#VALUE!</v>
      </c>
      <c r="Q781" s="766" t="e">
        <f>IF(P781&lt;10,M781+M784+M786+M787,30)</f>
        <v>#VALUE!</v>
      </c>
      <c r="R781" s="767" t="str">
        <f>INDEX('دورة1 دورة2'!B10:BJ43,MATCH("gg",'دورة1 دورة2'!B10:B43,0),51)</f>
        <v>د1</v>
      </c>
      <c r="S781" s="764"/>
      <c r="U781" s="134"/>
    </row>
    <row r="782" spans="1:19" ht="16.5" customHeight="1" thickBot="1">
      <c r="A782" s="773"/>
      <c r="B782" s="769"/>
      <c r="C782" s="769"/>
      <c r="D782" s="769"/>
      <c r="E782" s="769"/>
      <c r="F782" s="589" t="s">
        <v>206</v>
      </c>
      <c r="G782" s="137">
        <v>6</v>
      </c>
      <c r="H782" s="144">
        <v>2</v>
      </c>
      <c r="I782" s="145" t="str">
        <f>INDEX('دورة1 دورة2'!B10:BJ43,MATCH("gg",'دورة1 دورة2'!B10:B43,0),12)</f>
        <v>صيد</v>
      </c>
      <c r="J782" s="146">
        <f>IF(I782&lt;20,0,6)</f>
        <v>6</v>
      </c>
      <c r="K782" s="199" t="str">
        <f>INDEX('دورة1 دورة2'!B10:BJ43,MATCH("gg",'دورة1 دورة2'!B10:B43,0),14)</f>
        <v>د1</v>
      </c>
      <c r="L782" s="770"/>
      <c r="M782" s="763"/>
      <c r="N782" s="763"/>
      <c r="O782" s="763"/>
      <c r="P782" s="765"/>
      <c r="Q782" s="766"/>
      <c r="R782" s="767"/>
      <c r="S782" s="764"/>
    </row>
    <row r="783" spans="1:19" ht="16.5" customHeight="1" thickBot="1">
      <c r="A783" s="773"/>
      <c r="B783" s="769"/>
      <c r="C783" s="769"/>
      <c r="D783" s="769"/>
      <c r="E783" s="769"/>
      <c r="F783" s="589" t="s">
        <v>207</v>
      </c>
      <c r="G783" s="137">
        <v>5</v>
      </c>
      <c r="H783" s="144">
        <v>2</v>
      </c>
      <c r="I783" s="145" t="str">
        <f>INDEX('دورة1 دورة2'!B10:BJ43,MATCH("gg",'دورة1 دورة2'!B10:B43,0),15)</f>
        <v>صالحي</v>
      </c>
      <c r="J783" s="146">
        <f>IF(I783&lt;20,0,5)</f>
        <v>5</v>
      </c>
      <c r="K783" s="199" t="str">
        <f>INDEX('دورة1 دورة2'!B10:BJ43,MATCH("gg",'دورة1 دورة2'!B10:B43,0),17)</f>
        <v>د1</v>
      </c>
      <c r="L783" s="770"/>
      <c r="M783" s="763"/>
      <c r="N783" s="763"/>
      <c r="O783" s="763"/>
      <c r="P783" s="765"/>
      <c r="Q783" s="766"/>
      <c r="R783" s="767"/>
      <c r="S783" s="764"/>
    </row>
    <row r="784" spans="1:19" ht="16.5" customHeight="1" thickBot="1">
      <c r="A784" s="773"/>
      <c r="B784" s="769" t="s">
        <v>127</v>
      </c>
      <c r="C784" s="769" t="s">
        <v>123</v>
      </c>
      <c r="D784" s="769">
        <v>9</v>
      </c>
      <c r="E784" s="769">
        <v>4</v>
      </c>
      <c r="F784" s="590" t="s">
        <v>208</v>
      </c>
      <c r="G784" s="137">
        <v>5</v>
      </c>
      <c r="H784" s="144">
        <v>2</v>
      </c>
      <c r="I784" s="145" t="str">
        <f>INDEX('دورة1 دورة2'!B10:BJ43,MATCH("gg",'دورة1 دورة2'!B10:B43,0),23)</f>
        <v>شبيرة</v>
      </c>
      <c r="J784" s="146">
        <f>IF(I784&lt;20,0,5)</f>
        <v>5</v>
      </c>
      <c r="K784" s="199" t="str">
        <f>INDEX('دورة1 دورة2'!B10:BJ43,MATCH("gg",'دورة1 دورة2'!B10:B43,0),25)</f>
        <v>د1</v>
      </c>
      <c r="L784" s="770" t="e">
        <f>(I785+I784)/4</f>
        <v>#VALUE!</v>
      </c>
      <c r="M784" s="763" t="e">
        <f>IF(L784&lt;10,J785+J784,9)</f>
        <v>#VALUE!</v>
      </c>
      <c r="N784" s="763" t="str">
        <f>INDEX('دورة1 دورة2'!B10:BJ43,MATCH("gg",'دورة1 دورة2'!B10:B43,0),31)</f>
        <v>د1</v>
      </c>
      <c r="O784" s="763">
        <f>LOOKUP("r",'دورة1 دورة2'!B:B,'دورة1 دورة2'!AN:AN)</f>
        <v>2018</v>
      </c>
      <c r="P784" s="765"/>
      <c r="Q784" s="766"/>
      <c r="R784" s="767"/>
      <c r="S784" s="764"/>
    </row>
    <row r="785" spans="1:19" ht="16.5" customHeight="1" thickBot="1">
      <c r="A785" s="773"/>
      <c r="B785" s="769"/>
      <c r="C785" s="769"/>
      <c r="D785" s="769"/>
      <c r="E785" s="769"/>
      <c r="F785" s="589" t="s">
        <v>209</v>
      </c>
      <c r="G785" s="137">
        <v>4</v>
      </c>
      <c r="H785" s="144">
        <v>2</v>
      </c>
      <c r="I785" s="145" t="str">
        <f>INDEX('دورة1 دورة2'!B10:BJ43,MATCH("gg",'دورة1 دورة2'!B10:B43,0),26)</f>
        <v>ثلايجية</v>
      </c>
      <c r="J785" s="146">
        <f>IF(I785&lt;20,0,4)</f>
        <v>4</v>
      </c>
      <c r="K785" s="199" t="str">
        <f>INDEX('دورة1 دورة2'!B10:BJ43,MATCH("gg",'دورة1 دورة2'!B10:B43,0),28)</f>
        <v>د1</v>
      </c>
      <c r="L785" s="770"/>
      <c r="M785" s="763"/>
      <c r="N785" s="763"/>
      <c r="O785" s="763"/>
      <c r="P785" s="765"/>
      <c r="Q785" s="766"/>
      <c r="R785" s="767"/>
      <c r="S785" s="764"/>
    </row>
    <row r="786" spans="1:19" ht="16.5" customHeight="1" thickBot="1">
      <c r="A786" s="773"/>
      <c r="B786" s="137" t="s">
        <v>128</v>
      </c>
      <c r="C786" s="137" t="s">
        <v>124</v>
      </c>
      <c r="D786" s="137">
        <v>2</v>
      </c>
      <c r="E786" s="137">
        <v>2</v>
      </c>
      <c r="F786" s="589" t="s">
        <v>211</v>
      </c>
      <c r="G786" s="137">
        <v>2</v>
      </c>
      <c r="H786" s="144">
        <v>2</v>
      </c>
      <c r="I786" s="145" t="str">
        <f>INDEX('دورة1 دورة2'!B10:BJ43,MATCH("gg",'دورة1 دورة2'!B10:B43,0),34)</f>
        <v>حلايمية</v>
      </c>
      <c r="J786" s="146">
        <f>IF(I786&lt;20,0,2)</f>
        <v>2</v>
      </c>
      <c r="K786" s="199" t="str">
        <f>INDEX('دورة1 دورة2'!B10:BJ43,MATCH("gg",'دورة1 دورة2'!B10:B43,0),36)</f>
        <v>د1</v>
      </c>
      <c r="L786" s="147" t="e">
        <f>I786/2</f>
        <v>#VALUE!</v>
      </c>
      <c r="M786" s="148">
        <f>J786</f>
        <v>2</v>
      </c>
      <c r="N786" s="199" t="str">
        <f>INDEX('دورة1 دورة2'!B10:BJ43,MATCH("gg",'دورة1 دورة2'!B10:B43,0),36)</f>
        <v>د1</v>
      </c>
      <c r="O786" s="146">
        <f>LOOKUP("r",'دورة1 دورة2'!B:B,'دورة1 دورة2'!AU:AU)</f>
        <v>2018</v>
      </c>
      <c r="P786" s="765"/>
      <c r="Q786" s="766"/>
      <c r="R786" s="767"/>
      <c r="S786" s="131"/>
    </row>
    <row r="787" spans="1:19" ht="16.5" customHeight="1" thickBot="1">
      <c r="A787" s="773"/>
      <c r="B787" s="137" t="s">
        <v>129</v>
      </c>
      <c r="C787" s="137" t="s">
        <v>125</v>
      </c>
      <c r="D787" s="137">
        <v>1</v>
      </c>
      <c r="E787" s="137">
        <v>1</v>
      </c>
      <c r="F787" s="591" t="s">
        <v>191</v>
      </c>
      <c r="G787" s="137">
        <v>1</v>
      </c>
      <c r="H787" s="144">
        <v>1</v>
      </c>
      <c r="I787" s="145" t="str">
        <f>INDEX('دورة1 دورة2'!B10:BJ43,MATCH("gg",'دورة1 دورة2'!B10:B43,0),41)</f>
        <v>شواقرية</v>
      </c>
      <c r="J787" s="146">
        <f>IF(I787&lt;10,0,1)</f>
        <v>1</v>
      </c>
      <c r="K787" s="199" t="str">
        <f>INDEX('دورة1 دورة2'!B10:BJ43,MATCH("gg",'دورة1 دورة2'!B10:B43,0),43)</f>
        <v>د1</v>
      </c>
      <c r="L787" s="147" t="str">
        <f>I787</f>
        <v>شواقرية</v>
      </c>
      <c r="M787" s="148">
        <f>J787</f>
        <v>1</v>
      </c>
      <c r="N787" s="199" t="str">
        <f>INDEX('دورة1 دورة2'!B10:BJ43,MATCH("gg",'دورة1 دورة2'!B10:B43,0),43)</f>
        <v>د1</v>
      </c>
      <c r="O787" s="146">
        <f>LOOKUP("r",'دورة1 دورة2'!B:B,'دورة1 دورة2'!AU:AU)</f>
        <v>2018</v>
      </c>
      <c r="P787" s="765"/>
      <c r="Q787" s="766"/>
      <c r="R787" s="768"/>
      <c r="S787" s="131"/>
    </row>
    <row r="788" spans="1:19" ht="93.75" customHeight="1" thickBot="1">
      <c r="A788" s="342" t="s">
        <v>458</v>
      </c>
      <c r="B788" s="137" t="s">
        <v>126</v>
      </c>
      <c r="C788" s="137" t="s">
        <v>122</v>
      </c>
      <c r="D788" s="137">
        <v>18</v>
      </c>
      <c r="E788" s="137">
        <v>7</v>
      </c>
      <c r="F788" s="592" t="s">
        <v>213</v>
      </c>
      <c r="G788" s="137">
        <v>7</v>
      </c>
      <c r="H788" s="144">
        <v>2</v>
      </c>
      <c r="I788" s="145">
        <f>INDEX('دورة1 دورة2'!B10:BJ43,MATCH("gg",'دورة1 دورة2'!B10:B43,0),54)</f>
        <v>0</v>
      </c>
      <c r="J788" s="146">
        <f>IF(I788&lt;300,0,30)</f>
        <v>0</v>
      </c>
      <c r="K788" s="199" t="str">
        <f>INDEX('دورة1 دورة2'!B10:BJ43,MATCH("gg",'دورة1 دورة2'!B10:B43,0),56)</f>
        <v>د1</v>
      </c>
      <c r="L788" s="147" t="e">
        <f>(I788+#REF!+#REF!+#REF!)/7</f>
        <v>#REF!</v>
      </c>
      <c r="M788" s="148" t="e">
        <f>IF(L788&lt;10,J788+#REF!+#REF!,18)</f>
        <v>#REF!</v>
      </c>
      <c r="N788" s="148" t="e">
        <f>INDEX('دورة1 دورة2'!B10:BJ43,MATCH("gg",'دورة1 دورة2'!B10:B43,0),65)</f>
        <v>#REF!</v>
      </c>
      <c r="O788" s="148" t="e">
        <f>LOOKUP("r",'دورة1 دورة2'!B:B,'دورة1 دورة2'!#REF!)</f>
        <v>#REF!</v>
      </c>
      <c r="P788" s="341" t="e">
        <f>(I788+#REF!+#REF!+#REF!+#REF!+#REF!+#REF!)/14</f>
        <v>#REF!</v>
      </c>
      <c r="Q788" s="146" t="e">
        <f>IF(P788&lt;10,M788+#REF!+#REF!+#REF!,30)</f>
        <v>#REF!</v>
      </c>
      <c r="R788" s="343" t="str">
        <f>INDEX('دورة1 دورة2'!B10:BJ43,MATCH("gg",'دورة1 دورة2'!B10:B43,0),60)</f>
        <v>د1</v>
      </c>
      <c r="S788" s="131"/>
    </row>
    <row r="789" spans="1:18" ht="17.25" customHeight="1" thickBot="1">
      <c r="A789" s="62" t="s">
        <v>150</v>
      </c>
      <c r="B789" s="135" t="e">
        <f>(P781+P788)/2</f>
        <v>#VALUE!</v>
      </c>
      <c r="C789" s="759" t="s">
        <v>461</v>
      </c>
      <c r="D789" s="760"/>
      <c r="E789" s="760"/>
      <c r="F789" s="761"/>
      <c r="G789" s="136" t="e">
        <f>Q781+Q788</f>
        <v>#VALUE!</v>
      </c>
      <c r="H789" s="6"/>
      <c r="I789" s="6"/>
      <c r="J789" s="134" t="s">
        <v>72</v>
      </c>
      <c r="K789" s="202"/>
      <c r="L789" s="6"/>
      <c r="M789" s="6"/>
      <c r="N789" s="6"/>
      <c r="O789" s="6"/>
      <c r="P789" s="583">
        <v>120</v>
      </c>
      <c r="Q789" s="130"/>
      <c r="R789" s="130"/>
    </row>
    <row r="790" spans="1:18" ht="16.5" customHeight="1" thickBot="1">
      <c r="A790" s="62" t="s">
        <v>121</v>
      </c>
      <c r="B790" s="75" t="e">
        <f>IF(B789&lt;10,"راسب(ة)","ناجح(ة)")</f>
        <v>#VALUE!</v>
      </c>
      <c r="G790" s="129"/>
      <c r="I790" s="80"/>
      <c r="J790" s="134" t="s">
        <v>73</v>
      </c>
      <c r="K790" s="6"/>
      <c r="L790" s="6"/>
      <c r="M790" s="6"/>
      <c r="N790" s="6"/>
      <c r="O790" s="6"/>
      <c r="P790" s="133">
        <v>120</v>
      </c>
      <c r="Q790" s="5"/>
      <c r="R790" s="5"/>
    </row>
    <row r="791" spans="1:7" ht="16.5" customHeight="1">
      <c r="A791" s="62" t="s">
        <v>120</v>
      </c>
      <c r="B791" s="77">
        <f ca="1">TODAY()</f>
        <v>43188</v>
      </c>
      <c r="G791" s="129"/>
    </row>
    <row r="792" spans="1:14" ht="16.5" customHeight="1">
      <c r="A792" s="62" t="s">
        <v>74</v>
      </c>
      <c r="B792" s="8" t="s">
        <v>119</v>
      </c>
      <c r="L792" s="762" t="s">
        <v>29</v>
      </c>
      <c r="M792" s="762"/>
      <c r="N792" s="75"/>
    </row>
    <row r="793" spans="1:17" ht="20.25">
      <c r="A793" s="187" t="s">
        <v>45</v>
      </c>
      <c r="B793" s="188"/>
      <c r="C793" s="188"/>
      <c r="D793" s="188"/>
      <c r="E793" s="188"/>
      <c r="F793" s="188"/>
      <c r="G793" s="188"/>
      <c r="H793" s="189"/>
      <c r="I793" s="189"/>
      <c r="J793" s="189"/>
      <c r="K793" s="189"/>
      <c r="L793" s="189"/>
      <c r="M793" s="78" t="s">
        <v>46</v>
      </c>
      <c r="N793" s="189"/>
      <c r="O793" s="78"/>
      <c r="P793" s="189"/>
      <c r="Q793" s="189"/>
    </row>
    <row r="794" spans="6:10" ht="15" customHeight="1">
      <c r="F794" s="191" t="s">
        <v>47</v>
      </c>
      <c r="G794" s="10" t="s">
        <v>19</v>
      </c>
      <c r="H794" s="10"/>
      <c r="I794" s="10"/>
      <c r="J794" s="10"/>
    </row>
    <row r="795" spans="6:10" ht="15" customHeight="1">
      <c r="F795" s="191" t="s">
        <v>48</v>
      </c>
      <c r="G795" s="10" t="s">
        <v>49</v>
      </c>
      <c r="H795" s="10"/>
      <c r="I795" s="10"/>
      <c r="J795" s="10"/>
    </row>
    <row r="796" spans="6:10" ht="15" customHeight="1">
      <c r="F796" s="191" t="s">
        <v>50</v>
      </c>
      <c r="G796" s="10" t="s">
        <v>51</v>
      </c>
      <c r="H796" s="10"/>
      <c r="I796" s="10"/>
      <c r="J796" s="10"/>
    </row>
    <row r="797" spans="4:11" ht="21" customHeight="1">
      <c r="D797" s="782" t="s">
        <v>99</v>
      </c>
      <c r="E797" s="782"/>
      <c r="F797" s="782"/>
      <c r="G797" s="782"/>
      <c r="H797" s="782"/>
      <c r="I797" s="782"/>
      <c r="J797" s="782"/>
      <c r="K797" s="782"/>
    </row>
    <row r="798" spans="1:18" ht="18">
      <c r="A798" s="2" t="s">
        <v>148</v>
      </c>
      <c r="B798" s="196" t="str">
        <f>B6</f>
        <v>2017/2018</v>
      </c>
      <c r="C798" s="62"/>
      <c r="E798" s="61"/>
      <c r="F798" s="62"/>
      <c r="G798" s="157"/>
      <c r="H798" s="62"/>
      <c r="I798" s="61"/>
      <c r="J798" s="61"/>
      <c r="K798" s="61"/>
      <c r="L798" s="151"/>
      <c r="M798" s="151"/>
      <c r="N798" s="151"/>
      <c r="O798" s="151"/>
      <c r="P798" s="61"/>
      <c r="Q798" s="61"/>
      <c r="R798" s="61"/>
    </row>
    <row r="799" spans="1:18" ht="15.75" customHeight="1">
      <c r="A799" s="62" t="s">
        <v>147</v>
      </c>
      <c r="B799" s="190" t="str">
        <f>INDEX('دورة1 دورة2'!B10:BJ43,MATCH("hh",'دورة1 دورة2'!B10:B43,0),3)</f>
        <v> </v>
      </c>
      <c r="C799" s="158" t="s">
        <v>146</v>
      </c>
      <c r="D799" s="186" t="str">
        <f>INDEX('دورة1 دورة2'!B10:BJ43,MATCH("hh",'دورة1 دورة2'!B10:B43,0),4)</f>
        <v> </v>
      </c>
      <c r="E799" s="62"/>
      <c r="F799" s="158" t="s">
        <v>52</v>
      </c>
      <c r="G799" s="783">
        <f>INDEX('دورة1 دورة2'!B10:BJ43,MATCH("hh",'دورة1 دورة2'!B10:B43,0),6)</f>
        <v>0</v>
      </c>
      <c r="H799" s="783"/>
      <c r="I799" s="783"/>
      <c r="J799" s="61"/>
      <c r="K799" s="132" t="s">
        <v>53</v>
      </c>
      <c r="L799" s="784">
        <f>INDEX('دورة1 دورة2'!B10:BJ43,MATCH("hh",'دورة1 دورة2'!B10:B43,0),7)</f>
        <v>0</v>
      </c>
      <c r="M799" s="784"/>
      <c r="O799" s="186"/>
      <c r="P799" s="8" t="s">
        <v>54</v>
      </c>
      <c r="Q799" s="784">
        <f>INDEX('دورة1 دورة2'!B10:BJ43,MATCH("hh",'دورة1 دورة2'!B10:B43,0),8)</f>
        <v>0</v>
      </c>
      <c r="R799" s="784"/>
    </row>
    <row r="800" spans="1:18" ht="15" customHeight="1">
      <c r="A800" s="2" t="s">
        <v>149</v>
      </c>
      <c r="B800" s="190">
        <f>INDEX('دورة1 دورة2'!B10:BJ43,MATCH("hh",'دورة1 دورة2'!B10:B43,0),5)</f>
        <v>0</v>
      </c>
      <c r="C800" s="166"/>
      <c r="D800" s="9" t="s">
        <v>55</v>
      </c>
      <c r="E800" s="11" t="s">
        <v>56</v>
      </c>
      <c r="F800" s="11"/>
      <c r="G800" s="156"/>
      <c r="H800" s="11"/>
      <c r="I800" s="9"/>
      <c r="J800" s="9" t="s">
        <v>57</v>
      </c>
      <c r="K800" s="9"/>
      <c r="L800" s="11"/>
      <c r="N800" s="4" t="s">
        <v>98</v>
      </c>
      <c r="O800" s="2" t="s">
        <v>98</v>
      </c>
      <c r="P800" s="10" t="s">
        <v>97</v>
      </c>
      <c r="R800" s="61"/>
    </row>
    <row r="801" spans="1:16" ht="15.75" thickBot="1">
      <c r="A801" s="3" t="s">
        <v>58</v>
      </c>
      <c r="B801" s="139" t="s">
        <v>200</v>
      </c>
      <c r="C801" s="139"/>
      <c r="G801" s="129"/>
      <c r="J801" s="4"/>
      <c r="K801" s="4"/>
      <c r="M801" s="4"/>
      <c r="N801" s="4"/>
      <c r="O801" s="126"/>
      <c r="P801" s="126"/>
    </row>
    <row r="802" spans="1:18" ht="30.75" customHeight="1" thickBot="1" thickTop="1">
      <c r="A802" s="775" t="s">
        <v>25</v>
      </c>
      <c r="B802" s="777" t="s">
        <v>59</v>
      </c>
      <c r="C802" s="777"/>
      <c r="D802" s="778"/>
      <c r="E802" s="777"/>
      <c r="F802" s="777" t="s">
        <v>60</v>
      </c>
      <c r="G802" s="777"/>
      <c r="H802" s="777"/>
      <c r="I802" s="777" t="s">
        <v>61</v>
      </c>
      <c r="J802" s="777"/>
      <c r="K802" s="777"/>
      <c r="L802" s="777"/>
      <c r="M802" s="777"/>
      <c r="N802" s="777"/>
      <c r="O802" s="777"/>
      <c r="P802" s="777"/>
      <c r="Q802" s="777"/>
      <c r="R802" s="779"/>
    </row>
    <row r="803" spans="1:18" ht="15.75" thickBot="1">
      <c r="A803" s="776"/>
      <c r="B803" s="780" t="s">
        <v>63</v>
      </c>
      <c r="C803" s="771" t="s">
        <v>62</v>
      </c>
      <c r="D803" s="149" t="s">
        <v>64</v>
      </c>
      <c r="E803" s="781" t="s">
        <v>65</v>
      </c>
      <c r="F803" s="771" t="s">
        <v>66</v>
      </c>
      <c r="G803" s="138" t="s">
        <v>64</v>
      </c>
      <c r="H803" s="771" t="s">
        <v>65</v>
      </c>
      <c r="I803" s="771" t="s">
        <v>67</v>
      </c>
      <c r="J803" s="771"/>
      <c r="K803" s="771"/>
      <c r="L803" s="771" t="s">
        <v>68</v>
      </c>
      <c r="M803" s="771"/>
      <c r="N803" s="771"/>
      <c r="O803" s="771"/>
      <c r="P803" s="771" t="s">
        <v>25</v>
      </c>
      <c r="Q803" s="771"/>
      <c r="R803" s="772"/>
    </row>
    <row r="804" spans="1:21" ht="15.75" thickBot="1">
      <c r="A804" s="776"/>
      <c r="B804" s="780"/>
      <c r="C804" s="771"/>
      <c r="D804" s="150" t="s">
        <v>69</v>
      </c>
      <c r="E804" s="781"/>
      <c r="F804" s="771"/>
      <c r="G804" s="138" t="s">
        <v>69</v>
      </c>
      <c r="H804" s="771"/>
      <c r="I804" s="133" t="s">
        <v>70</v>
      </c>
      <c r="J804" s="133" t="s">
        <v>100</v>
      </c>
      <c r="K804" s="133" t="s">
        <v>96</v>
      </c>
      <c r="L804" s="133" t="s">
        <v>70</v>
      </c>
      <c r="M804" s="133" t="s">
        <v>100</v>
      </c>
      <c r="N804" s="133" t="s">
        <v>96</v>
      </c>
      <c r="O804" s="133" t="s">
        <v>93</v>
      </c>
      <c r="P804" s="133" t="s">
        <v>70</v>
      </c>
      <c r="Q804" s="133" t="s">
        <v>100</v>
      </c>
      <c r="R804" s="140" t="s">
        <v>96</v>
      </c>
      <c r="U804" s="134"/>
    </row>
    <row r="805" spans="1:21" ht="16.5" customHeight="1" thickBot="1">
      <c r="A805" s="773" t="s">
        <v>457</v>
      </c>
      <c r="B805" s="769" t="s">
        <v>126</v>
      </c>
      <c r="C805" s="769" t="s">
        <v>122</v>
      </c>
      <c r="D805" s="774">
        <v>18</v>
      </c>
      <c r="E805" s="769">
        <v>7</v>
      </c>
      <c r="F805" s="588" t="s">
        <v>205</v>
      </c>
      <c r="G805" s="137">
        <v>7</v>
      </c>
      <c r="H805" s="144">
        <v>3</v>
      </c>
      <c r="I805" s="145">
        <f>INDEX('دورة1 دورة2'!B10:BJ43,MATCH("hh",'دورة1 دورة2'!B10:B43,0),9)</f>
        <v>0</v>
      </c>
      <c r="J805" s="146">
        <f>IF(I805&lt;30,0,7)</f>
        <v>0</v>
      </c>
      <c r="K805" s="199" t="str">
        <f>INDEX('دورة1 دورة2'!B10:BJ43,MATCH("hh",'دورة1 دورة2'!B10:B43,0),11)</f>
        <v>د1</v>
      </c>
      <c r="L805" s="770">
        <f>(I805+I806+I807)/7</f>
        <v>0</v>
      </c>
      <c r="M805" s="763">
        <f>IF(L805&lt;10,J805+J806+J807,18)</f>
        <v>0</v>
      </c>
      <c r="N805" s="763" t="str">
        <f>INDEX('دورة1 دورة2'!B10:BJ43,MATCH("hh",'دورة1 دورة2'!B10:B43,0),20)</f>
        <v>د1</v>
      </c>
      <c r="O805" s="763">
        <f>LOOKUP("r",'دورة1 دورة2'!B:B,'دورة1 دورة2'!AG:AG)</f>
        <v>2018</v>
      </c>
      <c r="P805" s="765">
        <f>(I805+I806+I807+I808+I809+I810+I811)/14</f>
        <v>0</v>
      </c>
      <c r="Q805" s="766">
        <f>IF(P805&lt;10,M805+M808+M810+M811,30)</f>
        <v>0</v>
      </c>
      <c r="R805" s="767" t="str">
        <f>INDEX('دورة1 دورة2'!B10:BJ43,MATCH("hh",'دورة1 دورة2'!B10:B43,0),51)</f>
        <v>د1</v>
      </c>
      <c r="S805" s="764"/>
      <c r="U805" s="134"/>
    </row>
    <row r="806" spans="1:19" ht="16.5" customHeight="1" thickBot="1">
      <c r="A806" s="773"/>
      <c r="B806" s="769"/>
      <c r="C806" s="769"/>
      <c r="D806" s="769"/>
      <c r="E806" s="769"/>
      <c r="F806" s="589" t="s">
        <v>206</v>
      </c>
      <c r="G806" s="137">
        <v>6</v>
      </c>
      <c r="H806" s="144">
        <v>2</v>
      </c>
      <c r="I806" s="145">
        <f>INDEX('دورة1 دورة2'!B10:BJ43,MATCH("hh",'دورة1 دورة2'!B10:B43,0),12)</f>
        <v>0</v>
      </c>
      <c r="J806" s="146">
        <f>IF(I806&lt;20,0,6)</f>
        <v>0</v>
      </c>
      <c r="K806" s="199" t="str">
        <f>INDEX('دورة1 دورة2'!B10:BJ43,MATCH("hh",'دورة1 دورة2'!B10:B43,0),14)</f>
        <v>د1</v>
      </c>
      <c r="L806" s="770"/>
      <c r="M806" s="763"/>
      <c r="N806" s="763"/>
      <c r="O806" s="763"/>
      <c r="P806" s="765"/>
      <c r="Q806" s="766"/>
      <c r="R806" s="767"/>
      <c r="S806" s="764"/>
    </row>
    <row r="807" spans="1:19" ht="16.5" customHeight="1" thickBot="1">
      <c r="A807" s="773"/>
      <c r="B807" s="769"/>
      <c r="C807" s="769"/>
      <c r="D807" s="769"/>
      <c r="E807" s="769"/>
      <c r="F807" s="589" t="s">
        <v>207</v>
      </c>
      <c r="G807" s="137">
        <v>5</v>
      </c>
      <c r="H807" s="144">
        <v>2</v>
      </c>
      <c r="I807" s="145">
        <f>INDEX('دورة1 دورة2'!B10:BJ43,MATCH("hh",'دورة1 دورة2'!B10:B43,0),15)</f>
        <v>0</v>
      </c>
      <c r="J807" s="146">
        <f>IF(I807&lt;20,0,5)</f>
        <v>0</v>
      </c>
      <c r="K807" s="199" t="str">
        <f>INDEX('دورة1 دورة2'!B10:BJ43,MATCH("hh",'دورة1 دورة2'!B10:B43,0),17)</f>
        <v>د1</v>
      </c>
      <c r="L807" s="770"/>
      <c r="M807" s="763"/>
      <c r="N807" s="763"/>
      <c r="O807" s="763"/>
      <c r="P807" s="765"/>
      <c r="Q807" s="766"/>
      <c r="R807" s="767"/>
      <c r="S807" s="764"/>
    </row>
    <row r="808" spans="1:19" ht="16.5" customHeight="1" thickBot="1">
      <c r="A808" s="773"/>
      <c r="B808" s="769" t="s">
        <v>127</v>
      </c>
      <c r="C808" s="769" t="s">
        <v>123</v>
      </c>
      <c r="D808" s="769">
        <v>9</v>
      </c>
      <c r="E808" s="769">
        <v>4</v>
      </c>
      <c r="F808" s="590" t="s">
        <v>208</v>
      </c>
      <c r="G808" s="137">
        <v>5</v>
      </c>
      <c r="H808" s="144">
        <v>2</v>
      </c>
      <c r="I808" s="145">
        <f>INDEX('دورة1 دورة2'!B10:BJ43,MATCH("hh",'دورة1 دورة2'!B10:B43,0),23)</f>
        <v>0</v>
      </c>
      <c r="J808" s="146">
        <f>IF(I808&lt;20,0,5)</f>
        <v>0</v>
      </c>
      <c r="K808" s="199" t="str">
        <f>INDEX('دورة1 دورة2'!B10:BJ43,MATCH("hh",'دورة1 دورة2'!B10:B43,0),25)</f>
        <v>د1</v>
      </c>
      <c r="L808" s="770">
        <f>(I809+I808)/4</f>
        <v>0</v>
      </c>
      <c r="M808" s="763">
        <f>IF(L808&lt;10,J809+J808,9)</f>
        <v>0</v>
      </c>
      <c r="N808" s="763" t="str">
        <f>INDEX('دورة1 دورة2'!B10:BJ43,MATCH("hh",'دورة1 دورة2'!B10:B43,0),31)</f>
        <v>د1</v>
      </c>
      <c r="O808" s="763">
        <f>LOOKUP("r",'دورة1 دورة2'!B:B,'دورة1 دورة2'!AN:AN)</f>
        <v>2018</v>
      </c>
      <c r="P808" s="765"/>
      <c r="Q808" s="766"/>
      <c r="R808" s="767"/>
      <c r="S808" s="764"/>
    </row>
    <row r="809" spans="1:19" ht="16.5" customHeight="1" thickBot="1">
      <c r="A809" s="773"/>
      <c r="B809" s="769"/>
      <c r="C809" s="769"/>
      <c r="D809" s="769"/>
      <c r="E809" s="769"/>
      <c r="F809" s="589" t="s">
        <v>209</v>
      </c>
      <c r="G809" s="137">
        <v>4</v>
      </c>
      <c r="H809" s="144">
        <v>2</v>
      </c>
      <c r="I809" s="145">
        <f>INDEX('دورة1 دورة2'!B10:BJ43,MATCH("hh",'دورة1 دورة2'!B10:B43,0),26)</f>
        <v>0</v>
      </c>
      <c r="J809" s="146">
        <f>IF(I809&lt;20,0,4)</f>
        <v>0</v>
      </c>
      <c r="K809" s="199" t="str">
        <f>INDEX('دورة1 دورة2'!B10:BJ43,MATCH("hh",'دورة1 دورة2'!B10:B43,0),28)</f>
        <v>د1</v>
      </c>
      <c r="L809" s="770"/>
      <c r="M809" s="763"/>
      <c r="N809" s="763"/>
      <c r="O809" s="763"/>
      <c r="P809" s="765"/>
      <c r="Q809" s="766"/>
      <c r="R809" s="767"/>
      <c r="S809" s="764"/>
    </row>
    <row r="810" spans="1:19" ht="16.5" customHeight="1" thickBot="1">
      <c r="A810" s="773"/>
      <c r="B810" s="137" t="s">
        <v>128</v>
      </c>
      <c r="C810" s="137" t="s">
        <v>124</v>
      </c>
      <c r="D810" s="137">
        <v>2</v>
      </c>
      <c r="E810" s="137">
        <v>2</v>
      </c>
      <c r="F810" s="589" t="s">
        <v>211</v>
      </c>
      <c r="G810" s="137">
        <v>2</v>
      </c>
      <c r="H810" s="144">
        <v>2</v>
      </c>
      <c r="I810" s="145">
        <f>INDEX('دورة1 دورة2'!B10:BJ43,MATCH("hh",'دورة1 دورة2'!B10:B43,0),34)</f>
        <v>0</v>
      </c>
      <c r="J810" s="146">
        <f>IF(I810&lt;20,0,2)</f>
        <v>0</v>
      </c>
      <c r="K810" s="199" t="str">
        <f>INDEX('دورة1 دورة2'!B10:BJ43,MATCH("hh",'دورة1 دورة2'!B10:B43,0),36)</f>
        <v>د1</v>
      </c>
      <c r="L810" s="147">
        <f>I810/2</f>
        <v>0</v>
      </c>
      <c r="M810" s="148">
        <f>J810</f>
        <v>0</v>
      </c>
      <c r="N810" s="199" t="str">
        <f>INDEX('دورة1 دورة2'!B10:BJ43,MATCH("hh",'دورة1 دورة2'!B10:B43,0),36)</f>
        <v>د1</v>
      </c>
      <c r="O810" s="146">
        <f>LOOKUP("r",'دورة1 دورة2'!B:B,'دورة1 دورة2'!AU:AU)</f>
        <v>2018</v>
      </c>
      <c r="P810" s="765"/>
      <c r="Q810" s="766"/>
      <c r="R810" s="767"/>
      <c r="S810" s="131"/>
    </row>
    <row r="811" spans="1:19" ht="16.5" customHeight="1" thickBot="1">
      <c r="A811" s="773"/>
      <c r="B811" s="137" t="s">
        <v>129</v>
      </c>
      <c r="C811" s="137" t="s">
        <v>125</v>
      </c>
      <c r="D811" s="137">
        <v>1</v>
      </c>
      <c r="E811" s="137">
        <v>1</v>
      </c>
      <c r="F811" s="591" t="s">
        <v>191</v>
      </c>
      <c r="G811" s="137">
        <v>1</v>
      </c>
      <c r="H811" s="144">
        <v>1</v>
      </c>
      <c r="I811" s="145">
        <f>INDEX('دورة1 دورة2'!B10:BJ43,MATCH("hh",'دورة1 دورة2'!B10:B43,0),41)</f>
        <v>0</v>
      </c>
      <c r="J811" s="146">
        <f>IF(I811&lt;10,0,1)</f>
        <v>0</v>
      </c>
      <c r="K811" s="199" t="str">
        <f>INDEX('دورة1 دورة2'!B10:BJ43,MATCH("hh",'دورة1 دورة2'!B10:B43,0),43)</f>
        <v>د1</v>
      </c>
      <c r="L811" s="147">
        <f>I811</f>
        <v>0</v>
      </c>
      <c r="M811" s="148">
        <f>J811</f>
        <v>0</v>
      </c>
      <c r="N811" s="199" t="str">
        <f>INDEX('دورة1 دورة2'!B10:BJ43,MATCH("hh",'دورة1 دورة2'!B10:B43,0),43)</f>
        <v>د1</v>
      </c>
      <c r="O811" s="146">
        <f>LOOKUP("r",'دورة1 دورة2'!B:B,'دورة1 دورة2'!AU:AU)</f>
        <v>2018</v>
      </c>
      <c r="P811" s="765"/>
      <c r="Q811" s="766"/>
      <c r="R811" s="768"/>
      <c r="S811" s="131"/>
    </row>
    <row r="812" spans="1:19" ht="82.5" customHeight="1" thickBot="1">
      <c r="A812" s="342" t="s">
        <v>458</v>
      </c>
      <c r="B812" s="137" t="s">
        <v>126</v>
      </c>
      <c r="C812" s="137" t="s">
        <v>122</v>
      </c>
      <c r="D812" s="137">
        <v>18</v>
      </c>
      <c r="E812" s="137">
        <v>7</v>
      </c>
      <c r="F812" s="592" t="s">
        <v>213</v>
      </c>
      <c r="G812" s="137">
        <v>7</v>
      </c>
      <c r="H812" s="144">
        <v>2</v>
      </c>
      <c r="I812" s="145">
        <f>INDEX('دورة1 دورة2'!B10:BJ43,MATCH("hh",'دورة1 دورة2'!B10:B43,0),54)</f>
        <v>0</v>
      </c>
      <c r="J812" s="146">
        <f>IF(I812&lt;300,0,30)</f>
        <v>0</v>
      </c>
      <c r="K812" s="199" t="str">
        <f>INDEX('دورة1 دورة2'!B10:BJ43,MATCH("hh",'دورة1 دورة2'!B10:B43,0),56)</f>
        <v>د1</v>
      </c>
      <c r="L812" s="147" t="e">
        <f>(I812+#REF!+#REF!+#REF!)/7</f>
        <v>#REF!</v>
      </c>
      <c r="M812" s="148" t="e">
        <f>IF(L812&lt;10,J812+#REF!+#REF!,18)</f>
        <v>#REF!</v>
      </c>
      <c r="N812" s="148" t="e">
        <f>INDEX('دورة1 دورة2'!B10:BJ43,MATCH("hh",'دورة1 دورة2'!B10:B43,0),65)</f>
        <v>#REF!</v>
      </c>
      <c r="O812" s="148" t="e">
        <f>LOOKUP("r",'دورة1 دورة2'!B:B,'دورة1 دورة2'!#REF!)</f>
        <v>#REF!</v>
      </c>
      <c r="P812" s="341" t="e">
        <f>(I812+#REF!+#REF!+#REF!+#REF!+#REF!+#REF!)/14</f>
        <v>#REF!</v>
      </c>
      <c r="Q812" s="146" t="e">
        <f>IF(P812&lt;10,M812+#REF!+#REF!+#REF!,30)</f>
        <v>#REF!</v>
      </c>
      <c r="R812" s="343" t="str">
        <f>INDEX('دورة1 دورة2'!B10:BJ43,MATCH("hh",'دورة1 دورة2'!B10:B43,0),60)</f>
        <v>د1</v>
      </c>
      <c r="S812" s="131"/>
    </row>
    <row r="813" spans="1:18" ht="17.25" customHeight="1" thickBot="1">
      <c r="A813" s="62" t="s">
        <v>150</v>
      </c>
      <c r="B813" s="135" t="e">
        <f>(P805+P812)/2</f>
        <v>#REF!</v>
      </c>
      <c r="C813" s="759" t="s">
        <v>461</v>
      </c>
      <c r="D813" s="760"/>
      <c r="E813" s="760"/>
      <c r="F813" s="761"/>
      <c r="G813" s="136" t="e">
        <f>Q805+Q812</f>
        <v>#REF!</v>
      </c>
      <c r="H813" s="6"/>
      <c r="I813" s="6"/>
      <c r="J813" s="134" t="s">
        <v>72</v>
      </c>
      <c r="K813" s="202"/>
      <c r="L813" s="6"/>
      <c r="M813" s="6"/>
      <c r="N813" s="6"/>
      <c r="O813" s="6"/>
      <c r="P813" s="583">
        <v>120</v>
      </c>
      <c r="Q813" s="130"/>
      <c r="R813" s="130"/>
    </row>
    <row r="814" spans="1:18" ht="16.5" customHeight="1" thickBot="1">
      <c r="A814" s="62" t="s">
        <v>121</v>
      </c>
      <c r="B814" s="75" t="e">
        <f>IF(B813&lt;10,"راسب(ة)","ناجح(ة)")</f>
        <v>#REF!</v>
      </c>
      <c r="G814" s="129"/>
      <c r="I814" s="80"/>
      <c r="J814" s="134" t="s">
        <v>73</v>
      </c>
      <c r="K814" s="6"/>
      <c r="L814" s="6"/>
      <c r="M814" s="6"/>
      <c r="N814" s="6"/>
      <c r="O814" s="6"/>
      <c r="P814" s="133">
        <v>120</v>
      </c>
      <c r="Q814" s="5"/>
      <c r="R814" s="5"/>
    </row>
    <row r="815" spans="1:7" ht="16.5" customHeight="1">
      <c r="A815" s="62" t="s">
        <v>120</v>
      </c>
      <c r="B815" s="77">
        <f ca="1">TODAY()</f>
        <v>43188</v>
      </c>
      <c r="G815" s="129"/>
    </row>
    <row r="816" spans="1:14" ht="16.5" customHeight="1">
      <c r="A816" s="62" t="s">
        <v>74</v>
      </c>
      <c r="B816" s="8"/>
      <c r="L816" s="762" t="s">
        <v>29</v>
      </c>
      <c r="M816" s="762"/>
      <c r="N816" s="75"/>
    </row>
  </sheetData>
  <sheetProtection/>
  <mergeCells count="1358">
    <mergeCell ref="L325:L327"/>
    <mergeCell ref="F323:F324"/>
    <mergeCell ref="H323:H324"/>
    <mergeCell ref="I323:K323"/>
    <mergeCell ref="L323:O323"/>
    <mergeCell ref="P323:R323"/>
    <mergeCell ref="M325:M327"/>
    <mergeCell ref="N325:N327"/>
    <mergeCell ref="O325:O327"/>
    <mergeCell ref="P325:P331"/>
    <mergeCell ref="A325:A331"/>
    <mergeCell ref="B325:B327"/>
    <mergeCell ref="C325:C327"/>
    <mergeCell ref="D325:D327"/>
    <mergeCell ref="E325:E327"/>
    <mergeCell ref="G319:I319"/>
    <mergeCell ref="L319:M319"/>
    <mergeCell ref="Q319:R319"/>
    <mergeCell ref="A322:A324"/>
    <mergeCell ref="B322:E322"/>
    <mergeCell ref="F322:H322"/>
    <mergeCell ref="I322:R322"/>
    <mergeCell ref="B323:B324"/>
    <mergeCell ref="C323:C324"/>
    <mergeCell ref="E323:E324"/>
    <mergeCell ref="C309:F309"/>
    <mergeCell ref="L312:M312"/>
    <mergeCell ref="D317:K317"/>
    <mergeCell ref="S301:S303"/>
    <mergeCell ref="L304:L305"/>
    <mergeCell ref="M304:M305"/>
    <mergeCell ref="N304:N305"/>
    <mergeCell ref="O304:O305"/>
    <mergeCell ref="N301:N303"/>
    <mergeCell ref="L301:L303"/>
    <mergeCell ref="A301:A307"/>
    <mergeCell ref="B301:B303"/>
    <mergeCell ref="C301:C303"/>
    <mergeCell ref="D301:D303"/>
    <mergeCell ref="E301:E303"/>
    <mergeCell ref="S304:S305"/>
    <mergeCell ref="Q301:Q307"/>
    <mergeCell ref="R301:R307"/>
    <mergeCell ref="B304:B305"/>
    <mergeCell ref="C304:C305"/>
    <mergeCell ref="O301:O303"/>
    <mergeCell ref="P301:P307"/>
    <mergeCell ref="D304:D305"/>
    <mergeCell ref="E304:E305"/>
    <mergeCell ref="M301:M303"/>
    <mergeCell ref="E299:E300"/>
    <mergeCell ref="F299:F300"/>
    <mergeCell ref="H299:H300"/>
    <mergeCell ref="I299:K299"/>
    <mergeCell ref="L299:O299"/>
    <mergeCell ref="G295:I295"/>
    <mergeCell ref="Q37:Q43"/>
    <mergeCell ref="R37:R43"/>
    <mergeCell ref="B40:B41"/>
    <mergeCell ref="D40:D41"/>
    <mergeCell ref="E40:E41"/>
    <mergeCell ref="L40:L41"/>
    <mergeCell ref="M40:M41"/>
    <mergeCell ref="L37:L39"/>
    <mergeCell ref="C37:C39"/>
    <mergeCell ref="N40:N41"/>
    <mergeCell ref="P11:R11"/>
    <mergeCell ref="G31:I31"/>
    <mergeCell ref="L31:M31"/>
    <mergeCell ref="Q31:R31"/>
    <mergeCell ref="B35:B36"/>
    <mergeCell ref="C35:C36"/>
    <mergeCell ref="E35:E36"/>
    <mergeCell ref="F35:F36"/>
    <mergeCell ref="H35:H36"/>
    <mergeCell ref="Q7:R7"/>
    <mergeCell ref="R13:R19"/>
    <mergeCell ref="L11:O11"/>
    <mergeCell ref="L13:L15"/>
    <mergeCell ref="E13:E15"/>
    <mergeCell ref="B10:E10"/>
    <mergeCell ref="M13:M15"/>
    <mergeCell ref="A10:A12"/>
    <mergeCell ref="A13:A19"/>
    <mergeCell ref="B11:B12"/>
    <mergeCell ref="H11:H12"/>
    <mergeCell ref="B16:B17"/>
    <mergeCell ref="B13:B15"/>
    <mergeCell ref="C13:C15"/>
    <mergeCell ref="F11:F12"/>
    <mergeCell ref="E16:E17"/>
    <mergeCell ref="F10:H10"/>
    <mergeCell ref="D5:K5"/>
    <mergeCell ref="P13:P19"/>
    <mergeCell ref="Q13:Q19"/>
    <mergeCell ref="L7:M7"/>
    <mergeCell ref="N13:N15"/>
    <mergeCell ref="N16:N17"/>
    <mergeCell ref="M16:M17"/>
    <mergeCell ref="O16:O17"/>
    <mergeCell ref="D13:D15"/>
    <mergeCell ref="G7:I7"/>
    <mergeCell ref="C40:C41"/>
    <mergeCell ref="D53:K53"/>
    <mergeCell ref="I10:R10"/>
    <mergeCell ref="I11:K11"/>
    <mergeCell ref="L16:L17"/>
    <mergeCell ref="E11:E12"/>
    <mergeCell ref="C11:C12"/>
    <mergeCell ref="O13:O15"/>
    <mergeCell ref="C16:C17"/>
    <mergeCell ref="D16:D17"/>
    <mergeCell ref="M37:M39"/>
    <mergeCell ref="N37:N39"/>
    <mergeCell ref="L24:M24"/>
    <mergeCell ref="C21:F21"/>
    <mergeCell ref="D29:K29"/>
    <mergeCell ref="E37:E39"/>
    <mergeCell ref="I35:K35"/>
    <mergeCell ref="O37:O39"/>
    <mergeCell ref="P37:P43"/>
    <mergeCell ref="L48:M48"/>
    <mergeCell ref="L295:M295"/>
    <mergeCell ref="Q295:R295"/>
    <mergeCell ref="A298:A300"/>
    <mergeCell ref="B298:E298"/>
    <mergeCell ref="F298:H298"/>
    <mergeCell ref="I298:R298"/>
    <mergeCell ref="B299:B300"/>
    <mergeCell ref="P299:R299"/>
    <mergeCell ref="C299:C300"/>
    <mergeCell ref="L72:M72"/>
    <mergeCell ref="D77:K77"/>
    <mergeCell ref="C285:F285"/>
    <mergeCell ref="L288:M288"/>
    <mergeCell ref="D293:K293"/>
    <mergeCell ref="P277:P283"/>
    <mergeCell ref="Q277:Q283"/>
    <mergeCell ref="D280:D281"/>
    <mergeCell ref="C261:F261"/>
    <mergeCell ref="L264:M264"/>
    <mergeCell ref="O277:O279"/>
    <mergeCell ref="L275:O275"/>
    <mergeCell ref="M277:M279"/>
    <mergeCell ref="N277:N279"/>
    <mergeCell ref="D269:K269"/>
    <mergeCell ref="G271:I271"/>
    <mergeCell ref="P275:R275"/>
    <mergeCell ref="R277:R283"/>
    <mergeCell ref="L271:M271"/>
    <mergeCell ref="Q271:R271"/>
    <mergeCell ref="L256:L257"/>
    <mergeCell ref="S277:S279"/>
    <mergeCell ref="M280:M281"/>
    <mergeCell ref="N280:N281"/>
    <mergeCell ref="O280:O281"/>
    <mergeCell ref="S280:S281"/>
    <mergeCell ref="A277:A283"/>
    <mergeCell ref="B277:B279"/>
    <mergeCell ref="C277:C279"/>
    <mergeCell ref="D277:D279"/>
    <mergeCell ref="E277:E279"/>
    <mergeCell ref="L277:L279"/>
    <mergeCell ref="L280:L281"/>
    <mergeCell ref="E280:E281"/>
    <mergeCell ref="B280:B281"/>
    <mergeCell ref="C280:C281"/>
    <mergeCell ref="A274:A276"/>
    <mergeCell ref="B274:E274"/>
    <mergeCell ref="F274:H274"/>
    <mergeCell ref="I274:R274"/>
    <mergeCell ref="B275:B276"/>
    <mergeCell ref="C275:C276"/>
    <mergeCell ref="E275:E276"/>
    <mergeCell ref="F275:F276"/>
    <mergeCell ref="H275:H276"/>
    <mergeCell ref="I275:K275"/>
    <mergeCell ref="D125:K125"/>
    <mergeCell ref="R253:R259"/>
    <mergeCell ref="S253:S255"/>
    <mergeCell ref="Q253:Q259"/>
    <mergeCell ref="C69:F69"/>
    <mergeCell ref="C45:F45"/>
    <mergeCell ref="G55:I55"/>
    <mergeCell ref="N61:N63"/>
    <mergeCell ref="O61:O63"/>
    <mergeCell ref="P61:P67"/>
    <mergeCell ref="Q55:R55"/>
    <mergeCell ref="A58:A60"/>
    <mergeCell ref="B58:E58"/>
    <mergeCell ref="F58:H58"/>
    <mergeCell ref="I58:R58"/>
    <mergeCell ref="B59:B60"/>
    <mergeCell ref="C59:C60"/>
    <mergeCell ref="E59:E60"/>
    <mergeCell ref="L55:M55"/>
    <mergeCell ref="A61:A67"/>
    <mergeCell ref="B61:B63"/>
    <mergeCell ref="C61:C63"/>
    <mergeCell ref="D61:D63"/>
    <mergeCell ref="E61:E63"/>
    <mergeCell ref="L61:L63"/>
    <mergeCell ref="Q61:Q67"/>
    <mergeCell ref="R61:R67"/>
    <mergeCell ref="F59:F60"/>
    <mergeCell ref="H59:H60"/>
    <mergeCell ref="L59:O59"/>
    <mergeCell ref="P59:R59"/>
    <mergeCell ref="I59:K59"/>
    <mergeCell ref="M64:M65"/>
    <mergeCell ref="S61:S63"/>
    <mergeCell ref="B64:B65"/>
    <mergeCell ref="C64:C65"/>
    <mergeCell ref="D64:D65"/>
    <mergeCell ref="E64:E65"/>
    <mergeCell ref="L64:L65"/>
    <mergeCell ref="N64:N65"/>
    <mergeCell ref="O64:O65"/>
    <mergeCell ref="S64:S65"/>
    <mergeCell ref="M61:M63"/>
    <mergeCell ref="G79:I79"/>
    <mergeCell ref="L79:M79"/>
    <mergeCell ref="Q79:R79"/>
    <mergeCell ref="A82:A84"/>
    <mergeCell ref="B82:E82"/>
    <mergeCell ref="F82:H82"/>
    <mergeCell ref="I82:R82"/>
    <mergeCell ref="B83:B84"/>
    <mergeCell ref="C83:C84"/>
    <mergeCell ref="E83:E84"/>
    <mergeCell ref="F83:F84"/>
    <mergeCell ref="H83:H84"/>
    <mergeCell ref="I83:K83"/>
    <mergeCell ref="L83:O83"/>
    <mergeCell ref="P83:R83"/>
    <mergeCell ref="A85:A91"/>
    <mergeCell ref="B85:B87"/>
    <mergeCell ref="C85:C87"/>
    <mergeCell ref="D85:D87"/>
    <mergeCell ref="E85:E87"/>
    <mergeCell ref="L85:L87"/>
    <mergeCell ref="M85:M87"/>
    <mergeCell ref="N85:N87"/>
    <mergeCell ref="O85:O87"/>
    <mergeCell ref="P85:P91"/>
    <mergeCell ref="Q85:Q91"/>
    <mergeCell ref="R85:R91"/>
    <mergeCell ref="S85:S87"/>
    <mergeCell ref="B88:B89"/>
    <mergeCell ref="C88:C89"/>
    <mergeCell ref="D88:D89"/>
    <mergeCell ref="E88:E89"/>
    <mergeCell ref="L88:L89"/>
    <mergeCell ref="M88:M89"/>
    <mergeCell ref="N88:N89"/>
    <mergeCell ref="O88:O89"/>
    <mergeCell ref="S88:S89"/>
    <mergeCell ref="C93:F93"/>
    <mergeCell ref="L96:M96"/>
    <mergeCell ref="S256:S257"/>
    <mergeCell ref="L253:L255"/>
    <mergeCell ref="M253:M255"/>
    <mergeCell ref="N253:N255"/>
    <mergeCell ref="O253:O255"/>
    <mergeCell ref="P253:P259"/>
    <mergeCell ref="H251:H252"/>
    <mergeCell ref="I251:K251"/>
    <mergeCell ref="L251:O251"/>
    <mergeCell ref="B256:B257"/>
    <mergeCell ref="C256:C257"/>
    <mergeCell ref="D256:D257"/>
    <mergeCell ref="E256:E257"/>
    <mergeCell ref="P251:R251"/>
    <mergeCell ref="A253:A259"/>
    <mergeCell ref="B253:B255"/>
    <mergeCell ref="C253:C255"/>
    <mergeCell ref="D253:D255"/>
    <mergeCell ref="E253:E255"/>
    <mergeCell ref="M256:M257"/>
    <mergeCell ref="N256:N257"/>
    <mergeCell ref="O256:O257"/>
    <mergeCell ref="F251:F252"/>
    <mergeCell ref="G247:I247"/>
    <mergeCell ref="L247:M247"/>
    <mergeCell ref="Q247:R247"/>
    <mergeCell ref="A250:A252"/>
    <mergeCell ref="B250:E250"/>
    <mergeCell ref="F250:H250"/>
    <mergeCell ref="I250:R250"/>
    <mergeCell ref="B251:B252"/>
    <mergeCell ref="C251:C252"/>
    <mergeCell ref="E251:E252"/>
    <mergeCell ref="D101:K101"/>
    <mergeCell ref="G103:I103"/>
    <mergeCell ref="L103:M103"/>
    <mergeCell ref="Q103:R103"/>
    <mergeCell ref="L107:O107"/>
    <mergeCell ref="P107:R107"/>
    <mergeCell ref="A106:A108"/>
    <mergeCell ref="B106:E106"/>
    <mergeCell ref="F106:H106"/>
    <mergeCell ref="I106:R106"/>
    <mergeCell ref="B107:B108"/>
    <mergeCell ref="C107:C108"/>
    <mergeCell ref="E107:E108"/>
    <mergeCell ref="F107:F108"/>
    <mergeCell ref="H107:H108"/>
    <mergeCell ref="I107:K107"/>
    <mergeCell ref="A109:A115"/>
    <mergeCell ref="B109:B111"/>
    <mergeCell ref="C109:C111"/>
    <mergeCell ref="D109:D111"/>
    <mergeCell ref="E109:E111"/>
    <mergeCell ref="L109:L111"/>
    <mergeCell ref="M109:M111"/>
    <mergeCell ref="N109:N111"/>
    <mergeCell ref="O109:O111"/>
    <mergeCell ref="P109:P115"/>
    <mergeCell ref="Q109:Q115"/>
    <mergeCell ref="R109:R115"/>
    <mergeCell ref="S109:S111"/>
    <mergeCell ref="B112:B113"/>
    <mergeCell ref="C112:C113"/>
    <mergeCell ref="D112:D113"/>
    <mergeCell ref="E112:E113"/>
    <mergeCell ref="L112:L113"/>
    <mergeCell ref="M112:M113"/>
    <mergeCell ref="N112:N113"/>
    <mergeCell ref="O112:O113"/>
    <mergeCell ref="S112:S113"/>
    <mergeCell ref="C117:F117"/>
    <mergeCell ref="L120:M120"/>
    <mergeCell ref="G127:I127"/>
    <mergeCell ref="L127:M127"/>
    <mergeCell ref="Q127:R127"/>
    <mergeCell ref="A130:A132"/>
    <mergeCell ref="B130:E130"/>
    <mergeCell ref="F130:H130"/>
    <mergeCell ref="I130:R130"/>
    <mergeCell ref="B131:B132"/>
    <mergeCell ref="C131:C132"/>
    <mergeCell ref="E131:E132"/>
    <mergeCell ref="F131:F132"/>
    <mergeCell ref="H131:H132"/>
    <mergeCell ref="I131:K131"/>
    <mergeCell ref="L131:O131"/>
    <mergeCell ref="P131:R131"/>
    <mergeCell ref="A133:A139"/>
    <mergeCell ref="B133:B135"/>
    <mergeCell ref="C133:C135"/>
    <mergeCell ref="D133:D135"/>
    <mergeCell ref="E133:E135"/>
    <mergeCell ref="L133:L135"/>
    <mergeCell ref="M133:M135"/>
    <mergeCell ref="N133:N135"/>
    <mergeCell ref="O133:O135"/>
    <mergeCell ref="B136:B137"/>
    <mergeCell ref="C136:C137"/>
    <mergeCell ref="D136:D137"/>
    <mergeCell ref="E136:E137"/>
    <mergeCell ref="L136:L137"/>
    <mergeCell ref="M136:M137"/>
    <mergeCell ref="N136:N137"/>
    <mergeCell ref="O136:O137"/>
    <mergeCell ref="S136:S137"/>
    <mergeCell ref="C141:F141"/>
    <mergeCell ref="L144:M144"/>
    <mergeCell ref="D149:K149"/>
    <mergeCell ref="P133:P139"/>
    <mergeCell ref="Q133:Q139"/>
    <mergeCell ref="R133:R139"/>
    <mergeCell ref="S133:S135"/>
    <mergeCell ref="L151:M151"/>
    <mergeCell ref="Q151:R151"/>
    <mergeCell ref="A154:A156"/>
    <mergeCell ref="B154:E154"/>
    <mergeCell ref="F154:H154"/>
    <mergeCell ref="I154:R154"/>
    <mergeCell ref="B155:B156"/>
    <mergeCell ref="C155:C156"/>
    <mergeCell ref="E155:E156"/>
    <mergeCell ref="A157:A163"/>
    <mergeCell ref="B157:B159"/>
    <mergeCell ref="C157:C159"/>
    <mergeCell ref="D157:D159"/>
    <mergeCell ref="E157:E159"/>
    <mergeCell ref="G151:I151"/>
    <mergeCell ref="Q157:Q163"/>
    <mergeCell ref="F155:F156"/>
    <mergeCell ref="H155:H156"/>
    <mergeCell ref="I155:K155"/>
    <mergeCell ref="L155:O155"/>
    <mergeCell ref="P155:R155"/>
    <mergeCell ref="O160:O161"/>
    <mergeCell ref="L157:L159"/>
    <mergeCell ref="M157:M159"/>
    <mergeCell ref="N157:N159"/>
    <mergeCell ref="O157:O159"/>
    <mergeCell ref="P157:P163"/>
    <mergeCell ref="B160:B161"/>
    <mergeCell ref="C160:C161"/>
    <mergeCell ref="D160:D161"/>
    <mergeCell ref="E160:E161"/>
    <mergeCell ref="L160:L161"/>
    <mergeCell ref="M160:M161"/>
    <mergeCell ref="S160:S161"/>
    <mergeCell ref="C165:F165"/>
    <mergeCell ref="L168:M168"/>
    <mergeCell ref="D173:K173"/>
    <mergeCell ref="G175:I175"/>
    <mergeCell ref="L175:M175"/>
    <mergeCell ref="Q175:R175"/>
    <mergeCell ref="R157:R163"/>
    <mergeCell ref="S157:S159"/>
    <mergeCell ref="N160:N161"/>
    <mergeCell ref="A178:A180"/>
    <mergeCell ref="B178:E178"/>
    <mergeCell ref="F178:H178"/>
    <mergeCell ref="I178:R178"/>
    <mergeCell ref="B179:B180"/>
    <mergeCell ref="C179:C180"/>
    <mergeCell ref="E179:E180"/>
    <mergeCell ref="F179:F180"/>
    <mergeCell ref="H179:H180"/>
    <mergeCell ref="I179:K179"/>
    <mergeCell ref="L179:O179"/>
    <mergeCell ref="P179:R179"/>
    <mergeCell ref="A181:A187"/>
    <mergeCell ref="B181:B183"/>
    <mergeCell ref="C181:C183"/>
    <mergeCell ref="D181:D183"/>
    <mergeCell ref="E181:E183"/>
    <mergeCell ref="L181:L183"/>
    <mergeCell ref="M181:M183"/>
    <mergeCell ref="N181:N183"/>
    <mergeCell ref="O181:O183"/>
    <mergeCell ref="P181:P187"/>
    <mergeCell ref="Q181:Q187"/>
    <mergeCell ref="R181:R187"/>
    <mergeCell ref="S181:S183"/>
    <mergeCell ref="B184:B185"/>
    <mergeCell ref="C184:C185"/>
    <mergeCell ref="D184:D185"/>
    <mergeCell ref="E184:E185"/>
    <mergeCell ref="L184:L185"/>
    <mergeCell ref="M184:M185"/>
    <mergeCell ref="N184:N185"/>
    <mergeCell ref="O184:O185"/>
    <mergeCell ref="S184:S185"/>
    <mergeCell ref="C189:F189"/>
    <mergeCell ref="L192:M192"/>
    <mergeCell ref="D197:K197"/>
    <mergeCell ref="G199:I199"/>
    <mergeCell ref="L199:M199"/>
    <mergeCell ref="Q199:R199"/>
    <mergeCell ref="A202:A204"/>
    <mergeCell ref="B202:E202"/>
    <mergeCell ref="F202:H202"/>
    <mergeCell ref="I202:R202"/>
    <mergeCell ref="B203:B204"/>
    <mergeCell ref="C203:C204"/>
    <mergeCell ref="E203:E204"/>
    <mergeCell ref="F203:F204"/>
    <mergeCell ref="H203:H204"/>
    <mergeCell ref="I203:K203"/>
    <mergeCell ref="L203:O203"/>
    <mergeCell ref="P203:R203"/>
    <mergeCell ref="A205:A211"/>
    <mergeCell ref="B205:B207"/>
    <mergeCell ref="C205:C207"/>
    <mergeCell ref="D205:D207"/>
    <mergeCell ref="E205:E207"/>
    <mergeCell ref="L205:L207"/>
    <mergeCell ref="M205:M207"/>
    <mergeCell ref="N205:N207"/>
    <mergeCell ref="O205:O207"/>
    <mergeCell ref="P205:P211"/>
    <mergeCell ref="Q205:Q211"/>
    <mergeCell ref="R205:R211"/>
    <mergeCell ref="S205:S207"/>
    <mergeCell ref="B208:B209"/>
    <mergeCell ref="C208:C209"/>
    <mergeCell ref="D208:D209"/>
    <mergeCell ref="E208:E209"/>
    <mergeCell ref="L208:L209"/>
    <mergeCell ref="M208:M209"/>
    <mergeCell ref="N208:N209"/>
    <mergeCell ref="O208:O209"/>
    <mergeCell ref="S208:S209"/>
    <mergeCell ref="C213:F213"/>
    <mergeCell ref="L216:M216"/>
    <mergeCell ref="D221:K221"/>
    <mergeCell ref="G223:I223"/>
    <mergeCell ref="L223:M223"/>
    <mergeCell ref="Q223:R223"/>
    <mergeCell ref="A226:A228"/>
    <mergeCell ref="B226:E226"/>
    <mergeCell ref="F226:H226"/>
    <mergeCell ref="I226:R226"/>
    <mergeCell ref="B227:B228"/>
    <mergeCell ref="C227:C228"/>
    <mergeCell ref="E227:E228"/>
    <mergeCell ref="F227:F228"/>
    <mergeCell ref="H227:H228"/>
    <mergeCell ref="I227:K227"/>
    <mergeCell ref="L227:O227"/>
    <mergeCell ref="P227:R227"/>
    <mergeCell ref="A229:A235"/>
    <mergeCell ref="B229:B231"/>
    <mergeCell ref="C229:C231"/>
    <mergeCell ref="D229:D231"/>
    <mergeCell ref="E229:E231"/>
    <mergeCell ref="L229:L231"/>
    <mergeCell ref="M229:M231"/>
    <mergeCell ref="N229:N231"/>
    <mergeCell ref="O229:O231"/>
    <mergeCell ref="P229:P235"/>
    <mergeCell ref="Q229:Q235"/>
    <mergeCell ref="R229:R235"/>
    <mergeCell ref="S229:S231"/>
    <mergeCell ref="B232:B233"/>
    <mergeCell ref="C232:C233"/>
    <mergeCell ref="D232:D233"/>
    <mergeCell ref="E232:E233"/>
    <mergeCell ref="L232:L233"/>
    <mergeCell ref="M232:M233"/>
    <mergeCell ref="N232:N233"/>
    <mergeCell ref="O232:O233"/>
    <mergeCell ref="S232:S233"/>
    <mergeCell ref="C237:F237"/>
    <mergeCell ref="L240:M240"/>
    <mergeCell ref="D245:K245"/>
    <mergeCell ref="Q325:Q331"/>
    <mergeCell ref="R325:R331"/>
    <mergeCell ref="S325:S327"/>
    <mergeCell ref="B328:B329"/>
    <mergeCell ref="C328:C329"/>
    <mergeCell ref="D328:D329"/>
    <mergeCell ref="E328:E329"/>
    <mergeCell ref="L328:L329"/>
    <mergeCell ref="M328:M329"/>
    <mergeCell ref="N328:N329"/>
    <mergeCell ref="O328:O329"/>
    <mergeCell ref="S328:S329"/>
    <mergeCell ref="C333:F333"/>
    <mergeCell ref="L336:M336"/>
    <mergeCell ref="D341:K341"/>
    <mergeCell ref="L343:M343"/>
    <mergeCell ref="Q343:R343"/>
    <mergeCell ref="A346:A348"/>
    <mergeCell ref="B346:E346"/>
    <mergeCell ref="F346:H346"/>
    <mergeCell ref="I346:R346"/>
    <mergeCell ref="B347:B348"/>
    <mergeCell ref="C347:C348"/>
    <mergeCell ref="E347:E348"/>
    <mergeCell ref="A349:A355"/>
    <mergeCell ref="B349:B351"/>
    <mergeCell ref="C349:C351"/>
    <mergeCell ref="D349:D351"/>
    <mergeCell ref="E349:E351"/>
    <mergeCell ref="G343:I343"/>
    <mergeCell ref="Q349:Q355"/>
    <mergeCell ref="F347:F348"/>
    <mergeCell ref="H347:H348"/>
    <mergeCell ref="I347:K347"/>
    <mergeCell ref="L347:O347"/>
    <mergeCell ref="P347:R347"/>
    <mergeCell ref="O352:O353"/>
    <mergeCell ref="L349:L351"/>
    <mergeCell ref="M349:M351"/>
    <mergeCell ref="N349:N351"/>
    <mergeCell ref="O349:O351"/>
    <mergeCell ref="P349:P355"/>
    <mergeCell ref="B352:B353"/>
    <mergeCell ref="C352:C353"/>
    <mergeCell ref="D352:D353"/>
    <mergeCell ref="E352:E353"/>
    <mergeCell ref="L352:L353"/>
    <mergeCell ref="M352:M353"/>
    <mergeCell ref="S352:S353"/>
    <mergeCell ref="C357:F357"/>
    <mergeCell ref="L360:M360"/>
    <mergeCell ref="D365:K365"/>
    <mergeCell ref="G367:I367"/>
    <mergeCell ref="L367:M367"/>
    <mergeCell ref="Q367:R367"/>
    <mergeCell ref="R349:R355"/>
    <mergeCell ref="S349:S351"/>
    <mergeCell ref="N352:N353"/>
    <mergeCell ref="A370:A372"/>
    <mergeCell ref="B370:E370"/>
    <mergeCell ref="F370:H370"/>
    <mergeCell ref="I370:R370"/>
    <mergeCell ref="B371:B372"/>
    <mergeCell ref="C371:C372"/>
    <mergeCell ref="E371:E372"/>
    <mergeCell ref="F371:F372"/>
    <mergeCell ref="H371:H372"/>
    <mergeCell ref="I371:K371"/>
    <mergeCell ref="L371:O371"/>
    <mergeCell ref="P371:R371"/>
    <mergeCell ref="A373:A379"/>
    <mergeCell ref="B373:B375"/>
    <mergeCell ref="C373:C375"/>
    <mergeCell ref="D373:D375"/>
    <mergeCell ref="E373:E375"/>
    <mergeCell ref="L373:L375"/>
    <mergeCell ref="M373:M375"/>
    <mergeCell ref="N373:N375"/>
    <mergeCell ref="O373:O375"/>
    <mergeCell ref="P373:P379"/>
    <mergeCell ref="Q373:Q379"/>
    <mergeCell ref="R373:R379"/>
    <mergeCell ref="S373:S375"/>
    <mergeCell ref="B376:B377"/>
    <mergeCell ref="C376:C377"/>
    <mergeCell ref="D376:D377"/>
    <mergeCell ref="E376:E377"/>
    <mergeCell ref="L376:L377"/>
    <mergeCell ref="M376:M377"/>
    <mergeCell ref="N376:N377"/>
    <mergeCell ref="O376:O377"/>
    <mergeCell ref="S376:S377"/>
    <mergeCell ref="C381:F381"/>
    <mergeCell ref="L384:M384"/>
    <mergeCell ref="D389:K389"/>
    <mergeCell ref="G391:I391"/>
    <mergeCell ref="L391:M391"/>
    <mergeCell ref="Q391:R391"/>
    <mergeCell ref="A394:A396"/>
    <mergeCell ref="B394:E394"/>
    <mergeCell ref="F394:H394"/>
    <mergeCell ref="I394:R394"/>
    <mergeCell ref="B395:B396"/>
    <mergeCell ref="C395:C396"/>
    <mergeCell ref="E395:E396"/>
    <mergeCell ref="F395:F396"/>
    <mergeCell ref="H395:H396"/>
    <mergeCell ref="I395:K395"/>
    <mergeCell ref="L395:O395"/>
    <mergeCell ref="P395:R395"/>
    <mergeCell ref="A397:A403"/>
    <mergeCell ref="B397:B399"/>
    <mergeCell ref="C397:C399"/>
    <mergeCell ref="D397:D399"/>
    <mergeCell ref="E397:E399"/>
    <mergeCell ref="L397:L399"/>
    <mergeCell ref="M397:M399"/>
    <mergeCell ref="N397:N399"/>
    <mergeCell ref="O397:O399"/>
    <mergeCell ref="P397:P403"/>
    <mergeCell ref="Q397:Q403"/>
    <mergeCell ref="R397:R403"/>
    <mergeCell ref="S397:S399"/>
    <mergeCell ref="B400:B401"/>
    <mergeCell ref="C400:C401"/>
    <mergeCell ref="D400:D401"/>
    <mergeCell ref="E400:E401"/>
    <mergeCell ref="L400:L401"/>
    <mergeCell ref="M400:M401"/>
    <mergeCell ref="N400:N401"/>
    <mergeCell ref="O400:O401"/>
    <mergeCell ref="S400:S401"/>
    <mergeCell ref="C405:F405"/>
    <mergeCell ref="L408:M408"/>
    <mergeCell ref="D413:K413"/>
    <mergeCell ref="G415:I415"/>
    <mergeCell ref="L415:M415"/>
    <mergeCell ref="Q415:R415"/>
    <mergeCell ref="A418:A420"/>
    <mergeCell ref="B418:E418"/>
    <mergeCell ref="F418:H418"/>
    <mergeCell ref="I418:R418"/>
    <mergeCell ref="B419:B420"/>
    <mergeCell ref="C419:C420"/>
    <mergeCell ref="E419:E420"/>
    <mergeCell ref="F419:F420"/>
    <mergeCell ref="H419:H420"/>
    <mergeCell ref="I419:K419"/>
    <mergeCell ref="L419:O419"/>
    <mergeCell ref="P419:R419"/>
    <mergeCell ref="A421:A427"/>
    <mergeCell ref="B421:B423"/>
    <mergeCell ref="C421:C423"/>
    <mergeCell ref="D421:D423"/>
    <mergeCell ref="E421:E423"/>
    <mergeCell ref="L421:L423"/>
    <mergeCell ref="M421:M423"/>
    <mergeCell ref="N421:N423"/>
    <mergeCell ref="O421:O423"/>
    <mergeCell ref="P421:P427"/>
    <mergeCell ref="Q421:Q427"/>
    <mergeCell ref="R421:R427"/>
    <mergeCell ref="S421:S423"/>
    <mergeCell ref="B424:B425"/>
    <mergeCell ref="C424:C425"/>
    <mergeCell ref="D424:D425"/>
    <mergeCell ref="E424:E425"/>
    <mergeCell ref="L424:L425"/>
    <mergeCell ref="M424:M425"/>
    <mergeCell ref="N424:N425"/>
    <mergeCell ref="O424:O425"/>
    <mergeCell ref="S424:S425"/>
    <mergeCell ref="C429:F429"/>
    <mergeCell ref="L432:M432"/>
    <mergeCell ref="D437:K437"/>
    <mergeCell ref="G439:I439"/>
    <mergeCell ref="L439:M439"/>
    <mergeCell ref="Q439:R439"/>
    <mergeCell ref="A442:A444"/>
    <mergeCell ref="B442:E442"/>
    <mergeCell ref="F442:H442"/>
    <mergeCell ref="I442:R442"/>
    <mergeCell ref="B443:B444"/>
    <mergeCell ref="C443:C444"/>
    <mergeCell ref="E443:E444"/>
    <mergeCell ref="F443:F444"/>
    <mergeCell ref="H443:H444"/>
    <mergeCell ref="I443:K443"/>
    <mergeCell ref="L443:O443"/>
    <mergeCell ref="P443:R443"/>
    <mergeCell ref="A445:A451"/>
    <mergeCell ref="B445:B447"/>
    <mergeCell ref="C445:C447"/>
    <mergeCell ref="D445:D447"/>
    <mergeCell ref="E445:E447"/>
    <mergeCell ref="L445:L447"/>
    <mergeCell ref="M445:M447"/>
    <mergeCell ref="N445:N447"/>
    <mergeCell ref="O445:O447"/>
    <mergeCell ref="P445:P451"/>
    <mergeCell ref="Q445:Q451"/>
    <mergeCell ref="R445:R451"/>
    <mergeCell ref="S445:S447"/>
    <mergeCell ref="B448:B449"/>
    <mergeCell ref="C448:C449"/>
    <mergeCell ref="D448:D449"/>
    <mergeCell ref="E448:E449"/>
    <mergeCell ref="L448:L449"/>
    <mergeCell ref="M448:M449"/>
    <mergeCell ref="N448:N449"/>
    <mergeCell ref="O448:O449"/>
    <mergeCell ref="S448:S449"/>
    <mergeCell ref="C453:F453"/>
    <mergeCell ref="L456:M456"/>
    <mergeCell ref="D461:K461"/>
    <mergeCell ref="G463:I463"/>
    <mergeCell ref="L463:M463"/>
    <mergeCell ref="Q463:R463"/>
    <mergeCell ref="A466:A468"/>
    <mergeCell ref="B466:E466"/>
    <mergeCell ref="F466:H466"/>
    <mergeCell ref="I466:R466"/>
    <mergeCell ref="B467:B468"/>
    <mergeCell ref="C467:C468"/>
    <mergeCell ref="E467:E468"/>
    <mergeCell ref="F467:F468"/>
    <mergeCell ref="H467:H468"/>
    <mergeCell ref="I467:K467"/>
    <mergeCell ref="L467:O467"/>
    <mergeCell ref="P467:R467"/>
    <mergeCell ref="A469:A475"/>
    <mergeCell ref="B469:B471"/>
    <mergeCell ref="C469:C471"/>
    <mergeCell ref="D469:D471"/>
    <mergeCell ref="E469:E471"/>
    <mergeCell ref="L469:L471"/>
    <mergeCell ref="M469:M471"/>
    <mergeCell ref="N469:N471"/>
    <mergeCell ref="O469:O471"/>
    <mergeCell ref="P469:P475"/>
    <mergeCell ref="Q469:Q475"/>
    <mergeCell ref="R469:R475"/>
    <mergeCell ref="S469:S471"/>
    <mergeCell ref="B472:B473"/>
    <mergeCell ref="C472:C473"/>
    <mergeCell ref="D472:D473"/>
    <mergeCell ref="E472:E473"/>
    <mergeCell ref="L472:L473"/>
    <mergeCell ref="M472:M473"/>
    <mergeCell ref="N472:N473"/>
    <mergeCell ref="O472:O473"/>
    <mergeCell ref="S472:S473"/>
    <mergeCell ref="C477:F477"/>
    <mergeCell ref="L480:M480"/>
    <mergeCell ref="D485:K485"/>
    <mergeCell ref="G487:I487"/>
    <mergeCell ref="L487:M487"/>
    <mergeCell ref="Q487:R487"/>
    <mergeCell ref="A490:A492"/>
    <mergeCell ref="B490:E490"/>
    <mergeCell ref="F490:H490"/>
    <mergeCell ref="I490:R490"/>
    <mergeCell ref="B491:B492"/>
    <mergeCell ref="C491:C492"/>
    <mergeCell ref="E491:E492"/>
    <mergeCell ref="F491:F492"/>
    <mergeCell ref="H491:H492"/>
    <mergeCell ref="I491:K491"/>
    <mergeCell ref="L491:O491"/>
    <mergeCell ref="P491:R491"/>
    <mergeCell ref="A493:A499"/>
    <mergeCell ref="B493:B495"/>
    <mergeCell ref="C493:C495"/>
    <mergeCell ref="D493:D495"/>
    <mergeCell ref="E493:E495"/>
    <mergeCell ref="L493:L495"/>
    <mergeCell ref="M493:M495"/>
    <mergeCell ref="N493:N495"/>
    <mergeCell ref="O493:O495"/>
    <mergeCell ref="P493:P499"/>
    <mergeCell ref="Q493:Q499"/>
    <mergeCell ref="R493:R499"/>
    <mergeCell ref="S493:S495"/>
    <mergeCell ref="B496:B497"/>
    <mergeCell ref="C496:C497"/>
    <mergeCell ref="D496:D497"/>
    <mergeCell ref="E496:E497"/>
    <mergeCell ref="L496:L497"/>
    <mergeCell ref="M496:M497"/>
    <mergeCell ref="N496:N497"/>
    <mergeCell ref="O496:O497"/>
    <mergeCell ref="S496:S497"/>
    <mergeCell ref="C501:F501"/>
    <mergeCell ref="L504:M504"/>
    <mergeCell ref="D509:K509"/>
    <mergeCell ref="G511:I511"/>
    <mergeCell ref="L511:M511"/>
    <mergeCell ref="Q511:R511"/>
    <mergeCell ref="A514:A516"/>
    <mergeCell ref="B514:E514"/>
    <mergeCell ref="F514:H514"/>
    <mergeCell ref="I514:R514"/>
    <mergeCell ref="B515:B516"/>
    <mergeCell ref="C515:C516"/>
    <mergeCell ref="E515:E516"/>
    <mergeCell ref="F515:F516"/>
    <mergeCell ref="H515:H516"/>
    <mergeCell ref="I515:K515"/>
    <mergeCell ref="L515:O515"/>
    <mergeCell ref="P515:R515"/>
    <mergeCell ref="A517:A523"/>
    <mergeCell ref="B517:B519"/>
    <mergeCell ref="C517:C519"/>
    <mergeCell ref="D517:D519"/>
    <mergeCell ref="E517:E519"/>
    <mergeCell ref="L517:L519"/>
    <mergeCell ref="M517:M519"/>
    <mergeCell ref="N517:N519"/>
    <mergeCell ref="O517:O519"/>
    <mergeCell ref="P517:P523"/>
    <mergeCell ref="Q517:Q523"/>
    <mergeCell ref="R517:R523"/>
    <mergeCell ref="S517:S519"/>
    <mergeCell ref="B520:B521"/>
    <mergeCell ref="C520:C521"/>
    <mergeCell ref="D520:D521"/>
    <mergeCell ref="E520:E521"/>
    <mergeCell ref="L520:L521"/>
    <mergeCell ref="M520:M521"/>
    <mergeCell ref="N520:N521"/>
    <mergeCell ref="O520:O521"/>
    <mergeCell ref="S520:S521"/>
    <mergeCell ref="C525:F525"/>
    <mergeCell ref="L528:M528"/>
    <mergeCell ref="D533:K533"/>
    <mergeCell ref="G535:I535"/>
    <mergeCell ref="L535:M535"/>
    <mergeCell ref="Q535:R535"/>
    <mergeCell ref="A538:A540"/>
    <mergeCell ref="B538:E538"/>
    <mergeCell ref="F538:H538"/>
    <mergeCell ref="I538:R538"/>
    <mergeCell ref="B539:B540"/>
    <mergeCell ref="C539:C540"/>
    <mergeCell ref="E539:E540"/>
    <mergeCell ref="F539:F540"/>
    <mergeCell ref="H539:H540"/>
    <mergeCell ref="I539:K539"/>
    <mergeCell ref="L539:O539"/>
    <mergeCell ref="P539:R539"/>
    <mergeCell ref="A541:A547"/>
    <mergeCell ref="B541:B543"/>
    <mergeCell ref="C541:C543"/>
    <mergeCell ref="D541:D543"/>
    <mergeCell ref="E541:E543"/>
    <mergeCell ref="L541:L543"/>
    <mergeCell ref="M541:M543"/>
    <mergeCell ref="N541:N543"/>
    <mergeCell ref="O541:O543"/>
    <mergeCell ref="P541:P547"/>
    <mergeCell ref="Q541:Q547"/>
    <mergeCell ref="R541:R547"/>
    <mergeCell ref="S541:S543"/>
    <mergeCell ref="B544:B545"/>
    <mergeCell ref="C544:C545"/>
    <mergeCell ref="D544:D545"/>
    <mergeCell ref="E544:E545"/>
    <mergeCell ref="L544:L545"/>
    <mergeCell ref="M544:M545"/>
    <mergeCell ref="N544:N545"/>
    <mergeCell ref="O544:O545"/>
    <mergeCell ref="S544:S545"/>
    <mergeCell ref="C549:F549"/>
    <mergeCell ref="L552:M552"/>
    <mergeCell ref="D557:K557"/>
    <mergeCell ref="G559:I559"/>
    <mergeCell ref="L559:M559"/>
    <mergeCell ref="Q559:R559"/>
    <mergeCell ref="A562:A564"/>
    <mergeCell ref="B562:E562"/>
    <mergeCell ref="F562:H562"/>
    <mergeCell ref="I562:R562"/>
    <mergeCell ref="B563:B564"/>
    <mergeCell ref="C563:C564"/>
    <mergeCell ref="E563:E564"/>
    <mergeCell ref="F563:F564"/>
    <mergeCell ref="H563:H564"/>
    <mergeCell ref="I563:K563"/>
    <mergeCell ref="L563:O563"/>
    <mergeCell ref="P563:R563"/>
    <mergeCell ref="A565:A571"/>
    <mergeCell ref="B565:B567"/>
    <mergeCell ref="C565:C567"/>
    <mergeCell ref="D565:D567"/>
    <mergeCell ref="E565:E567"/>
    <mergeCell ref="L565:L567"/>
    <mergeCell ref="M565:M567"/>
    <mergeCell ref="N565:N567"/>
    <mergeCell ref="O565:O567"/>
    <mergeCell ref="P565:P571"/>
    <mergeCell ref="Q565:Q571"/>
    <mergeCell ref="R565:R571"/>
    <mergeCell ref="S565:S567"/>
    <mergeCell ref="B568:B569"/>
    <mergeCell ref="C568:C569"/>
    <mergeCell ref="D568:D569"/>
    <mergeCell ref="E568:E569"/>
    <mergeCell ref="L568:L569"/>
    <mergeCell ref="M568:M569"/>
    <mergeCell ref="N568:N569"/>
    <mergeCell ref="O568:O569"/>
    <mergeCell ref="S568:S569"/>
    <mergeCell ref="C573:F573"/>
    <mergeCell ref="L576:M576"/>
    <mergeCell ref="D581:K581"/>
    <mergeCell ref="G583:I583"/>
    <mergeCell ref="L583:M583"/>
    <mergeCell ref="Q583:R583"/>
    <mergeCell ref="A586:A588"/>
    <mergeCell ref="B586:E586"/>
    <mergeCell ref="F586:H586"/>
    <mergeCell ref="I586:R586"/>
    <mergeCell ref="B587:B588"/>
    <mergeCell ref="C587:C588"/>
    <mergeCell ref="E587:E588"/>
    <mergeCell ref="F587:F588"/>
    <mergeCell ref="H587:H588"/>
    <mergeCell ref="I587:K587"/>
    <mergeCell ref="L587:O587"/>
    <mergeCell ref="P587:R587"/>
    <mergeCell ref="A589:A595"/>
    <mergeCell ref="B589:B591"/>
    <mergeCell ref="C589:C591"/>
    <mergeCell ref="D589:D591"/>
    <mergeCell ref="E589:E591"/>
    <mergeCell ref="L589:L591"/>
    <mergeCell ref="S592:S593"/>
    <mergeCell ref="M589:M591"/>
    <mergeCell ref="N589:N591"/>
    <mergeCell ref="O589:O591"/>
    <mergeCell ref="P589:P595"/>
    <mergeCell ref="Q589:Q595"/>
    <mergeCell ref="R589:R595"/>
    <mergeCell ref="Q607:R607"/>
    <mergeCell ref="S589:S591"/>
    <mergeCell ref="B592:B593"/>
    <mergeCell ref="C592:C593"/>
    <mergeCell ref="D592:D593"/>
    <mergeCell ref="E592:E593"/>
    <mergeCell ref="L592:L593"/>
    <mergeCell ref="M592:M593"/>
    <mergeCell ref="N592:N593"/>
    <mergeCell ref="O592:O593"/>
    <mergeCell ref="E611:E612"/>
    <mergeCell ref="F611:F612"/>
    <mergeCell ref="H611:H612"/>
    <mergeCell ref="I611:K611"/>
    <mergeCell ref="P611:R611"/>
    <mergeCell ref="C597:F597"/>
    <mergeCell ref="L600:M600"/>
    <mergeCell ref="D605:K605"/>
    <mergeCell ref="G607:I607"/>
    <mergeCell ref="L607:M607"/>
    <mergeCell ref="B613:B615"/>
    <mergeCell ref="C613:C615"/>
    <mergeCell ref="D613:D615"/>
    <mergeCell ref="E613:E615"/>
    <mergeCell ref="L613:L615"/>
    <mergeCell ref="B610:E610"/>
    <mergeCell ref="F610:H610"/>
    <mergeCell ref="I610:R610"/>
    <mergeCell ref="B611:B612"/>
    <mergeCell ref="C611:C612"/>
    <mergeCell ref="N613:N615"/>
    <mergeCell ref="A610:A612"/>
    <mergeCell ref="B616:B617"/>
    <mergeCell ref="C616:C617"/>
    <mergeCell ref="D616:D617"/>
    <mergeCell ref="E616:E617"/>
    <mergeCell ref="L616:L617"/>
    <mergeCell ref="L611:O611"/>
    <mergeCell ref="M616:M617"/>
    <mergeCell ref="A613:A619"/>
    <mergeCell ref="N616:N617"/>
    <mergeCell ref="O616:O617"/>
    <mergeCell ref="S616:S617"/>
    <mergeCell ref="C621:F621"/>
    <mergeCell ref="L624:M624"/>
    <mergeCell ref="P613:P619"/>
    <mergeCell ref="Q613:Q619"/>
    <mergeCell ref="R613:R619"/>
    <mergeCell ref="S613:S615"/>
    <mergeCell ref="M613:M615"/>
    <mergeCell ref="D629:K629"/>
    <mergeCell ref="G631:I631"/>
    <mergeCell ref="L631:M631"/>
    <mergeCell ref="Q631:R631"/>
    <mergeCell ref="A634:A636"/>
    <mergeCell ref="B634:E634"/>
    <mergeCell ref="F634:H634"/>
    <mergeCell ref="I634:R634"/>
    <mergeCell ref="B635:B636"/>
    <mergeCell ref="C635:C636"/>
    <mergeCell ref="E635:E636"/>
    <mergeCell ref="F635:F636"/>
    <mergeCell ref="H635:H636"/>
    <mergeCell ref="I635:K635"/>
    <mergeCell ref="L635:O635"/>
    <mergeCell ref="P635:R635"/>
    <mergeCell ref="A637:A643"/>
    <mergeCell ref="B637:B639"/>
    <mergeCell ref="C637:C639"/>
    <mergeCell ref="D637:D639"/>
    <mergeCell ref="E637:E639"/>
    <mergeCell ref="L637:L639"/>
    <mergeCell ref="B640:B641"/>
    <mergeCell ref="C640:C641"/>
    <mergeCell ref="D640:D641"/>
    <mergeCell ref="E640:E641"/>
    <mergeCell ref="M637:M639"/>
    <mergeCell ref="N637:N639"/>
    <mergeCell ref="O637:O639"/>
    <mergeCell ref="P637:P643"/>
    <mergeCell ref="Q637:Q643"/>
    <mergeCell ref="R637:R643"/>
    <mergeCell ref="L640:L641"/>
    <mergeCell ref="M640:M641"/>
    <mergeCell ref="C645:F645"/>
    <mergeCell ref="L648:M648"/>
    <mergeCell ref="A658:A660"/>
    <mergeCell ref="B658:E658"/>
    <mergeCell ref="F658:H658"/>
    <mergeCell ref="I658:R658"/>
    <mergeCell ref="B659:B660"/>
    <mergeCell ref="C659:C660"/>
    <mergeCell ref="H659:H660"/>
    <mergeCell ref="I659:K659"/>
    <mergeCell ref="E659:E660"/>
    <mergeCell ref="F659:F660"/>
    <mergeCell ref="L659:O659"/>
    <mergeCell ref="P659:R659"/>
    <mergeCell ref="D653:K653"/>
    <mergeCell ref="G655:I655"/>
    <mergeCell ref="L655:M655"/>
    <mergeCell ref="Q655:R655"/>
    <mergeCell ref="A661:A667"/>
    <mergeCell ref="B661:B663"/>
    <mergeCell ref="C661:C663"/>
    <mergeCell ref="D661:D663"/>
    <mergeCell ref="E661:E663"/>
    <mergeCell ref="L661:L663"/>
    <mergeCell ref="B664:B665"/>
    <mergeCell ref="C664:C665"/>
    <mergeCell ref="D664:D665"/>
    <mergeCell ref="E664:E665"/>
    <mergeCell ref="L664:L665"/>
    <mergeCell ref="M664:M665"/>
    <mergeCell ref="C669:F669"/>
    <mergeCell ref="L672:M672"/>
    <mergeCell ref="O664:O665"/>
    <mergeCell ref="S664:S665"/>
    <mergeCell ref="P661:P667"/>
    <mergeCell ref="Q661:Q667"/>
    <mergeCell ref="R661:R667"/>
    <mergeCell ref="M661:M663"/>
    <mergeCell ref="N661:N663"/>
    <mergeCell ref="S40:S41"/>
    <mergeCell ref="O40:O41"/>
    <mergeCell ref="S661:S663"/>
    <mergeCell ref="N664:N665"/>
    <mergeCell ref="O661:O663"/>
    <mergeCell ref="S637:S639"/>
    <mergeCell ref="N640:N641"/>
    <mergeCell ref="O640:O641"/>
    <mergeCell ref="S640:S641"/>
    <mergeCell ref="O613:O615"/>
    <mergeCell ref="S37:S39"/>
    <mergeCell ref="D37:D39"/>
    <mergeCell ref="B37:B39"/>
    <mergeCell ref="A37:A43"/>
    <mergeCell ref="F34:H34"/>
    <mergeCell ref="B34:E34"/>
    <mergeCell ref="A34:A36"/>
    <mergeCell ref="I34:R34"/>
    <mergeCell ref="L35:O35"/>
    <mergeCell ref="P35:R35"/>
    <mergeCell ref="D677:K677"/>
    <mergeCell ref="G679:I679"/>
    <mergeCell ref="L679:M679"/>
    <mergeCell ref="Q679:R679"/>
    <mergeCell ref="A682:A684"/>
    <mergeCell ref="B682:E682"/>
    <mergeCell ref="F682:H682"/>
    <mergeCell ref="I682:R682"/>
    <mergeCell ref="B683:B684"/>
    <mergeCell ref="C683:C684"/>
    <mergeCell ref="E683:E684"/>
    <mergeCell ref="F683:F684"/>
    <mergeCell ref="H683:H684"/>
    <mergeCell ref="I683:K683"/>
    <mergeCell ref="L683:O683"/>
    <mergeCell ref="P683:R683"/>
    <mergeCell ref="A685:A691"/>
    <mergeCell ref="B685:B687"/>
    <mergeCell ref="C685:C687"/>
    <mergeCell ref="D685:D687"/>
    <mergeCell ref="E685:E687"/>
    <mergeCell ref="L685:L687"/>
    <mergeCell ref="M685:M687"/>
    <mergeCell ref="N685:N687"/>
    <mergeCell ref="O685:O687"/>
    <mergeCell ref="P685:P691"/>
    <mergeCell ref="Q685:Q691"/>
    <mergeCell ref="R685:R691"/>
    <mergeCell ref="S685:S687"/>
    <mergeCell ref="B688:B689"/>
    <mergeCell ref="C688:C689"/>
    <mergeCell ref="D688:D689"/>
    <mergeCell ref="E688:E689"/>
    <mergeCell ref="L688:L689"/>
    <mergeCell ref="M688:M689"/>
    <mergeCell ref="N688:N689"/>
    <mergeCell ref="O688:O689"/>
    <mergeCell ref="S688:S689"/>
    <mergeCell ref="C693:F693"/>
    <mergeCell ref="L696:M696"/>
    <mergeCell ref="D701:K701"/>
    <mergeCell ref="G703:I703"/>
    <mergeCell ref="L703:M703"/>
    <mergeCell ref="Q703:R703"/>
    <mergeCell ref="A706:A708"/>
    <mergeCell ref="B706:E706"/>
    <mergeCell ref="F706:H706"/>
    <mergeCell ref="I706:R706"/>
    <mergeCell ref="B707:B708"/>
    <mergeCell ref="C707:C708"/>
    <mergeCell ref="E707:E708"/>
    <mergeCell ref="F707:F708"/>
    <mergeCell ref="H707:H708"/>
    <mergeCell ref="I707:K707"/>
    <mergeCell ref="L707:O707"/>
    <mergeCell ref="P707:R707"/>
    <mergeCell ref="A709:A715"/>
    <mergeCell ref="B709:B711"/>
    <mergeCell ref="C709:C711"/>
    <mergeCell ref="D709:D711"/>
    <mergeCell ref="E709:E711"/>
    <mergeCell ref="L709:L711"/>
    <mergeCell ref="M709:M711"/>
    <mergeCell ref="N709:N711"/>
    <mergeCell ref="O709:O711"/>
    <mergeCell ref="P709:P715"/>
    <mergeCell ref="Q709:Q715"/>
    <mergeCell ref="R709:R715"/>
    <mergeCell ref="S709:S711"/>
    <mergeCell ref="B712:B713"/>
    <mergeCell ref="C712:C713"/>
    <mergeCell ref="D712:D713"/>
    <mergeCell ref="E712:E713"/>
    <mergeCell ref="L712:L713"/>
    <mergeCell ref="M712:M713"/>
    <mergeCell ref="N712:N713"/>
    <mergeCell ref="O712:O713"/>
    <mergeCell ref="S712:S713"/>
    <mergeCell ref="C717:F717"/>
    <mergeCell ref="L720:M720"/>
    <mergeCell ref="D725:K725"/>
    <mergeCell ref="G727:I727"/>
    <mergeCell ref="L727:M727"/>
    <mergeCell ref="Q727:R727"/>
    <mergeCell ref="A730:A732"/>
    <mergeCell ref="B730:E730"/>
    <mergeCell ref="F730:H730"/>
    <mergeCell ref="I730:R730"/>
    <mergeCell ref="B731:B732"/>
    <mergeCell ref="C731:C732"/>
    <mergeCell ref="E731:E732"/>
    <mergeCell ref="F731:F732"/>
    <mergeCell ref="H731:H732"/>
    <mergeCell ref="I731:K731"/>
    <mergeCell ref="L731:O731"/>
    <mergeCell ref="P731:R731"/>
    <mergeCell ref="A733:A739"/>
    <mergeCell ref="B733:B735"/>
    <mergeCell ref="C733:C735"/>
    <mergeCell ref="D733:D735"/>
    <mergeCell ref="E733:E735"/>
    <mergeCell ref="L733:L735"/>
    <mergeCell ref="M733:M735"/>
    <mergeCell ref="N733:N735"/>
    <mergeCell ref="O733:O735"/>
    <mergeCell ref="P733:P739"/>
    <mergeCell ref="Q733:Q739"/>
    <mergeCell ref="R733:R739"/>
    <mergeCell ref="S733:S735"/>
    <mergeCell ref="B736:B737"/>
    <mergeCell ref="C736:C737"/>
    <mergeCell ref="D736:D737"/>
    <mergeCell ref="E736:E737"/>
    <mergeCell ref="L736:L737"/>
    <mergeCell ref="M736:M737"/>
    <mergeCell ref="N736:N737"/>
    <mergeCell ref="O736:O737"/>
    <mergeCell ref="S736:S737"/>
    <mergeCell ref="C741:F741"/>
    <mergeCell ref="L744:M744"/>
    <mergeCell ref="D749:K749"/>
    <mergeCell ref="G751:I751"/>
    <mergeCell ref="L751:M751"/>
    <mergeCell ref="Q751:R751"/>
    <mergeCell ref="B754:E754"/>
    <mergeCell ref="F754:H754"/>
    <mergeCell ref="I754:R754"/>
    <mergeCell ref="B755:B756"/>
    <mergeCell ref="C755:C756"/>
    <mergeCell ref="E755:E756"/>
    <mergeCell ref="F755:F756"/>
    <mergeCell ref="H755:H756"/>
    <mergeCell ref="I755:K755"/>
    <mergeCell ref="P755:R755"/>
    <mergeCell ref="A757:A763"/>
    <mergeCell ref="B757:B759"/>
    <mergeCell ref="C757:C759"/>
    <mergeCell ref="D757:D759"/>
    <mergeCell ref="E757:E759"/>
    <mergeCell ref="L757:L759"/>
    <mergeCell ref="M757:M759"/>
    <mergeCell ref="N757:N759"/>
    <mergeCell ref="A754:A756"/>
    <mergeCell ref="B760:B761"/>
    <mergeCell ref="C760:C761"/>
    <mergeCell ref="D760:D761"/>
    <mergeCell ref="E760:E761"/>
    <mergeCell ref="L760:L761"/>
    <mergeCell ref="L755:O755"/>
    <mergeCell ref="M760:M761"/>
    <mergeCell ref="N760:N761"/>
    <mergeCell ref="O760:O761"/>
    <mergeCell ref="S760:S761"/>
    <mergeCell ref="O757:O759"/>
    <mergeCell ref="P757:P763"/>
    <mergeCell ref="Q757:Q763"/>
    <mergeCell ref="R757:R763"/>
    <mergeCell ref="S757:S759"/>
    <mergeCell ref="C765:F765"/>
    <mergeCell ref="L768:M768"/>
    <mergeCell ref="D773:K773"/>
    <mergeCell ref="G775:I775"/>
    <mergeCell ref="L775:M775"/>
    <mergeCell ref="Q775:R775"/>
    <mergeCell ref="B778:E778"/>
    <mergeCell ref="F778:H778"/>
    <mergeCell ref="I778:R778"/>
    <mergeCell ref="B779:B780"/>
    <mergeCell ref="C779:C780"/>
    <mergeCell ref="E779:E780"/>
    <mergeCell ref="F779:F780"/>
    <mergeCell ref="H779:H780"/>
    <mergeCell ref="I779:K779"/>
    <mergeCell ref="P779:R779"/>
    <mergeCell ref="A781:A787"/>
    <mergeCell ref="B781:B783"/>
    <mergeCell ref="C781:C783"/>
    <mergeCell ref="D781:D783"/>
    <mergeCell ref="E781:E783"/>
    <mergeCell ref="L781:L783"/>
    <mergeCell ref="M781:M783"/>
    <mergeCell ref="N781:N783"/>
    <mergeCell ref="A778:A780"/>
    <mergeCell ref="B784:B785"/>
    <mergeCell ref="C784:C785"/>
    <mergeCell ref="D784:D785"/>
    <mergeCell ref="E784:E785"/>
    <mergeCell ref="L784:L785"/>
    <mergeCell ref="L779:O779"/>
    <mergeCell ref="M784:M785"/>
    <mergeCell ref="N784:N785"/>
    <mergeCell ref="O784:O785"/>
    <mergeCell ref="S784:S785"/>
    <mergeCell ref="O781:O783"/>
    <mergeCell ref="P781:P787"/>
    <mergeCell ref="Q781:Q787"/>
    <mergeCell ref="R781:R787"/>
    <mergeCell ref="S781:S783"/>
    <mergeCell ref="C789:F789"/>
    <mergeCell ref="L792:M792"/>
    <mergeCell ref="D797:K797"/>
    <mergeCell ref="G799:I799"/>
    <mergeCell ref="L799:M799"/>
    <mergeCell ref="Q799:R799"/>
    <mergeCell ref="A802:A804"/>
    <mergeCell ref="B802:E802"/>
    <mergeCell ref="F802:H802"/>
    <mergeCell ref="I802:R802"/>
    <mergeCell ref="B803:B804"/>
    <mergeCell ref="C803:C804"/>
    <mergeCell ref="E803:E804"/>
    <mergeCell ref="F803:F804"/>
    <mergeCell ref="H803:H804"/>
    <mergeCell ref="I803:K803"/>
    <mergeCell ref="L803:O803"/>
    <mergeCell ref="P803:R803"/>
    <mergeCell ref="A805:A811"/>
    <mergeCell ref="B805:B807"/>
    <mergeCell ref="C805:C807"/>
    <mergeCell ref="D805:D807"/>
    <mergeCell ref="E805:E807"/>
    <mergeCell ref="L805:L807"/>
    <mergeCell ref="M805:M807"/>
    <mergeCell ref="N805:N807"/>
    <mergeCell ref="O805:O807"/>
    <mergeCell ref="P805:P811"/>
    <mergeCell ref="Q805:Q811"/>
    <mergeCell ref="R805:R811"/>
    <mergeCell ref="S805:S807"/>
    <mergeCell ref="B808:B809"/>
    <mergeCell ref="C808:C809"/>
    <mergeCell ref="D808:D809"/>
    <mergeCell ref="E808:E809"/>
    <mergeCell ref="L808:L809"/>
    <mergeCell ref="C813:F813"/>
    <mergeCell ref="L816:M816"/>
    <mergeCell ref="M808:M809"/>
    <mergeCell ref="N808:N809"/>
    <mergeCell ref="O808:O809"/>
    <mergeCell ref="S808:S809"/>
  </mergeCells>
  <printOptions/>
  <pageMargins left="0.25" right="0.25"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DQ80"/>
  <sheetViews>
    <sheetView rightToLeft="1" tabSelected="1" zoomScalePageLayoutView="0" workbookViewId="0" topLeftCell="A1">
      <selection activeCell="AD35" sqref="AD35"/>
    </sheetView>
  </sheetViews>
  <sheetFormatPr defaultColWidth="8.00390625" defaultRowHeight="12.75"/>
  <cols>
    <col min="1" max="1" width="2.57421875" style="25" customWidth="1"/>
    <col min="2" max="2" width="3.00390625" style="92" customWidth="1"/>
    <col min="3" max="3" width="3.28125" style="25" customWidth="1"/>
    <col min="4" max="4" width="11.00390625" style="25" customWidth="1"/>
    <col min="5" max="6" width="11.7109375" style="25" customWidth="1"/>
    <col min="7" max="7" width="12.00390625" style="25" bestFit="1" customWidth="1"/>
    <col min="8" max="8" width="11.140625" style="25" bestFit="1" customWidth="1"/>
    <col min="9" max="9" width="11.421875" style="25" customWidth="1"/>
    <col min="10" max="10" width="7.140625" style="25" customWidth="1"/>
    <col min="11" max="12" width="3.28125" style="25" customWidth="1"/>
    <col min="13" max="13" width="7.140625" style="25" customWidth="1"/>
    <col min="14" max="15" width="3.28125" style="25" customWidth="1"/>
    <col min="16" max="16" width="5.8515625" style="25" customWidth="1"/>
    <col min="17" max="18" width="3.140625" style="25" customWidth="1"/>
    <col min="19" max="19" width="7.00390625" style="25" customWidth="1"/>
    <col min="20" max="20" width="4.00390625" style="25" customWidth="1"/>
    <col min="21" max="21" width="5.421875" style="25" customWidth="1"/>
    <col min="22" max="22" width="6.421875" style="25" customWidth="1"/>
    <col min="23" max="23" width="4.140625" style="25" customWidth="1"/>
    <col min="24" max="24" width="7.140625" style="25" customWidth="1"/>
    <col min="25" max="26" width="3.28125" style="25" customWidth="1"/>
    <col min="27" max="27" width="5.8515625" style="25" customWidth="1"/>
    <col min="28" max="29" width="3.140625" style="25" customWidth="1"/>
    <col min="30" max="30" width="5.8515625" style="25" customWidth="1"/>
    <col min="31" max="31" width="5.28125" style="25" customWidth="1"/>
    <col min="32" max="32" width="4.140625" style="25" customWidth="1"/>
    <col min="33" max="33" width="5.7109375" style="25" customWidth="1"/>
    <col min="34" max="34" width="3.7109375" style="25" customWidth="1"/>
    <col min="35" max="35" width="6.00390625" style="25" customWidth="1"/>
    <col min="36" max="37" width="3.28125" style="25" customWidth="1"/>
    <col min="38" max="38" width="7.140625" style="25" customWidth="1"/>
    <col min="39" max="39" width="2.7109375" style="25" customWidth="1"/>
    <col min="40" max="40" width="6.8515625" style="25" customWidth="1"/>
    <col min="41" max="41" width="3.8515625" style="25" customWidth="1"/>
    <col min="42" max="42" width="7.28125" style="25" customWidth="1"/>
    <col min="43" max="44" width="3.00390625" style="25" customWidth="1"/>
    <col min="45" max="45" width="7.00390625" style="25" customWidth="1"/>
    <col min="46" max="46" width="2.7109375" style="25" customWidth="1"/>
    <col min="47" max="48" width="5.57421875" style="25" customWidth="1"/>
    <col min="49" max="49" width="3.57421875" style="25" customWidth="1"/>
    <col min="50" max="50" width="7.28125" style="25" customWidth="1"/>
    <col min="51" max="51" width="3.28125" style="25" customWidth="1"/>
    <col min="52" max="54" width="7.421875" style="25" customWidth="1"/>
    <col min="55" max="55" width="6.57421875" style="25" customWidth="1"/>
    <col min="56" max="57" width="4.00390625" style="25" customWidth="1"/>
    <col min="58" max="58" width="3.421875" style="25" customWidth="1"/>
    <col min="59" max="59" width="6.00390625" style="25" customWidth="1"/>
    <col min="60" max="60" width="5.00390625" style="25" customWidth="1"/>
    <col min="61" max="61" width="6.140625" style="126" customWidth="1"/>
    <col min="62" max="62" width="6.57421875" style="25" customWidth="1"/>
    <col min="63" max="63" width="8.421875" style="25" customWidth="1"/>
    <col min="64" max="79" width="8.00390625" style="25" customWidth="1"/>
    <col min="80" max="82" width="8.00390625" style="237" customWidth="1"/>
    <col min="83" max="98" width="8.00390625" style="25" customWidth="1"/>
    <col min="99" max="101" width="8.00390625" style="237" customWidth="1"/>
    <col min="102" max="16384" width="8.00390625" style="25" customWidth="1"/>
  </cols>
  <sheetData>
    <row r="1" spans="3:61" ht="14.25" customHeight="1">
      <c r="C1" s="19" t="s">
        <v>19</v>
      </c>
      <c r="D1" s="19"/>
      <c r="E1" s="19"/>
      <c r="F1" s="19"/>
      <c r="G1" s="19"/>
      <c r="H1" s="19"/>
      <c r="I1" s="19"/>
      <c r="AQ1" s="61"/>
      <c r="AR1" s="61"/>
      <c r="AS1" s="61"/>
      <c r="AT1" s="61"/>
      <c r="AU1" s="61"/>
      <c r="AV1" s="61"/>
      <c r="AW1" s="61"/>
      <c r="AX1" s="61"/>
      <c r="AY1" s="61"/>
      <c r="AZ1" s="61"/>
      <c r="BA1" s="61"/>
      <c r="BB1" s="61"/>
      <c r="BD1" s="19" t="s">
        <v>19</v>
      </c>
      <c r="BE1" s="19"/>
      <c r="BF1" s="61"/>
      <c r="BI1" s="151"/>
    </row>
    <row r="2" spans="3:61" ht="14.25" customHeight="1">
      <c r="C2" s="19" t="s">
        <v>20</v>
      </c>
      <c r="D2" s="19"/>
      <c r="E2" s="19"/>
      <c r="F2" s="19"/>
      <c r="G2" s="19"/>
      <c r="H2" s="19"/>
      <c r="I2" s="19"/>
      <c r="J2" s="10" t="s">
        <v>518</v>
      </c>
      <c r="AQ2" s="61" t="s">
        <v>28</v>
      </c>
      <c r="AR2" s="61"/>
      <c r="AS2" s="61"/>
      <c r="AT2" s="61"/>
      <c r="AU2" s="61"/>
      <c r="AV2" s="61"/>
      <c r="AW2" s="61"/>
      <c r="AX2" s="61"/>
      <c r="AY2" s="61"/>
      <c r="AZ2" s="61"/>
      <c r="BA2" s="61"/>
      <c r="BB2" s="61"/>
      <c r="BD2" s="19" t="s">
        <v>20</v>
      </c>
      <c r="BE2" s="19"/>
      <c r="BI2" s="151"/>
    </row>
    <row r="3" spans="3:61" ht="14.25" customHeight="1">
      <c r="C3" s="19" t="s">
        <v>4</v>
      </c>
      <c r="D3" s="19"/>
      <c r="E3" s="19"/>
      <c r="F3" s="19"/>
      <c r="G3" s="19"/>
      <c r="H3" s="19" t="s">
        <v>203</v>
      </c>
      <c r="I3" s="19"/>
      <c r="AQ3" s="61" t="s">
        <v>21</v>
      </c>
      <c r="AR3" s="61"/>
      <c r="AS3" s="61"/>
      <c r="AT3" s="61"/>
      <c r="AU3" s="61"/>
      <c r="AV3" s="61"/>
      <c r="AW3" s="61"/>
      <c r="AX3" s="61"/>
      <c r="AY3" s="61"/>
      <c r="AZ3" s="61"/>
      <c r="BA3" s="61"/>
      <c r="BB3" s="61"/>
      <c r="BD3" s="19" t="s">
        <v>4</v>
      </c>
      <c r="BE3" s="19"/>
      <c r="BI3" s="151"/>
    </row>
    <row r="4" spans="4:61" ht="18" customHeight="1">
      <c r="D4" s="19" t="s">
        <v>527</v>
      </c>
      <c r="E4" s="4"/>
      <c r="F4" s="4"/>
      <c r="G4" s="4"/>
      <c r="H4" s="4"/>
      <c r="I4" s="4"/>
      <c r="S4" s="10" t="s">
        <v>115</v>
      </c>
      <c r="AS4" s="10" t="s">
        <v>117</v>
      </c>
      <c r="AZ4" s="4" t="s">
        <v>201</v>
      </c>
      <c r="BA4" s="4"/>
      <c r="BB4" s="4"/>
      <c r="BE4" s="4" t="s">
        <v>33</v>
      </c>
      <c r="BI4" s="151"/>
    </row>
    <row r="5" spans="3:121" ht="18" customHeight="1" thickBot="1">
      <c r="C5" s="59"/>
      <c r="D5" s="702" t="s">
        <v>144</v>
      </c>
      <c r="E5" s="702" t="s">
        <v>145</v>
      </c>
      <c r="F5" s="702" t="s">
        <v>101</v>
      </c>
      <c r="G5" s="702" t="s">
        <v>102</v>
      </c>
      <c r="H5" s="702" t="s">
        <v>103</v>
      </c>
      <c r="I5" s="702" t="s">
        <v>104</v>
      </c>
      <c r="J5" s="85" t="s">
        <v>82</v>
      </c>
      <c r="K5" s="34"/>
      <c r="L5" s="34"/>
      <c r="M5" s="34"/>
      <c r="N5" s="34"/>
      <c r="O5" s="34"/>
      <c r="P5" s="34"/>
      <c r="Q5" s="34"/>
      <c r="R5" s="34"/>
      <c r="S5" s="24"/>
      <c r="T5" s="159" t="s">
        <v>80</v>
      </c>
      <c r="U5" s="159" t="s">
        <v>94</v>
      </c>
      <c r="V5" s="159" t="s">
        <v>95</v>
      </c>
      <c r="W5" s="159" t="s">
        <v>106</v>
      </c>
      <c r="X5" s="104"/>
      <c r="Y5" s="105" t="s">
        <v>38</v>
      </c>
      <c r="Z5" s="117"/>
      <c r="AA5" s="106"/>
      <c r="AB5" s="106"/>
      <c r="AC5" s="106"/>
      <c r="AD5" s="24"/>
      <c r="AE5" s="159" t="s">
        <v>80</v>
      </c>
      <c r="AF5" s="159" t="s">
        <v>94</v>
      </c>
      <c r="AG5" s="159" t="s">
        <v>95</v>
      </c>
      <c r="AH5" s="159" t="s">
        <v>106</v>
      </c>
      <c r="AI5" s="34" t="s">
        <v>37</v>
      </c>
      <c r="AJ5" s="102"/>
      <c r="AK5" s="102"/>
      <c r="AL5" s="34"/>
      <c r="AM5" s="159" t="s">
        <v>80</v>
      </c>
      <c r="AN5" s="159" t="s">
        <v>95</v>
      </c>
      <c r="AO5" s="159" t="s">
        <v>106</v>
      </c>
      <c r="AP5" s="104"/>
      <c r="AQ5" s="106" t="s">
        <v>90</v>
      </c>
      <c r="AR5" s="106"/>
      <c r="AS5" s="107"/>
      <c r="AT5" s="159" t="s">
        <v>80</v>
      </c>
      <c r="AU5" s="159" t="s">
        <v>95</v>
      </c>
      <c r="AV5" s="159" t="s">
        <v>95</v>
      </c>
      <c r="AW5" s="159" t="s">
        <v>106</v>
      </c>
      <c r="AX5" s="64"/>
      <c r="AY5" s="159" t="s">
        <v>80</v>
      </c>
      <c r="AZ5" s="121" t="s">
        <v>35</v>
      </c>
      <c r="BA5" s="121" t="s">
        <v>92</v>
      </c>
      <c r="BB5" s="119"/>
      <c r="BC5" s="124" t="s">
        <v>83</v>
      </c>
      <c r="BD5" s="57"/>
      <c r="BE5" s="57"/>
      <c r="BF5" s="159" t="s">
        <v>106</v>
      </c>
      <c r="BG5" s="55" t="s">
        <v>22</v>
      </c>
      <c r="BH5" s="159" t="s">
        <v>80</v>
      </c>
      <c r="BI5" s="339" t="s">
        <v>35</v>
      </c>
      <c r="BJ5" s="121" t="s">
        <v>92</v>
      </c>
      <c r="CX5" s="80"/>
      <c r="CY5" s="80"/>
      <c r="CZ5" s="80"/>
      <c r="DA5" s="80"/>
      <c r="DB5" s="80"/>
      <c r="DC5" s="80"/>
      <c r="DD5" s="80"/>
      <c r="DE5" s="80"/>
      <c r="DF5" s="80"/>
      <c r="DG5" s="80"/>
      <c r="DH5" s="80"/>
      <c r="DI5" s="80"/>
      <c r="DJ5" s="80"/>
      <c r="DK5" s="80"/>
      <c r="DL5" s="80"/>
      <c r="DM5" s="80"/>
      <c r="DN5" s="80"/>
      <c r="DO5" s="80"/>
      <c r="DP5" s="80"/>
      <c r="DQ5" s="80"/>
    </row>
    <row r="6" spans="3:121" ht="12" customHeight="1" thickBot="1">
      <c r="C6" s="26" t="s">
        <v>9</v>
      </c>
      <c r="D6" s="703"/>
      <c r="E6" s="703"/>
      <c r="F6" s="703"/>
      <c r="G6" s="703"/>
      <c r="H6" s="703"/>
      <c r="I6" s="703"/>
      <c r="J6" s="96"/>
      <c r="K6" s="35"/>
      <c r="L6" s="20" t="s">
        <v>71</v>
      </c>
      <c r="M6" s="115"/>
      <c r="N6" s="98"/>
      <c r="O6" s="20" t="s">
        <v>71</v>
      </c>
      <c r="P6" s="99"/>
      <c r="Q6" s="35"/>
      <c r="R6" s="20" t="s">
        <v>71</v>
      </c>
      <c r="S6" s="79"/>
      <c r="T6" s="160"/>
      <c r="U6" s="161"/>
      <c r="V6" s="161"/>
      <c r="W6" s="161"/>
      <c r="X6" s="103"/>
      <c r="Y6" s="27"/>
      <c r="Z6" s="20" t="s">
        <v>71</v>
      </c>
      <c r="AA6" s="97"/>
      <c r="AB6" s="80"/>
      <c r="AC6" s="20" t="s">
        <v>71</v>
      </c>
      <c r="AD6" s="100"/>
      <c r="AE6" s="160"/>
      <c r="AF6" s="161"/>
      <c r="AG6" s="161"/>
      <c r="AH6" s="161"/>
      <c r="AI6" s="99"/>
      <c r="AJ6" s="13"/>
      <c r="AK6" s="20" t="s">
        <v>71</v>
      </c>
      <c r="AL6" s="14"/>
      <c r="AM6" s="161"/>
      <c r="AN6" s="161"/>
      <c r="AO6" s="161"/>
      <c r="AP6" s="97"/>
      <c r="AQ6" s="21"/>
      <c r="AR6" s="20" t="s">
        <v>71</v>
      </c>
      <c r="AS6" s="16"/>
      <c r="AT6" s="161"/>
      <c r="AU6" s="161"/>
      <c r="AV6" s="161"/>
      <c r="AW6" s="161"/>
      <c r="AX6" s="58" t="s">
        <v>22</v>
      </c>
      <c r="AY6" s="160"/>
      <c r="AZ6" s="122" t="s">
        <v>25</v>
      </c>
      <c r="BA6" s="122" t="s">
        <v>25</v>
      </c>
      <c r="BB6" s="119"/>
      <c r="BC6" s="125"/>
      <c r="BD6" s="13"/>
      <c r="BE6" s="20" t="s">
        <v>71</v>
      </c>
      <c r="BF6" s="161"/>
      <c r="BG6" s="56" t="s">
        <v>25</v>
      </c>
      <c r="BH6" s="161"/>
      <c r="BI6" s="56" t="s">
        <v>25</v>
      </c>
      <c r="BJ6" s="122" t="s">
        <v>25</v>
      </c>
      <c r="BL6" s="613" t="s">
        <v>168</v>
      </c>
      <c r="BM6" s="614"/>
      <c r="BN6" s="614"/>
      <c r="BO6" s="614"/>
      <c r="BP6" s="614"/>
      <c r="BQ6" s="614"/>
      <c r="BR6" s="614"/>
      <c r="BS6" s="614"/>
      <c r="BT6" s="614"/>
      <c r="BU6" s="614"/>
      <c r="BV6" s="614"/>
      <c r="BW6" s="614"/>
      <c r="BX6" s="614"/>
      <c r="BY6" s="614"/>
      <c r="BZ6" s="614"/>
      <c r="CA6" s="614"/>
      <c r="CB6" s="614"/>
      <c r="CC6" s="593"/>
      <c r="CD6" s="615"/>
      <c r="CE6" s="615" t="s">
        <v>169</v>
      </c>
      <c r="CF6" s="615"/>
      <c r="CG6" s="615"/>
      <c r="CH6" s="615"/>
      <c r="CI6" s="615"/>
      <c r="CJ6" s="615"/>
      <c r="CK6" s="615"/>
      <c r="CL6" s="615"/>
      <c r="CM6" s="615"/>
      <c r="CN6" s="615"/>
      <c r="CO6" s="615"/>
      <c r="CP6" s="615"/>
      <c r="CQ6" s="615"/>
      <c r="CR6" s="615"/>
      <c r="CS6" s="615"/>
      <c r="CT6" s="615"/>
      <c r="CU6" s="615"/>
      <c r="CV6" s="616"/>
      <c r="CW6" s="645"/>
      <c r="CX6" s="80"/>
      <c r="CY6" s="80"/>
      <c r="CZ6" s="80"/>
      <c r="DA6" s="80"/>
      <c r="DB6" s="80"/>
      <c r="DC6" s="80"/>
      <c r="DD6" s="80"/>
      <c r="DE6" s="80"/>
      <c r="DF6" s="80"/>
      <c r="DG6" s="80"/>
      <c r="DH6" s="80"/>
      <c r="DI6" s="80"/>
      <c r="DJ6" s="80"/>
      <c r="DK6" s="80"/>
      <c r="DL6" s="80"/>
      <c r="DM6" s="80"/>
      <c r="DN6" s="80"/>
      <c r="DO6" s="80"/>
      <c r="DP6" s="80"/>
      <c r="DQ6" s="80"/>
    </row>
    <row r="7" spans="3:121" ht="12" customHeight="1">
      <c r="C7" s="15"/>
      <c r="D7" s="703"/>
      <c r="E7" s="703"/>
      <c r="F7" s="703"/>
      <c r="G7" s="703"/>
      <c r="H7" s="703"/>
      <c r="I7" s="703"/>
      <c r="J7" s="116"/>
      <c r="K7" s="108"/>
      <c r="L7" s="15"/>
      <c r="M7" s="81" t="s">
        <v>87</v>
      </c>
      <c r="N7" s="36"/>
      <c r="O7" s="15"/>
      <c r="P7" s="127" t="s">
        <v>87</v>
      </c>
      <c r="Q7" s="128"/>
      <c r="R7" s="15"/>
      <c r="S7" s="101" t="s">
        <v>23</v>
      </c>
      <c r="T7" s="162"/>
      <c r="U7" s="161"/>
      <c r="V7" s="161"/>
      <c r="W7" s="161"/>
      <c r="X7" s="81" t="s">
        <v>88</v>
      </c>
      <c r="Y7" s="36"/>
      <c r="Z7" s="15"/>
      <c r="AA7" s="80"/>
      <c r="AB7" s="80"/>
      <c r="AC7" s="15"/>
      <c r="AD7" s="100" t="s">
        <v>23</v>
      </c>
      <c r="AE7" s="162"/>
      <c r="AF7" s="161"/>
      <c r="AG7" s="161"/>
      <c r="AH7" s="161"/>
      <c r="AI7" s="81" t="s">
        <v>89</v>
      </c>
      <c r="AJ7" s="17"/>
      <c r="AK7" s="15"/>
      <c r="AL7" s="100" t="s">
        <v>23</v>
      </c>
      <c r="AM7" s="162"/>
      <c r="AN7" s="161"/>
      <c r="AO7" s="161"/>
      <c r="AP7" s="22"/>
      <c r="AQ7" s="21"/>
      <c r="AR7" s="15"/>
      <c r="AS7" s="100" t="s">
        <v>23</v>
      </c>
      <c r="AT7" s="162"/>
      <c r="AU7" s="161"/>
      <c r="AV7" s="161"/>
      <c r="AW7" s="161"/>
      <c r="AX7" s="58" t="s">
        <v>25</v>
      </c>
      <c r="AY7" s="162"/>
      <c r="AZ7" s="122"/>
      <c r="BA7" s="122"/>
      <c r="BB7" s="119"/>
      <c r="BC7" s="18"/>
      <c r="BD7" s="17"/>
      <c r="BE7" s="15"/>
      <c r="BF7" s="161"/>
      <c r="BG7" s="60"/>
      <c r="BH7" s="162"/>
      <c r="BI7" s="56"/>
      <c r="BJ7" s="122"/>
      <c r="BL7" s="594" t="s">
        <v>170</v>
      </c>
      <c r="BM7" s="595"/>
      <c r="BN7" s="595"/>
      <c r="BO7" s="596"/>
      <c r="BP7" s="597" t="s">
        <v>171</v>
      </c>
      <c r="BQ7" s="595"/>
      <c r="BR7" s="595"/>
      <c r="BS7" s="596"/>
      <c r="BT7" s="597" t="s">
        <v>41</v>
      </c>
      <c r="BU7" s="595"/>
      <c r="BV7" s="595"/>
      <c r="BW7" s="596"/>
      <c r="BX7" s="597" t="s">
        <v>172</v>
      </c>
      <c r="BY7" s="595"/>
      <c r="BZ7" s="595"/>
      <c r="CA7" s="598"/>
      <c r="CB7" s="599" t="s">
        <v>173</v>
      </c>
      <c r="CC7" s="599"/>
      <c r="CD7" s="600"/>
      <c r="CE7" s="595" t="s">
        <v>170</v>
      </c>
      <c r="CF7" s="595"/>
      <c r="CG7" s="595"/>
      <c r="CH7" s="596"/>
      <c r="CI7" s="597" t="s">
        <v>171</v>
      </c>
      <c r="CJ7" s="595"/>
      <c r="CK7" s="595"/>
      <c r="CL7" s="596"/>
      <c r="CM7" s="597" t="s">
        <v>41</v>
      </c>
      <c r="CN7" s="595"/>
      <c r="CO7" s="595"/>
      <c r="CP7" s="596"/>
      <c r="CQ7" s="597" t="s">
        <v>172</v>
      </c>
      <c r="CR7" s="595"/>
      <c r="CS7" s="595"/>
      <c r="CT7" s="595"/>
      <c r="CU7" s="600" t="s">
        <v>173</v>
      </c>
      <c r="CV7" s="617"/>
      <c r="CW7" s="646"/>
      <c r="CX7" s="80"/>
      <c r="CY7" s="80"/>
      <c r="CZ7" s="80"/>
      <c r="DA7" s="80"/>
      <c r="DB7" s="80"/>
      <c r="DC7" s="80"/>
      <c r="DD7" s="80"/>
      <c r="DE7" s="80"/>
      <c r="DF7" s="80"/>
      <c r="DG7" s="80"/>
      <c r="DH7" s="80"/>
      <c r="DI7" s="80"/>
      <c r="DJ7" s="80"/>
      <c r="DK7" s="80"/>
      <c r="DL7" s="80"/>
      <c r="DM7" s="80"/>
      <c r="DN7" s="80"/>
      <c r="DO7" s="80"/>
      <c r="DP7" s="80"/>
      <c r="DQ7" s="80"/>
    </row>
    <row r="8" spans="3:121" ht="12" customHeight="1">
      <c r="C8" s="15"/>
      <c r="D8" s="703"/>
      <c r="E8" s="703"/>
      <c r="F8" s="703"/>
      <c r="G8" s="703"/>
      <c r="H8" s="703"/>
      <c r="I8" s="703"/>
      <c r="J8" s="37" t="s">
        <v>81</v>
      </c>
      <c r="K8" s="29" t="s">
        <v>26</v>
      </c>
      <c r="L8" s="15"/>
      <c r="M8" s="37" t="s">
        <v>81</v>
      </c>
      <c r="N8" s="29" t="s">
        <v>26</v>
      </c>
      <c r="O8" s="15"/>
      <c r="P8" s="37" t="s">
        <v>81</v>
      </c>
      <c r="Q8" s="29" t="s">
        <v>26</v>
      </c>
      <c r="R8" s="15"/>
      <c r="S8" s="37" t="s">
        <v>81</v>
      </c>
      <c r="T8" s="44" t="s">
        <v>26</v>
      </c>
      <c r="U8" s="161"/>
      <c r="V8" s="161"/>
      <c r="W8" s="161"/>
      <c r="X8" s="48" t="s">
        <v>81</v>
      </c>
      <c r="Y8" s="28" t="s">
        <v>26</v>
      </c>
      <c r="Z8" s="15"/>
      <c r="AA8" s="37" t="s">
        <v>81</v>
      </c>
      <c r="AB8" s="29" t="s">
        <v>26</v>
      </c>
      <c r="AC8" s="15"/>
      <c r="AD8" s="37" t="s">
        <v>81</v>
      </c>
      <c r="AE8" s="44" t="s">
        <v>26</v>
      </c>
      <c r="AF8" s="161"/>
      <c r="AG8" s="161"/>
      <c r="AH8" s="161"/>
      <c r="AI8" s="48" t="s">
        <v>81</v>
      </c>
      <c r="AJ8" s="28" t="s">
        <v>26</v>
      </c>
      <c r="AK8" s="15"/>
      <c r="AL8" s="37" t="s">
        <v>81</v>
      </c>
      <c r="AM8" s="44" t="s">
        <v>26</v>
      </c>
      <c r="AN8" s="161"/>
      <c r="AO8" s="161"/>
      <c r="AP8" s="37" t="s">
        <v>81</v>
      </c>
      <c r="AQ8" s="29" t="s">
        <v>26</v>
      </c>
      <c r="AR8" s="15"/>
      <c r="AS8" s="37" t="s">
        <v>81</v>
      </c>
      <c r="AT8" s="44" t="s">
        <v>26</v>
      </c>
      <c r="AU8" s="161"/>
      <c r="AV8" s="161"/>
      <c r="AW8" s="161"/>
      <c r="AX8" s="37" t="s">
        <v>81</v>
      </c>
      <c r="AY8" s="44" t="s">
        <v>26</v>
      </c>
      <c r="AZ8" s="122"/>
      <c r="BA8" s="122"/>
      <c r="BB8" s="119"/>
      <c r="BC8" s="29" t="s">
        <v>65</v>
      </c>
      <c r="BD8" s="29" t="s">
        <v>26</v>
      </c>
      <c r="BE8" s="15"/>
      <c r="BF8" s="161"/>
      <c r="BG8" s="29" t="s">
        <v>65</v>
      </c>
      <c r="BH8" s="44" t="s">
        <v>26</v>
      </c>
      <c r="BI8" s="56"/>
      <c r="BJ8" s="122"/>
      <c r="BL8" s="601" t="s">
        <v>22</v>
      </c>
      <c r="BM8" s="602" t="s">
        <v>26</v>
      </c>
      <c r="BN8" s="602" t="s">
        <v>174</v>
      </c>
      <c r="BO8" s="602" t="s">
        <v>93</v>
      </c>
      <c r="BP8" s="601" t="s">
        <v>22</v>
      </c>
      <c r="BQ8" s="602" t="s">
        <v>26</v>
      </c>
      <c r="BR8" s="602" t="s">
        <v>174</v>
      </c>
      <c r="BS8" s="602" t="s">
        <v>93</v>
      </c>
      <c r="BT8" s="601" t="s">
        <v>22</v>
      </c>
      <c r="BU8" s="602" t="s">
        <v>26</v>
      </c>
      <c r="BV8" s="602" t="s">
        <v>174</v>
      </c>
      <c r="BW8" s="602" t="s">
        <v>93</v>
      </c>
      <c r="BX8" s="601" t="s">
        <v>22</v>
      </c>
      <c r="BY8" s="602" t="s">
        <v>26</v>
      </c>
      <c r="BZ8" s="602" t="s">
        <v>174</v>
      </c>
      <c r="CA8" s="602" t="s">
        <v>93</v>
      </c>
      <c r="CB8" s="603"/>
      <c r="CC8" s="603"/>
      <c r="CD8" s="642" t="s">
        <v>71</v>
      </c>
      <c r="CE8" s="604" t="s">
        <v>22</v>
      </c>
      <c r="CF8" s="602" t="s">
        <v>26</v>
      </c>
      <c r="CG8" s="602" t="s">
        <v>174</v>
      </c>
      <c r="CH8" s="602" t="s">
        <v>93</v>
      </c>
      <c r="CI8" s="601" t="s">
        <v>22</v>
      </c>
      <c r="CJ8" s="602" t="s">
        <v>26</v>
      </c>
      <c r="CK8" s="602" t="s">
        <v>174</v>
      </c>
      <c r="CL8" s="602" t="s">
        <v>93</v>
      </c>
      <c r="CM8" s="601" t="s">
        <v>22</v>
      </c>
      <c r="CN8" s="602" t="s">
        <v>26</v>
      </c>
      <c r="CO8" s="602" t="s">
        <v>174</v>
      </c>
      <c r="CP8" s="602" t="s">
        <v>93</v>
      </c>
      <c r="CQ8" s="601" t="s">
        <v>22</v>
      </c>
      <c r="CR8" s="602" t="s">
        <v>26</v>
      </c>
      <c r="CS8" s="602" t="s">
        <v>174</v>
      </c>
      <c r="CT8" s="605" t="s">
        <v>93</v>
      </c>
      <c r="CU8" s="606"/>
      <c r="CV8" s="618"/>
      <c r="CW8" s="268" t="s">
        <v>71</v>
      </c>
      <c r="CX8" s="80"/>
      <c r="CY8" s="80"/>
      <c r="CZ8" s="80"/>
      <c r="DA8" s="80"/>
      <c r="DB8" s="80"/>
      <c r="DC8" s="80"/>
      <c r="DD8" s="80"/>
      <c r="DE8" s="80"/>
      <c r="DF8" s="80"/>
      <c r="DG8" s="80"/>
      <c r="DH8" s="80"/>
      <c r="DI8" s="80"/>
      <c r="DJ8" s="80"/>
      <c r="DK8" s="80"/>
      <c r="DL8" s="80"/>
      <c r="DM8" s="80"/>
      <c r="DN8" s="80"/>
      <c r="DO8" s="80"/>
      <c r="DP8" s="80"/>
      <c r="DQ8" s="80"/>
    </row>
    <row r="9" spans="3:121" ht="12" customHeight="1" thickBot="1">
      <c r="C9" s="28"/>
      <c r="D9" s="704"/>
      <c r="E9" s="704"/>
      <c r="F9" s="704"/>
      <c r="G9" s="704"/>
      <c r="H9" s="704"/>
      <c r="I9" s="704"/>
      <c r="J9" s="38">
        <v>3</v>
      </c>
      <c r="K9" s="38">
        <v>7</v>
      </c>
      <c r="L9" s="53"/>
      <c r="M9" s="38">
        <v>2</v>
      </c>
      <c r="N9" s="38">
        <v>6</v>
      </c>
      <c r="O9" s="53"/>
      <c r="P9" s="38">
        <v>2</v>
      </c>
      <c r="Q9" s="38">
        <v>5</v>
      </c>
      <c r="R9" s="53"/>
      <c r="S9" s="38">
        <f>P9+M9+J9</f>
        <v>7</v>
      </c>
      <c r="T9" s="85">
        <f>Q9+N9+K9</f>
        <v>18</v>
      </c>
      <c r="U9" s="162"/>
      <c r="V9" s="162"/>
      <c r="W9" s="162"/>
      <c r="X9" s="38">
        <v>2</v>
      </c>
      <c r="Y9" s="38">
        <v>5</v>
      </c>
      <c r="Z9" s="53"/>
      <c r="AA9" s="38">
        <v>2</v>
      </c>
      <c r="AB9" s="38">
        <v>4</v>
      </c>
      <c r="AC9" s="53"/>
      <c r="AD9" s="38">
        <f>AA9+X9</f>
        <v>4</v>
      </c>
      <c r="AE9" s="85">
        <f>AB9+Y9</f>
        <v>9</v>
      </c>
      <c r="AF9" s="162"/>
      <c r="AG9" s="162"/>
      <c r="AH9" s="162"/>
      <c r="AI9" s="38">
        <v>2</v>
      </c>
      <c r="AJ9" s="38">
        <v>2</v>
      </c>
      <c r="AK9" s="53"/>
      <c r="AL9" s="38">
        <f>AI9</f>
        <v>2</v>
      </c>
      <c r="AM9" s="85">
        <f>AJ9</f>
        <v>2</v>
      </c>
      <c r="AN9" s="162"/>
      <c r="AO9" s="162"/>
      <c r="AP9" s="38">
        <v>1</v>
      </c>
      <c r="AQ9" s="38">
        <v>1</v>
      </c>
      <c r="AR9" s="53"/>
      <c r="AS9" s="38">
        <f>AP9</f>
        <v>1</v>
      </c>
      <c r="AT9" s="85">
        <f>AQ9</f>
        <v>1</v>
      </c>
      <c r="AU9" s="162"/>
      <c r="AV9" s="162"/>
      <c r="AW9" s="162"/>
      <c r="AX9" s="38">
        <f>AS9+AL9+AD9+S9</f>
        <v>14</v>
      </c>
      <c r="AY9" s="85">
        <f>AT9+AM9+AE9+T9</f>
        <v>30</v>
      </c>
      <c r="AZ9" s="123"/>
      <c r="BA9" s="123"/>
      <c r="BB9" s="119"/>
      <c r="BC9" s="38">
        <v>30</v>
      </c>
      <c r="BD9" s="38">
        <v>30</v>
      </c>
      <c r="BE9" s="53"/>
      <c r="BF9" s="162"/>
      <c r="BG9" s="110">
        <v>30</v>
      </c>
      <c r="BH9" s="85">
        <v>30</v>
      </c>
      <c r="BI9" s="340"/>
      <c r="BJ9" s="123"/>
      <c r="BL9" s="607"/>
      <c r="BM9" s="608"/>
      <c r="BN9" s="608"/>
      <c r="BO9" s="608"/>
      <c r="BP9" s="607"/>
      <c r="BQ9" s="608"/>
      <c r="BR9" s="608"/>
      <c r="BS9" s="608"/>
      <c r="BT9" s="607"/>
      <c r="BU9" s="608"/>
      <c r="BV9" s="608"/>
      <c r="BW9" s="608"/>
      <c r="BX9" s="607"/>
      <c r="BY9" s="608"/>
      <c r="BZ9" s="608"/>
      <c r="CA9" s="608"/>
      <c r="CB9" s="609"/>
      <c r="CC9" s="603"/>
      <c r="CD9" s="606"/>
      <c r="CE9" s="610"/>
      <c r="CF9" s="608"/>
      <c r="CG9" s="608"/>
      <c r="CH9" s="608"/>
      <c r="CI9" s="607"/>
      <c r="CJ9" s="608"/>
      <c r="CK9" s="608"/>
      <c r="CL9" s="608"/>
      <c r="CM9" s="607"/>
      <c r="CN9" s="608"/>
      <c r="CO9" s="608"/>
      <c r="CP9" s="608"/>
      <c r="CQ9" s="607"/>
      <c r="CR9" s="608"/>
      <c r="CS9" s="608"/>
      <c r="CT9" s="611"/>
      <c r="CU9" s="612"/>
      <c r="CV9" s="619"/>
      <c r="CW9" s="646"/>
      <c r="CX9" s="80"/>
      <c r="CY9" s="80"/>
      <c r="CZ9" s="80"/>
      <c r="DA9" s="80"/>
      <c r="DB9" s="80"/>
      <c r="DC9" s="80"/>
      <c r="DD9" s="80"/>
      <c r="DE9" s="80"/>
      <c r="DF9" s="80"/>
      <c r="DG9" s="80"/>
      <c r="DH9" s="80"/>
      <c r="DI9" s="80"/>
      <c r="DJ9" s="80"/>
      <c r="DK9" s="80"/>
      <c r="DL9" s="80"/>
      <c r="DM9" s="80"/>
      <c r="DN9" s="80"/>
      <c r="DO9" s="80"/>
      <c r="DP9" s="80"/>
      <c r="DQ9" s="80"/>
    </row>
    <row r="10" spans="2:121" ht="13.5" customHeight="1">
      <c r="B10" s="92" t="s">
        <v>109</v>
      </c>
      <c r="C10" s="47">
        <v>1</v>
      </c>
      <c r="D10" s="143" t="str">
        <f>IF('كشف النقاط'!B8&gt;0,'كشف النقاط'!B8," ")</f>
        <v>الحاج </v>
      </c>
      <c r="E10" s="143" t="str">
        <f>IF('كشف النقاط'!C8&gt;0,'كشف النقاط'!C8," ")</f>
        <v>مروة</v>
      </c>
      <c r="F10" s="30"/>
      <c r="G10" s="656"/>
      <c r="H10" s="30"/>
      <c r="I10" s="30"/>
      <c r="J10" s="39">
        <f>IF('مداولات 1'!E:E&gt;'استدراك 1'!E:E,'مداولات 1'!E:E,'استدراك 1'!E:E)</f>
        <v>48.75</v>
      </c>
      <c r="K10" s="40">
        <f>IF(J10&lt;30,0,7)</f>
        <v>7</v>
      </c>
      <c r="L10" s="38" t="str">
        <f>'كشف النقاط'!O51</f>
        <v>د1</v>
      </c>
      <c r="M10" s="39">
        <f>IF('مداولات 1'!G:G&gt;'استدراك 1'!G:G,'مداولات 1'!G:G,'استدراك 1'!G:G)</f>
        <v>37.5</v>
      </c>
      <c r="N10" s="40">
        <f>IF(M10&lt;20,0,6)</f>
        <v>6</v>
      </c>
      <c r="O10" s="38" t="str">
        <f>'كشف النقاط'!O8</f>
        <v>د1</v>
      </c>
      <c r="P10" s="39">
        <f>IF('مداولات 1'!I:I&gt;'استدراك 1'!I:I,'مداولات 1'!I:I,'استدراك 1'!I:I)</f>
        <v>31</v>
      </c>
      <c r="Q10" s="40">
        <f>IF(P10&lt;20,0,5)</f>
        <v>5</v>
      </c>
      <c r="R10" s="40" t="str">
        <f>'كشف النقاط'!O94</f>
        <v>د1</v>
      </c>
      <c r="S10" s="39">
        <f>(J10+M10+P10)/7</f>
        <v>16.75</v>
      </c>
      <c r="T10" s="45">
        <f>IF(S10&lt;10,Q10+N10+K10,18)</f>
        <v>18</v>
      </c>
      <c r="U10" s="40" t="s">
        <v>30</v>
      </c>
      <c r="V10" s="45">
        <v>2018</v>
      </c>
      <c r="W10" s="45"/>
      <c r="X10" s="39">
        <f>IF('مداولات 1'!M:M&gt;'استدراك 1'!M:M,'مداولات 1'!M:M,'استدراك 1'!M:M)</f>
        <v>35.4</v>
      </c>
      <c r="Y10" s="40">
        <f>IF(X10&lt;20,0,5)</f>
        <v>5</v>
      </c>
      <c r="Z10" s="40" t="str">
        <f>'كشف النقاط'!O182</f>
        <v>د1</v>
      </c>
      <c r="AA10" s="39">
        <f>IF('مداولات 1'!O:O&gt;'استدراك 1'!O:O,'مداولات 1'!O:O,'استدراك 1'!O:O)</f>
        <v>23.5</v>
      </c>
      <c r="AB10" s="40">
        <f>IF(AA10&lt;20,0,4)</f>
        <v>4</v>
      </c>
      <c r="AC10" s="40" t="str">
        <f>'كشف النقاط'!O138</f>
        <v>د1</v>
      </c>
      <c r="AD10" s="39">
        <f>(X10+AA10)/4</f>
        <v>14.725</v>
      </c>
      <c r="AE10" s="41">
        <f>IF(AD10&lt;10,AB10+Y10,9)</f>
        <v>9</v>
      </c>
      <c r="AF10" s="40" t="s">
        <v>30</v>
      </c>
      <c r="AG10" s="45">
        <v>2018</v>
      </c>
      <c r="AH10" s="118"/>
      <c r="AI10" s="42">
        <f>IF('مداولات 1'!S:S&gt;'استدراك 1'!S:S,'مداولات 1'!S:S,'استدراك 1'!S:S)</f>
        <v>29.5</v>
      </c>
      <c r="AJ10" s="40">
        <f>IF(AI10&lt;20,0,2)</f>
        <v>2</v>
      </c>
      <c r="AK10" s="40" t="str">
        <f>'كشف النقاط'!O226</f>
        <v>د1</v>
      </c>
      <c r="AL10" s="39">
        <f>AI10/2</f>
        <v>14.75</v>
      </c>
      <c r="AM10" s="45">
        <f>AJ10</f>
        <v>2</v>
      </c>
      <c r="AN10" s="45">
        <v>2018</v>
      </c>
      <c r="AO10" s="45" t="s">
        <v>105</v>
      </c>
      <c r="AP10" s="39">
        <f>IF('مداولات 1'!W:W&gt;'استدراك 1'!W:W,'مداولات 1'!W:W,'استدراك 1'!W:W)</f>
        <v>12.75</v>
      </c>
      <c r="AQ10" s="40">
        <f>IF(AP10&lt;10,0,1)</f>
        <v>1</v>
      </c>
      <c r="AR10" s="40" t="str">
        <f>'كشف النقاط'!O271</f>
        <v>د1</v>
      </c>
      <c r="AS10" s="39">
        <f>AP10</f>
        <v>12.75</v>
      </c>
      <c r="AT10" s="109">
        <f>AQ10</f>
        <v>1</v>
      </c>
      <c r="AU10" s="45">
        <v>2018</v>
      </c>
      <c r="AV10" s="109"/>
      <c r="AW10" s="109"/>
      <c r="AX10" s="39">
        <f>(J10+M10+P10+X10+AA10+AI10+AP10)/14</f>
        <v>15.6</v>
      </c>
      <c r="AY10" s="46">
        <f>IF(AX10&lt;10,AT10+AM10+AE10+T10,30)</f>
        <v>30</v>
      </c>
      <c r="AZ10" s="40" t="s">
        <v>30</v>
      </c>
      <c r="BA10" s="171">
        <v>2018</v>
      </c>
      <c r="BB10" s="120"/>
      <c r="BC10" s="39">
        <f>IF('مداولات 2'!E:E&gt;'استدراك 2'!E:E,'مداولات 2'!E:E,'استدراك 2'!E:E)</f>
        <v>0</v>
      </c>
      <c r="BD10" s="40">
        <f>IF(BC10&lt;20,0,6)</f>
        <v>0</v>
      </c>
      <c r="BE10" s="38" t="str">
        <f>'كشف النقاط'!O356</f>
        <v>د1</v>
      </c>
      <c r="BF10" s="45"/>
      <c r="BG10" s="43">
        <f>(BC10)/30</f>
        <v>0</v>
      </c>
      <c r="BH10" s="46">
        <f>IF(BG10&lt;300,BD10,30)</f>
        <v>0</v>
      </c>
      <c r="BI10" s="580" t="str">
        <f>BE10</f>
        <v>د1</v>
      </c>
      <c r="BJ10" s="171">
        <v>2018</v>
      </c>
      <c r="BK10" s="126"/>
      <c r="BL10" s="630">
        <v>8.857142857142858</v>
      </c>
      <c r="BM10" s="631">
        <v>0</v>
      </c>
      <c r="BN10" s="631">
        <v>0</v>
      </c>
      <c r="BO10" s="631">
        <v>2017</v>
      </c>
      <c r="BP10" s="632">
        <v>5.375</v>
      </c>
      <c r="BQ10" s="631">
        <v>0</v>
      </c>
      <c r="BR10" s="631">
        <v>0</v>
      </c>
      <c r="BS10" s="631">
        <v>2017</v>
      </c>
      <c r="BT10" s="632">
        <v>17</v>
      </c>
      <c r="BU10" s="631">
        <v>1</v>
      </c>
      <c r="BV10" s="631" t="s">
        <v>105</v>
      </c>
      <c r="BW10" s="631">
        <v>2017</v>
      </c>
      <c r="BX10" s="632">
        <v>10</v>
      </c>
      <c r="BY10" s="631">
        <v>1</v>
      </c>
      <c r="BZ10" s="633">
        <v>0</v>
      </c>
      <c r="CA10" s="634">
        <v>2017</v>
      </c>
      <c r="CB10" s="238">
        <v>9.107142857142858</v>
      </c>
      <c r="CC10" s="239">
        <v>14</v>
      </c>
      <c r="CD10" s="648" t="s">
        <v>31</v>
      </c>
      <c r="CE10" s="208">
        <v>13.916666666666666</v>
      </c>
      <c r="CF10" s="204">
        <v>18</v>
      </c>
      <c r="CG10" s="204" t="s">
        <v>105</v>
      </c>
      <c r="CH10" s="204">
        <v>2017</v>
      </c>
      <c r="CI10" s="205">
        <v>8.95</v>
      </c>
      <c r="CJ10" s="204">
        <v>3</v>
      </c>
      <c r="CK10" s="204">
        <v>0</v>
      </c>
      <c r="CL10" s="204">
        <v>2017</v>
      </c>
      <c r="CM10" s="205">
        <v>10</v>
      </c>
      <c r="CN10" s="204">
        <v>0</v>
      </c>
      <c r="CO10" s="204" t="s">
        <v>105</v>
      </c>
      <c r="CP10" s="204">
        <v>2017</v>
      </c>
      <c r="CQ10" s="205">
        <v>10</v>
      </c>
      <c r="CR10" s="204">
        <v>1</v>
      </c>
      <c r="CS10" s="209">
        <v>0</v>
      </c>
      <c r="CT10" s="209">
        <v>2017</v>
      </c>
      <c r="CU10" s="238">
        <v>10.910714285714286</v>
      </c>
      <c r="CV10" s="652">
        <v>30</v>
      </c>
      <c r="CW10" s="651" t="s">
        <v>31</v>
      </c>
      <c r="CX10" s="80"/>
      <c r="CY10" s="80"/>
      <c r="CZ10" s="80"/>
      <c r="DA10" s="80"/>
      <c r="DB10" s="80"/>
      <c r="DC10" s="80"/>
      <c r="DD10" s="80"/>
      <c r="DE10" s="80"/>
      <c r="DF10" s="80"/>
      <c r="DG10" s="80"/>
      <c r="DH10" s="80"/>
      <c r="DI10" s="80"/>
      <c r="DJ10" s="80"/>
      <c r="DK10" s="80"/>
      <c r="DL10" s="80"/>
      <c r="DM10" s="80"/>
      <c r="DN10" s="80"/>
      <c r="DO10" s="80"/>
      <c r="DP10" s="80"/>
      <c r="DQ10" s="80"/>
    </row>
    <row r="11" spans="2:121" ht="13.5" customHeight="1">
      <c r="B11" s="92" t="s">
        <v>110</v>
      </c>
      <c r="C11" s="47">
        <v>2</v>
      </c>
      <c r="D11" s="143" t="str">
        <f>IF('كشف النقاط'!B9&gt;0,'كشف النقاط'!B9," ")</f>
        <v>العياشي </v>
      </c>
      <c r="E11" s="143" t="str">
        <f>IF('كشف النقاط'!C9&gt;0,'كشف النقاط'!C9," ")</f>
        <v>نوار</v>
      </c>
      <c r="F11" s="30"/>
      <c r="G11" s="656"/>
      <c r="H11" s="30"/>
      <c r="I11" s="30"/>
      <c r="J11" s="39">
        <f>IF('مداولات 1'!E:E&gt;'استدراك 1'!E:E,'مداولات 1'!E:E,'استدراك 1'!E:E)</f>
        <v>17.25</v>
      </c>
      <c r="K11" s="40">
        <f aca="true" t="shared" si="0" ref="K11:K43">IF(J11&lt;30,0,7)</f>
        <v>0</v>
      </c>
      <c r="L11" s="38" t="str">
        <f>'كشف النقاط'!O52</f>
        <v>د1</v>
      </c>
      <c r="M11" s="39">
        <f>IF('مداولات 1'!G:G&gt;'استدراك 1'!G:G,'مداولات 1'!G:G,'استدراك 1'!G:G)</f>
        <v>10.5</v>
      </c>
      <c r="N11" s="40">
        <f aca="true" t="shared" si="1" ref="N11:N43">IF(M11&lt;20,0,6)</f>
        <v>0</v>
      </c>
      <c r="O11" s="38" t="str">
        <f>'كشف النقاط'!O9</f>
        <v>د1</v>
      </c>
      <c r="P11" s="39">
        <f>IF('مداولات 1'!I:I&gt;'استدراك 1'!I:I,'مداولات 1'!I:I,'استدراك 1'!I:I)</f>
        <v>12</v>
      </c>
      <c r="Q11" s="40">
        <f aca="true" t="shared" si="2" ref="Q11:Q43">IF(P11&lt;20,0,5)</f>
        <v>0</v>
      </c>
      <c r="R11" s="40" t="str">
        <f>'كشف النقاط'!O95</f>
        <v>د1</v>
      </c>
      <c r="S11" s="39">
        <f aca="true" t="shared" si="3" ref="S11:S43">(J11+M11+P11)/7</f>
        <v>5.678571428571429</v>
      </c>
      <c r="T11" s="45">
        <f aca="true" t="shared" si="4" ref="T11:T43">IF(S11&lt;10,Q11+N11+K11,18)</f>
        <v>0</v>
      </c>
      <c r="U11" s="40" t="s">
        <v>30</v>
      </c>
      <c r="V11" s="45">
        <v>2018</v>
      </c>
      <c r="W11" s="45"/>
      <c r="X11" s="39">
        <f>IF('مداولات 1'!M:M&gt;'استدراك 1'!M:M,'مداولات 1'!M:M,'استدراك 1'!M:M)</f>
        <v>12.4</v>
      </c>
      <c r="Y11" s="40">
        <f aca="true" t="shared" si="5" ref="Y11:Y43">IF(X11&lt;20,0,5)</f>
        <v>0</v>
      </c>
      <c r="Z11" s="40" t="str">
        <f>'كشف النقاط'!O183</f>
        <v>د1</v>
      </c>
      <c r="AA11" s="39">
        <f>IF('مداولات 1'!O:O&gt;'استدراك 1'!O:O,'مداولات 1'!O:O,'استدراك 1'!O:O)</f>
        <v>15</v>
      </c>
      <c r="AB11" s="40">
        <f aca="true" t="shared" si="6" ref="AB11:AB43">IF(AA11&lt;20,0,4)</f>
        <v>0</v>
      </c>
      <c r="AC11" s="40" t="str">
        <f>'كشف النقاط'!O139</f>
        <v>د1</v>
      </c>
      <c r="AD11" s="39">
        <f aca="true" t="shared" si="7" ref="AD11:AD30">(X11+AA11)/4</f>
        <v>6.85</v>
      </c>
      <c r="AE11" s="41">
        <f aca="true" t="shared" si="8" ref="AE11:AE30">IF(AD11&lt;10,AB11+Y11,9)</f>
        <v>0</v>
      </c>
      <c r="AF11" s="40" t="s">
        <v>30</v>
      </c>
      <c r="AG11" s="45">
        <v>2018</v>
      </c>
      <c r="AH11" s="118"/>
      <c r="AI11" s="42">
        <f>IF('مداولات 1'!S:S&gt;'استدراك 1'!S:S,'مداولات 1'!S:S,'استدراك 1'!S:S)</f>
        <v>12</v>
      </c>
      <c r="AJ11" s="40">
        <f aca="true" t="shared" si="9" ref="AJ11:AJ43">IF(AI11&lt;20,0,2)</f>
        <v>0</v>
      </c>
      <c r="AK11" s="40" t="str">
        <f>'كشف النقاط'!O227</f>
        <v>د1</v>
      </c>
      <c r="AL11" s="39">
        <f aca="true" t="shared" si="10" ref="AL11:AL43">AI11/2</f>
        <v>6</v>
      </c>
      <c r="AM11" s="45">
        <f aca="true" t="shared" si="11" ref="AM11:AM43">AJ11</f>
        <v>0</v>
      </c>
      <c r="AN11" s="45">
        <v>2018</v>
      </c>
      <c r="AO11" s="45" t="s">
        <v>105</v>
      </c>
      <c r="AP11" s="39">
        <f>IF('مداولات 1'!W:W&gt;'استدراك 1'!W:W,'مداولات 1'!W:W,'استدراك 1'!W:W)</f>
        <v>4.75</v>
      </c>
      <c r="AQ11" s="40">
        <f aca="true" t="shared" si="12" ref="AQ11:AQ43">IF(AP11&lt;10,0,1)</f>
        <v>0</v>
      </c>
      <c r="AR11" s="40" t="str">
        <f>'كشف النقاط'!O272</f>
        <v>د1</v>
      </c>
      <c r="AS11" s="39">
        <f aca="true" t="shared" si="13" ref="AS11:AS43">AP11</f>
        <v>4.75</v>
      </c>
      <c r="AT11" s="109">
        <f aca="true" t="shared" si="14" ref="AT11:AT43">AQ11</f>
        <v>0</v>
      </c>
      <c r="AU11" s="45">
        <v>2018</v>
      </c>
      <c r="AV11" s="109"/>
      <c r="AW11" s="109"/>
      <c r="AX11" s="39">
        <f aca="true" t="shared" si="15" ref="AX11:AX43">(J11+M11+P11+X11+AA11+AI11+AP11)/14</f>
        <v>5.992857142857143</v>
      </c>
      <c r="AY11" s="46">
        <f aca="true" t="shared" si="16" ref="AY11:AY43">IF(AX11&lt;10,AT11+AM11+AE11+T11,30)</f>
        <v>0</v>
      </c>
      <c r="AZ11" s="40" t="s">
        <v>30</v>
      </c>
      <c r="BA11" s="171">
        <v>2018</v>
      </c>
      <c r="BB11" s="120"/>
      <c r="BC11" s="39">
        <f>IF('مداولات 2'!E:E&gt;'استدراك 2'!E:E,'مداولات 2'!E:E,'استدراك 2'!E:E)</f>
        <v>0</v>
      </c>
      <c r="BD11" s="40">
        <f aca="true" t="shared" si="17" ref="BD11:BD43">IF(BC11&lt;20,0,6)</f>
        <v>0</v>
      </c>
      <c r="BE11" s="38" t="str">
        <f>'كشف النقاط'!O357</f>
        <v>د1</v>
      </c>
      <c r="BF11" s="45"/>
      <c r="BG11" s="43">
        <f aca="true" t="shared" si="18" ref="BG11:BG43">(BC11)/30</f>
        <v>0</v>
      </c>
      <c r="BH11" s="46">
        <f aca="true" t="shared" si="19" ref="BH11:BH43">IF(BG11&lt;300,BD11,30)</f>
        <v>0</v>
      </c>
      <c r="BI11" s="580" t="str">
        <f aca="true" t="shared" si="20" ref="BI11:BI43">BE11</f>
        <v>د1</v>
      </c>
      <c r="BJ11" s="171">
        <v>2018</v>
      </c>
      <c r="BL11" s="203">
        <v>10.321428571428571</v>
      </c>
      <c r="BM11" s="204">
        <v>3</v>
      </c>
      <c r="BN11" s="204">
        <v>0</v>
      </c>
      <c r="BO11" s="204">
        <v>2017</v>
      </c>
      <c r="BP11" s="205">
        <v>8.25</v>
      </c>
      <c r="BQ11" s="204">
        <v>3</v>
      </c>
      <c r="BR11" s="204">
        <v>0</v>
      </c>
      <c r="BS11" s="204">
        <v>2017</v>
      </c>
      <c r="BT11" s="205">
        <v>17</v>
      </c>
      <c r="BU11" s="204">
        <v>1</v>
      </c>
      <c r="BV11" s="204" t="s">
        <v>105</v>
      </c>
      <c r="BW11" s="204">
        <v>2017</v>
      </c>
      <c r="BX11" s="205">
        <v>7.5</v>
      </c>
      <c r="BY11" s="204">
        <v>0</v>
      </c>
      <c r="BZ11" s="206">
        <v>0</v>
      </c>
      <c r="CA11" s="207">
        <v>2017</v>
      </c>
      <c r="CB11" s="238">
        <v>10.482142857142858</v>
      </c>
      <c r="CC11" s="239">
        <v>30</v>
      </c>
      <c r="CD11" s="648" t="s">
        <v>30</v>
      </c>
      <c r="CE11" s="208">
        <v>15.583333333333334</v>
      </c>
      <c r="CF11" s="204">
        <v>18</v>
      </c>
      <c r="CG11" s="204" t="s">
        <v>105</v>
      </c>
      <c r="CH11" s="204">
        <v>2017</v>
      </c>
      <c r="CI11" s="205">
        <v>6</v>
      </c>
      <c r="CJ11" s="204">
        <v>0</v>
      </c>
      <c r="CK11" s="204">
        <v>0</v>
      </c>
      <c r="CL11" s="204">
        <v>2017</v>
      </c>
      <c r="CM11" s="205">
        <v>9.25</v>
      </c>
      <c r="CN11" s="204">
        <v>0</v>
      </c>
      <c r="CO11" s="204" t="s">
        <v>105</v>
      </c>
      <c r="CP11" s="204">
        <v>2017</v>
      </c>
      <c r="CQ11" s="205">
        <v>9.25</v>
      </c>
      <c r="CR11" s="204">
        <v>0</v>
      </c>
      <c r="CS11" s="209">
        <v>0</v>
      </c>
      <c r="CT11" s="209">
        <v>2017</v>
      </c>
      <c r="CU11" s="238">
        <v>10.517857142857142</v>
      </c>
      <c r="CV11" s="652">
        <v>30</v>
      </c>
      <c r="CW11" s="651" t="s">
        <v>30</v>
      </c>
      <c r="CX11" s="80"/>
      <c r="CY11" s="80"/>
      <c r="CZ11" s="80"/>
      <c r="DA11" s="80"/>
      <c r="DB11" s="80"/>
      <c r="DC11" s="80"/>
      <c r="DD11" s="80"/>
      <c r="DE11" s="80"/>
      <c r="DF11" s="80"/>
      <c r="DG11" s="80"/>
      <c r="DH11" s="80"/>
      <c r="DI11" s="80"/>
      <c r="DJ11" s="80"/>
      <c r="DK11" s="80"/>
      <c r="DL11" s="80"/>
      <c r="DM11" s="80"/>
      <c r="DN11" s="80"/>
      <c r="DO11" s="80"/>
      <c r="DP11" s="80"/>
      <c r="DQ11" s="80"/>
    </row>
    <row r="12" spans="2:121" ht="13.5" customHeight="1">
      <c r="B12" s="92" t="s">
        <v>111</v>
      </c>
      <c r="C12" s="47">
        <v>3</v>
      </c>
      <c r="D12" s="143" t="str">
        <f>IF('كشف النقاط'!B10&gt;0,'كشف النقاط'!B10," ")</f>
        <v>باطح </v>
      </c>
      <c r="E12" s="143" t="str">
        <f>IF('كشف النقاط'!C10&gt;0,'كشف النقاط'!C10," ")</f>
        <v>محمد لمين</v>
      </c>
      <c r="F12" s="30"/>
      <c r="G12" s="656"/>
      <c r="H12" s="30"/>
      <c r="I12" s="30"/>
      <c r="J12" s="39">
        <f>IF('مداولات 1'!E:E&gt;'استدراك 1'!E:E,'مداولات 1'!E:E,'استدراك 1'!E:E)</f>
        <v>47.25</v>
      </c>
      <c r="K12" s="40">
        <f t="shared" si="0"/>
        <v>7</v>
      </c>
      <c r="L12" s="38" t="str">
        <f>'كشف النقاط'!O53</f>
        <v>د1</v>
      </c>
      <c r="M12" s="39">
        <f>IF('مداولات 1'!G:G&gt;'استدراك 1'!G:G,'مداولات 1'!G:G,'استدراك 1'!G:G)</f>
        <v>23</v>
      </c>
      <c r="N12" s="40">
        <f t="shared" si="1"/>
        <v>6</v>
      </c>
      <c r="O12" s="38" t="str">
        <f>'كشف النقاط'!O10</f>
        <v>د1</v>
      </c>
      <c r="P12" s="39">
        <f>IF('مداولات 1'!I:I&gt;'استدراك 1'!I:I,'مداولات 1'!I:I,'استدراك 1'!I:I)</f>
        <v>30</v>
      </c>
      <c r="Q12" s="40">
        <f t="shared" si="2"/>
        <v>5</v>
      </c>
      <c r="R12" s="40" t="str">
        <f>'كشف النقاط'!O96</f>
        <v>د1</v>
      </c>
      <c r="S12" s="39">
        <f t="shared" si="3"/>
        <v>14.321428571428571</v>
      </c>
      <c r="T12" s="45">
        <f t="shared" si="4"/>
        <v>18</v>
      </c>
      <c r="U12" s="40" t="s">
        <v>30</v>
      </c>
      <c r="V12" s="45">
        <v>2018</v>
      </c>
      <c r="W12" s="45"/>
      <c r="X12" s="39">
        <f>IF('مداولات 1'!M:M&gt;'استدراك 1'!M:M,'مداولات 1'!M:M,'استدراك 1'!M:M)</f>
        <v>21.4</v>
      </c>
      <c r="Y12" s="40">
        <f t="shared" si="5"/>
        <v>5</v>
      </c>
      <c r="Z12" s="40" t="str">
        <f>'كشف النقاط'!O184</f>
        <v>د1</v>
      </c>
      <c r="AA12" s="39">
        <f>IF('مداولات 1'!O:O&gt;'استدراك 1'!O:O,'مداولات 1'!O:O,'استدراك 1'!O:O)</f>
        <v>24.5</v>
      </c>
      <c r="AB12" s="40">
        <f t="shared" si="6"/>
        <v>4</v>
      </c>
      <c r="AC12" s="40" t="str">
        <f>'كشف النقاط'!O140</f>
        <v>د1</v>
      </c>
      <c r="AD12" s="39">
        <f t="shared" si="7"/>
        <v>11.475</v>
      </c>
      <c r="AE12" s="41">
        <f t="shared" si="8"/>
        <v>9</v>
      </c>
      <c r="AF12" s="40" t="s">
        <v>30</v>
      </c>
      <c r="AG12" s="45">
        <v>2018</v>
      </c>
      <c r="AH12" s="118"/>
      <c r="AI12" s="42">
        <f>IF('مداولات 1'!S:S&gt;'استدراك 1'!S:S,'مداولات 1'!S:S,'استدراك 1'!S:S)</f>
        <v>24</v>
      </c>
      <c r="AJ12" s="40">
        <f t="shared" si="9"/>
        <v>2</v>
      </c>
      <c r="AK12" s="40" t="str">
        <f>'كشف النقاط'!O228</f>
        <v>د1</v>
      </c>
      <c r="AL12" s="39">
        <f t="shared" si="10"/>
        <v>12</v>
      </c>
      <c r="AM12" s="45">
        <f t="shared" si="11"/>
        <v>2</v>
      </c>
      <c r="AN12" s="45">
        <v>2018</v>
      </c>
      <c r="AO12" s="45" t="s">
        <v>105</v>
      </c>
      <c r="AP12" s="39">
        <f>IF('مداولات 1'!W:W&gt;'استدراك 1'!W:W,'مداولات 1'!W:W,'استدراك 1'!W:W)</f>
        <v>10.75</v>
      </c>
      <c r="AQ12" s="40">
        <f t="shared" si="12"/>
        <v>1</v>
      </c>
      <c r="AR12" s="40" t="str">
        <f>'كشف النقاط'!O273</f>
        <v>د1</v>
      </c>
      <c r="AS12" s="39">
        <f t="shared" si="13"/>
        <v>10.75</v>
      </c>
      <c r="AT12" s="109">
        <f t="shared" si="14"/>
        <v>1</v>
      </c>
      <c r="AU12" s="45">
        <v>2018</v>
      </c>
      <c r="AV12" s="109"/>
      <c r="AW12" s="109"/>
      <c r="AX12" s="39">
        <f t="shared" si="15"/>
        <v>12.921428571428573</v>
      </c>
      <c r="AY12" s="46">
        <f t="shared" si="16"/>
        <v>30</v>
      </c>
      <c r="AZ12" s="40" t="s">
        <v>30</v>
      </c>
      <c r="BA12" s="171">
        <v>2018</v>
      </c>
      <c r="BB12" s="120"/>
      <c r="BC12" s="39">
        <f>IF('مداولات 2'!E:E&gt;'استدراك 2'!E:E,'مداولات 2'!E:E,'استدراك 2'!E:E)</f>
        <v>0</v>
      </c>
      <c r="BD12" s="40">
        <f t="shared" si="17"/>
        <v>0</v>
      </c>
      <c r="BE12" s="38" t="str">
        <f>'كشف النقاط'!O358</f>
        <v>د1</v>
      </c>
      <c r="BF12" s="45"/>
      <c r="BG12" s="43">
        <f t="shared" si="18"/>
        <v>0</v>
      </c>
      <c r="BH12" s="46">
        <f t="shared" si="19"/>
        <v>0</v>
      </c>
      <c r="BI12" s="580" t="str">
        <f t="shared" si="20"/>
        <v>د1</v>
      </c>
      <c r="BJ12" s="171">
        <v>2018</v>
      </c>
      <c r="BL12" s="203">
        <v>10.714285714285714</v>
      </c>
      <c r="BM12" s="204">
        <v>9</v>
      </c>
      <c r="BN12" s="204">
        <v>0</v>
      </c>
      <c r="BO12" s="204">
        <v>2017</v>
      </c>
      <c r="BP12" s="205">
        <v>10.5625</v>
      </c>
      <c r="BQ12" s="204">
        <v>9</v>
      </c>
      <c r="BR12" s="204">
        <v>0</v>
      </c>
      <c r="BS12" s="204">
        <v>2017</v>
      </c>
      <c r="BT12" s="205">
        <v>15.25</v>
      </c>
      <c r="BU12" s="204">
        <v>1</v>
      </c>
      <c r="BV12" s="204" t="s">
        <v>105</v>
      </c>
      <c r="BW12" s="204">
        <v>2017</v>
      </c>
      <c r="BX12" s="205">
        <v>6</v>
      </c>
      <c r="BY12" s="204">
        <v>0</v>
      </c>
      <c r="BZ12" s="206">
        <v>0</v>
      </c>
      <c r="CA12" s="207">
        <v>2017</v>
      </c>
      <c r="CB12" s="238">
        <v>10.982142857142858</v>
      </c>
      <c r="CC12" s="239">
        <v>30</v>
      </c>
      <c r="CD12" s="648" t="s">
        <v>30</v>
      </c>
      <c r="CE12" s="208">
        <v>15.3125</v>
      </c>
      <c r="CF12" s="204">
        <v>18</v>
      </c>
      <c r="CG12" s="204" t="s">
        <v>105</v>
      </c>
      <c r="CH12" s="204">
        <v>2017</v>
      </c>
      <c r="CI12" s="205">
        <v>9.7</v>
      </c>
      <c r="CJ12" s="204">
        <v>5</v>
      </c>
      <c r="CK12" s="204">
        <v>0</v>
      </c>
      <c r="CL12" s="204">
        <v>2017</v>
      </c>
      <c r="CM12" s="205">
        <v>6.25</v>
      </c>
      <c r="CN12" s="204">
        <v>2</v>
      </c>
      <c r="CO12" s="204" t="s">
        <v>105</v>
      </c>
      <c r="CP12" s="204">
        <v>2017</v>
      </c>
      <c r="CQ12" s="205">
        <v>6.25</v>
      </c>
      <c r="CR12" s="204">
        <v>0</v>
      </c>
      <c r="CS12" s="209">
        <v>0</v>
      </c>
      <c r="CT12" s="209">
        <v>2017</v>
      </c>
      <c r="CU12" s="238">
        <v>12.223214285714286</v>
      </c>
      <c r="CV12" s="652">
        <v>30</v>
      </c>
      <c r="CW12" s="651" t="s">
        <v>30</v>
      </c>
      <c r="CX12" s="80"/>
      <c r="CY12" s="80"/>
      <c r="CZ12" s="80"/>
      <c r="DA12" s="80"/>
      <c r="DB12" s="80"/>
      <c r="DC12" s="80"/>
      <c r="DD12" s="80"/>
      <c r="DE12" s="80"/>
      <c r="DF12" s="80"/>
      <c r="DG12" s="80"/>
      <c r="DH12" s="80"/>
      <c r="DI12" s="80"/>
      <c r="DJ12" s="80"/>
      <c r="DK12" s="80"/>
      <c r="DL12" s="80"/>
      <c r="DM12" s="80"/>
      <c r="DN12" s="80"/>
      <c r="DO12" s="80"/>
      <c r="DP12" s="80"/>
      <c r="DQ12" s="80"/>
    </row>
    <row r="13" spans="2:121" ht="13.5" customHeight="1">
      <c r="B13" s="92" t="s">
        <v>108</v>
      </c>
      <c r="C13" s="47">
        <v>4</v>
      </c>
      <c r="D13" s="143" t="str">
        <f>IF('كشف النقاط'!B11&gt;0,'كشف النقاط'!B11," ")</f>
        <v>بوساحة </v>
      </c>
      <c r="E13" s="143" t="str">
        <f>IF('كشف النقاط'!C11&gt;0,'كشف النقاط'!C11," ")</f>
        <v>حسام الدين</v>
      </c>
      <c r="F13" s="30"/>
      <c r="G13" s="656"/>
      <c r="H13" s="30"/>
      <c r="I13" s="30"/>
      <c r="J13" s="39">
        <f>IF('مداولات 1'!E:E&gt;'استدراك 1'!E:E,'مداولات 1'!E:E,'استدراك 1'!E:E)</f>
        <v>32.25</v>
      </c>
      <c r="K13" s="40">
        <f t="shared" si="0"/>
        <v>7</v>
      </c>
      <c r="L13" s="38" t="str">
        <f>'كشف النقاط'!O54</f>
        <v>د1</v>
      </c>
      <c r="M13" s="39">
        <f>IF('مداولات 1'!G:G&gt;'استدراك 1'!G:G,'مداولات 1'!G:G,'استدراك 1'!G:G)</f>
        <v>11.5</v>
      </c>
      <c r="N13" s="40">
        <f t="shared" si="1"/>
        <v>0</v>
      </c>
      <c r="O13" s="38" t="str">
        <f>'كشف النقاط'!O11</f>
        <v>د1</v>
      </c>
      <c r="P13" s="39">
        <f>IF('مداولات 1'!I:I&gt;'استدراك 1'!I:I,'مداولات 1'!I:I,'استدراك 1'!I:I)</f>
        <v>16</v>
      </c>
      <c r="Q13" s="40">
        <f t="shared" si="2"/>
        <v>0</v>
      </c>
      <c r="R13" s="40" t="str">
        <f>'كشف النقاط'!O97</f>
        <v>د1</v>
      </c>
      <c r="S13" s="39">
        <f t="shared" si="3"/>
        <v>8.535714285714286</v>
      </c>
      <c r="T13" s="45">
        <f t="shared" si="4"/>
        <v>7</v>
      </c>
      <c r="U13" s="40" t="s">
        <v>30</v>
      </c>
      <c r="V13" s="45">
        <v>2018</v>
      </c>
      <c r="W13" s="45"/>
      <c r="X13" s="39">
        <f>IF('مداولات 1'!M:M&gt;'استدراك 1'!M:M,'مداولات 1'!M:M,'استدراك 1'!M:M)</f>
        <v>24</v>
      </c>
      <c r="Y13" s="40">
        <f t="shared" si="5"/>
        <v>5</v>
      </c>
      <c r="Z13" s="40" t="str">
        <f>'كشف النقاط'!O185</f>
        <v>د1</v>
      </c>
      <c r="AA13" s="39">
        <f>IF('مداولات 1'!O:O&gt;'استدراك 1'!O:O,'مداولات 1'!O:O,'استدراك 1'!O:O)</f>
        <v>25.5</v>
      </c>
      <c r="AB13" s="40">
        <f t="shared" si="6"/>
        <v>4</v>
      </c>
      <c r="AC13" s="40" t="str">
        <f>'كشف النقاط'!O141</f>
        <v>د1</v>
      </c>
      <c r="AD13" s="39">
        <f t="shared" si="7"/>
        <v>12.375</v>
      </c>
      <c r="AE13" s="41">
        <f t="shared" si="8"/>
        <v>9</v>
      </c>
      <c r="AF13" s="40" t="s">
        <v>30</v>
      </c>
      <c r="AG13" s="45">
        <v>2018</v>
      </c>
      <c r="AH13" s="118"/>
      <c r="AI13" s="42">
        <f>IF('مداولات 1'!S:S&gt;'استدراك 1'!S:S,'مداولات 1'!S:S,'استدراك 1'!S:S)</f>
        <v>29</v>
      </c>
      <c r="AJ13" s="40">
        <f t="shared" si="9"/>
        <v>2</v>
      </c>
      <c r="AK13" s="40" t="str">
        <f>'كشف النقاط'!O229</f>
        <v>د1</v>
      </c>
      <c r="AL13" s="39">
        <f t="shared" si="10"/>
        <v>14.5</v>
      </c>
      <c r="AM13" s="45">
        <f t="shared" si="11"/>
        <v>2</v>
      </c>
      <c r="AN13" s="45">
        <v>2018</v>
      </c>
      <c r="AO13" s="45" t="s">
        <v>105</v>
      </c>
      <c r="AP13" s="39">
        <f>IF('مداولات 1'!W:W&gt;'استدراك 1'!W:W,'مداولات 1'!W:W,'استدراك 1'!W:W)</f>
        <v>7.75</v>
      </c>
      <c r="AQ13" s="40">
        <f t="shared" si="12"/>
        <v>0</v>
      </c>
      <c r="AR13" s="40" t="str">
        <f>'كشف النقاط'!O274</f>
        <v>د1</v>
      </c>
      <c r="AS13" s="39">
        <f t="shared" si="13"/>
        <v>7.75</v>
      </c>
      <c r="AT13" s="109">
        <f t="shared" si="14"/>
        <v>0</v>
      </c>
      <c r="AU13" s="45">
        <v>2018</v>
      </c>
      <c r="AV13" s="109"/>
      <c r="AW13" s="109"/>
      <c r="AX13" s="39">
        <f t="shared" si="15"/>
        <v>10.428571428571429</v>
      </c>
      <c r="AY13" s="46">
        <f t="shared" si="16"/>
        <v>30</v>
      </c>
      <c r="AZ13" s="40" t="s">
        <v>30</v>
      </c>
      <c r="BA13" s="171">
        <v>2018</v>
      </c>
      <c r="BB13" s="120"/>
      <c r="BC13" s="39">
        <f>IF('مداولات 2'!E:E&gt;'استدراك 2'!E:E,'مداولات 2'!E:E,'استدراك 2'!E:E)</f>
        <v>0</v>
      </c>
      <c r="BD13" s="40">
        <f t="shared" si="17"/>
        <v>0</v>
      </c>
      <c r="BE13" s="38" t="str">
        <f>'كشف النقاط'!O359</f>
        <v>د1</v>
      </c>
      <c r="BF13" s="45"/>
      <c r="BG13" s="43">
        <f t="shared" si="18"/>
        <v>0</v>
      </c>
      <c r="BH13" s="46">
        <f t="shared" si="19"/>
        <v>0</v>
      </c>
      <c r="BI13" s="580" t="str">
        <f t="shared" si="20"/>
        <v>د1</v>
      </c>
      <c r="BJ13" s="171">
        <v>2018</v>
      </c>
      <c r="BL13" s="203">
        <v>10.928571428571429</v>
      </c>
      <c r="BM13" s="204">
        <v>9</v>
      </c>
      <c r="BN13" s="204">
        <v>0</v>
      </c>
      <c r="BO13" s="204">
        <v>2017</v>
      </c>
      <c r="BP13" s="205">
        <v>10.625</v>
      </c>
      <c r="BQ13" s="204">
        <v>9</v>
      </c>
      <c r="BR13" s="204">
        <v>0</v>
      </c>
      <c r="BS13" s="204">
        <v>2017</v>
      </c>
      <c r="BT13" s="205">
        <v>14.625</v>
      </c>
      <c r="BU13" s="204">
        <v>1</v>
      </c>
      <c r="BV13" s="204" t="s">
        <v>105</v>
      </c>
      <c r="BW13" s="204">
        <v>2017</v>
      </c>
      <c r="BX13" s="205">
        <v>5</v>
      </c>
      <c r="BY13" s="204">
        <v>0</v>
      </c>
      <c r="BZ13" s="206">
        <v>0</v>
      </c>
      <c r="CA13" s="207">
        <v>2017</v>
      </c>
      <c r="CB13" s="238">
        <v>10.946428571428571</v>
      </c>
      <c r="CC13" s="239">
        <v>30</v>
      </c>
      <c r="CD13" s="648" t="s">
        <v>31</v>
      </c>
      <c r="CE13" s="640">
        <v>12.875</v>
      </c>
      <c r="CF13" s="631">
        <v>18</v>
      </c>
      <c r="CG13" s="631" t="s">
        <v>105</v>
      </c>
      <c r="CH13" s="631">
        <v>2017</v>
      </c>
      <c r="CI13" s="632">
        <v>5.9</v>
      </c>
      <c r="CJ13" s="631">
        <v>0</v>
      </c>
      <c r="CK13" s="631">
        <v>0</v>
      </c>
      <c r="CL13" s="631">
        <v>2017</v>
      </c>
      <c r="CM13" s="632">
        <v>5.375</v>
      </c>
      <c r="CN13" s="631">
        <v>2</v>
      </c>
      <c r="CO13" s="631" t="s">
        <v>105</v>
      </c>
      <c r="CP13" s="631">
        <v>2017</v>
      </c>
      <c r="CQ13" s="632">
        <v>5.375</v>
      </c>
      <c r="CR13" s="631">
        <v>0</v>
      </c>
      <c r="CS13" s="641">
        <v>0</v>
      </c>
      <c r="CT13" s="641">
        <v>2017</v>
      </c>
      <c r="CU13" s="238">
        <v>9.723214285714286</v>
      </c>
      <c r="CV13" s="652">
        <v>20</v>
      </c>
      <c r="CW13" s="651" t="s">
        <v>31</v>
      </c>
      <c r="CX13" s="80"/>
      <c r="CY13" s="80"/>
      <c r="CZ13" s="80"/>
      <c r="DA13" s="80"/>
      <c r="DB13" s="80"/>
      <c r="DC13" s="80"/>
      <c r="DD13" s="80"/>
      <c r="DE13" s="80"/>
      <c r="DF13" s="80"/>
      <c r="DG13" s="80"/>
      <c r="DH13" s="80"/>
      <c r="DI13" s="80"/>
      <c r="DJ13" s="80"/>
      <c r="DK13" s="80"/>
      <c r="DL13" s="80"/>
      <c r="DM13" s="80"/>
      <c r="DN13" s="80"/>
      <c r="DO13" s="80"/>
      <c r="DP13" s="80"/>
      <c r="DQ13" s="80"/>
    </row>
    <row r="14" spans="2:121" ht="13.5" customHeight="1">
      <c r="B14" s="92" t="s">
        <v>107</v>
      </c>
      <c r="C14" s="47">
        <v>5</v>
      </c>
      <c r="D14" s="143" t="str">
        <f>IF('كشف النقاط'!B12&gt;0,'كشف النقاط'!B12," ")</f>
        <v>بوسالم </v>
      </c>
      <c r="E14" s="143" t="str">
        <f>IF('كشف النقاط'!C12&gt;0,'كشف النقاط'!C12," ")</f>
        <v>محمد وليد</v>
      </c>
      <c r="F14" s="30"/>
      <c r="G14" s="656"/>
      <c r="H14" s="30"/>
      <c r="I14" s="30"/>
      <c r="J14" s="39">
        <f>IF('مداولات 1'!E:E&gt;'استدراك 1'!E:E,'مداولات 1'!E:E,'استدراك 1'!E:E)</f>
        <v>40.5</v>
      </c>
      <c r="K14" s="40">
        <f t="shared" si="0"/>
        <v>7</v>
      </c>
      <c r="L14" s="38" t="str">
        <f>'كشف النقاط'!O55</f>
        <v>د1</v>
      </c>
      <c r="M14" s="39">
        <f>IF('مداولات 1'!G:G&gt;'استدراك 1'!G:G,'مداولات 1'!G:G,'استدراك 1'!G:G)</f>
        <v>14.5</v>
      </c>
      <c r="N14" s="40">
        <f t="shared" si="1"/>
        <v>0</v>
      </c>
      <c r="O14" s="38" t="str">
        <f>'كشف النقاط'!O12</f>
        <v>د1</v>
      </c>
      <c r="P14" s="39">
        <f>IF('مداولات 1'!I:I&gt;'استدراك 1'!I:I,'مداولات 1'!I:I,'استدراك 1'!I:I)</f>
        <v>23.5</v>
      </c>
      <c r="Q14" s="40">
        <f t="shared" si="2"/>
        <v>5</v>
      </c>
      <c r="R14" s="40" t="str">
        <f>'كشف النقاط'!O98</f>
        <v>د1</v>
      </c>
      <c r="S14" s="39">
        <f t="shared" si="3"/>
        <v>11.214285714285714</v>
      </c>
      <c r="T14" s="45">
        <f t="shared" si="4"/>
        <v>18</v>
      </c>
      <c r="U14" s="40" t="s">
        <v>30</v>
      </c>
      <c r="V14" s="45">
        <v>2018</v>
      </c>
      <c r="W14" s="45"/>
      <c r="X14" s="39">
        <f>IF('مداولات 1'!M:M&gt;'استدراك 1'!M:M,'مداولات 1'!M:M,'استدراك 1'!M:M)</f>
        <v>22.6</v>
      </c>
      <c r="Y14" s="40">
        <f t="shared" si="5"/>
        <v>5</v>
      </c>
      <c r="Z14" s="40" t="str">
        <f>'كشف النقاط'!O186</f>
        <v>د1</v>
      </c>
      <c r="AA14" s="39">
        <f>IF('مداولات 1'!O:O&gt;'استدراك 1'!O:O,'مداولات 1'!O:O,'استدراك 1'!O:O)</f>
        <v>25</v>
      </c>
      <c r="AB14" s="40">
        <f t="shared" si="6"/>
        <v>4</v>
      </c>
      <c r="AC14" s="40" t="str">
        <f>'كشف النقاط'!O142</f>
        <v>د1</v>
      </c>
      <c r="AD14" s="39">
        <f t="shared" si="7"/>
        <v>11.9</v>
      </c>
      <c r="AE14" s="41">
        <f t="shared" si="8"/>
        <v>9</v>
      </c>
      <c r="AF14" s="40" t="s">
        <v>30</v>
      </c>
      <c r="AG14" s="45">
        <v>2018</v>
      </c>
      <c r="AH14" s="118"/>
      <c r="AI14" s="42">
        <f>IF('مداولات 1'!S:S&gt;'استدراك 1'!S:S,'مداولات 1'!S:S,'استدراك 1'!S:S)</f>
        <v>21.5</v>
      </c>
      <c r="AJ14" s="40">
        <f t="shared" si="9"/>
        <v>2</v>
      </c>
      <c r="AK14" s="40" t="str">
        <f>'كشف النقاط'!O230</f>
        <v>د1</v>
      </c>
      <c r="AL14" s="39">
        <f t="shared" si="10"/>
        <v>10.75</v>
      </c>
      <c r="AM14" s="45">
        <f t="shared" si="11"/>
        <v>2</v>
      </c>
      <c r="AN14" s="45">
        <v>2018</v>
      </c>
      <c r="AO14" s="45" t="s">
        <v>105</v>
      </c>
      <c r="AP14" s="39">
        <f>IF('مداولات 1'!W:W&gt;'استدراك 1'!W:W,'مداولات 1'!W:W,'استدراك 1'!W:W)</f>
        <v>5.75</v>
      </c>
      <c r="AQ14" s="40">
        <f t="shared" si="12"/>
        <v>0</v>
      </c>
      <c r="AR14" s="40" t="str">
        <f>'كشف النقاط'!O275</f>
        <v>د1</v>
      </c>
      <c r="AS14" s="39">
        <f t="shared" si="13"/>
        <v>5.75</v>
      </c>
      <c r="AT14" s="109">
        <f t="shared" si="14"/>
        <v>0</v>
      </c>
      <c r="AU14" s="45">
        <v>2018</v>
      </c>
      <c r="AV14" s="109"/>
      <c r="AW14" s="109"/>
      <c r="AX14" s="39">
        <f t="shared" si="15"/>
        <v>10.953571428571427</v>
      </c>
      <c r="AY14" s="46">
        <f t="shared" si="16"/>
        <v>30</v>
      </c>
      <c r="AZ14" s="40" t="s">
        <v>30</v>
      </c>
      <c r="BA14" s="171">
        <v>2018</v>
      </c>
      <c r="BB14" s="120"/>
      <c r="BC14" s="39">
        <f>IF('مداولات 2'!E:E&gt;'استدراك 2'!E:E,'مداولات 2'!E:E,'استدراك 2'!E:E)</f>
        <v>0</v>
      </c>
      <c r="BD14" s="40">
        <f t="shared" si="17"/>
        <v>0</v>
      </c>
      <c r="BE14" s="38" t="str">
        <f>'كشف النقاط'!O360</f>
        <v>د1</v>
      </c>
      <c r="BF14" s="45"/>
      <c r="BG14" s="43">
        <f t="shared" si="18"/>
        <v>0</v>
      </c>
      <c r="BH14" s="46">
        <f t="shared" si="19"/>
        <v>0</v>
      </c>
      <c r="BI14" s="580" t="str">
        <f t="shared" si="20"/>
        <v>د1</v>
      </c>
      <c r="BJ14" s="171">
        <v>2018</v>
      </c>
      <c r="BL14" s="203">
        <v>10</v>
      </c>
      <c r="BM14" s="204">
        <v>9</v>
      </c>
      <c r="BN14" s="204">
        <v>0</v>
      </c>
      <c r="BO14" s="204">
        <v>2017</v>
      </c>
      <c r="BP14" s="205">
        <v>10.5625</v>
      </c>
      <c r="BQ14" s="204">
        <v>9</v>
      </c>
      <c r="BR14" s="204">
        <v>0</v>
      </c>
      <c r="BS14" s="204">
        <v>2017</v>
      </c>
      <c r="BT14" s="205">
        <v>15.75</v>
      </c>
      <c r="BU14" s="204">
        <v>1</v>
      </c>
      <c r="BV14" s="204" t="s">
        <v>105</v>
      </c>
      <c r="BW14" s="204">
        <v>2017</v>
      </c>
      <c r="BX14" s="205">
        <v>4.25</v>
      </c>
      <c r="BY14" s="204">
        <v>0</v>
      </c>
      <c r="BZ14" s="206">
        <v>0</v>
      </c>
      <c r="CA14" s="207">
        <v>2017</v>
      </c>
      <c r="CB14" s="238">
        <v>10.571428571428571</v>
      </c>
      <c r="CC14" s="239">
        <v>30</v>
      </c>
      <c r="CD14" s="648" t="s">
        <v>31</v>
      </c>
      <c r="CE14" s="640">
        <v>13.125</v>
      </c>
      <c r="CF14" s="631">
        <v>18</v>
      </c>
      <c r="CG14" s="631" t="s">
        <v>105</v>
      </c>
      <c r="CH14" s="631">
        <v>2017</v>
      </c>
      <c r="CI14" s="632">
        <v>5.1</v>
      </c>
      <c r="CJ14" s="631">
        <v>0</v>
      </c>
      <c r="CK14" s="631">
        <v>0</v>
      </c>
      <c r="CL14" s="631">
        <v>2017</v>
      </c>
      <c r="CM14" s="632">
        <v>3</v>
      </c>
      <c r="CN14" s="631">
        <v>0</v>
      </c>
      <c r="CO14" s="631" t="s">
        <v>105</v>
      </c>
      <c r="CP14" s="631">
        <v>2017</v>
      </c>
      <c r="CQ14" s="632">
        <v>3</v>
      </c>
      <c r="CR14" s="631">
        <v>0</v>
      </c>
      <c r="CS14" s="641">
        <v>0</v>
      </c>
      <c r="CT14" s="641">
        <v>2017</v>
      </c>
      <c r="CU14" s="238">
        <v>9.017857142857142</v>
      </c>
      <c r="CV14" s="652">
        <v>18</v>
      </c>
      <c r="CW14" s="651" t="s">
        <v>31</v>
      </c>
      <c r="CX14" s="80"/>
      <c r="CY14" s="80"/>
      <c r="CZ14" s="80"/>
      <c r="DA14" s="80"/>
      <c r="DB14" s="80"/>
      <c r="DC14" s="80"/>
      <c r="DD14" s="80"/>
      <c r="DE14" s="80"/>
      <c r="DF14" s="80"/>
      <c r="DG14" s="80"/>
      <c r="DH14" s="80"/>
      <c r="DI14" s="80"/>
      <c r="DJ14" s="80"/>
      <c r="DK14" s="80"/>
      <c r="DL14" s="80"/>
      <c r="DM14" s="80"/>
      <c r="DN14" s="80"/>
      <c r="DO14" s="80"/>
      <c r="DP14" s="80"/>
      <c r="DQ14" s="80"/>
    </row>
    <row r="15" spans="2:121" ht="13.5" customHeight="1">
      <c r="B15" s="92" t="s">
        <v>105</v>
      </c>
      <c r="C15" s="47">
        <v>6</v>
      </c>
      <c r="D15" s="143" t="str">
        <f>IF('كشف النقاط'!B13&gt;0,'كشف النقاط'!B13," ")</f>
        <v>بوعروج </v>
      </c>
      <c r="E15" s="143" t="str">
        <f>IF('كشف النقاط'!C13&gt;0,'كشف النقاط'!C13," ")</f>
        <v>نسيمة</v>
      </c>
      <c r="F15" s="30"/>
      <c r="G15" s="656"/>
      <c r="H15" s="30"/>
      <c r="I15" s="30"/>
      <c r="J15" s="39">
        <f>IF('مداولات 1'!E:E&gt;'استدراك 1'!E:E,'مداولات 1'!E:E,'استدراك 1'!E:E)</f>
        <v>40.5</v>
      </c>
      <c r="K15" s="40">
        <f t="shared" si="0"/>
        <v>7</v>
      </c>
      <c r="L15" s="38" t="str">
        <f>'كشف النقاط'!O56</f>
        <v>د1</v>
      </c>
      <c r="M15" s="39">
        <f>IF('مداولات 1'!G:G&gt;'استدراك 1'!G:G,'مداولات 1'!G:G,'استدراك 1'!G:G)</f>
        <v>19</v>
      </c>
      <c r="N15" s="40">
        <f t="shared" si="1"/>
        <v>0</v>
      </c>
      <c r="O15" s="38" t="str">
        <f>'كشف النقاط'!O13</f>
        <v>د1</v>
      </c>
      <c r="P15" s="39">
        <f>IF('مداولات 1'!I:I&gt;'استدراك 1'!I:I,'مداولات 1'!I:I,'استدراك 1'!I:I)</f>
        <v>17</v>
      </c>
      <c r="Q15" s="40">
        <f t="shared" si="2"/>
        <v>0</v>
      </c>
      <c r="R15" s="40" t="str">
        <f>'كشف النقاط'!O99</f>
        <v>د1</v>
      </c>
      <c r="S15" s="39">
        <f t="shared" si="3"/>
        <v>10.928571428571429</v>
      </c>
      <c r="T15" s="45">
        <f t="shared" si="4"/>
        <v>18</v>
      </c>
      <c r="U15" s="40" t="s">
        <v>30</v>
      </c>
      <c r="V15" s="45">
        <v>2018</v>
      </c>
      <c r="W15" s="45"/>
      <c r="X15" s="39">
        <f>IF('مداولات 1'!M:M&gt;'استدراك 1'!M:M,'مداولات 1'!M:M,'استدراك 1'!M:M)</f>
        <v>20.4</v>
      </c>
      <c r="Y15" s="40">
        <f t="shared" si="5"/>
        <v>5</v>
      </c>
      <c r="Z15" s="40" t="str">
        <f>'كشف النقاط'!O187</f>
        <v>د1</v>
      </c>
      <c r="AA15" s="39">
        <f>IF('مداولات 1'!O:O&gt;'استدراك 1'!O:O,'مداولات 1'!O:O,'استدراك 1'!O:O)</f>
        <v>21</v>
      </c>
      <c r="AB15" s="40">
        <f t="shared" si="6"/>
        <v>4</v>
      </c>
      <c r="AC15" s="40" t="str">
        <f>'كشف النقاط'!O143</f>
        <v>د1</v>
      </c>
      <c r="AD15" s="39">
        <f t="shared" si="7"/>
        <v>10.35</v>
      </c>
      <c r="AE15" s="41">
        <f t="shared" si="8"/>
        <v>9</v>
      </c>
      <c r="AF15" s="40" t="s">
        <v>30</v>
      </c>
      <c r="AG15" s="45">
        <v>2018</v>
      </c>
      <c r="AH15" s="118"/>
      <c r="AI15" s="42">
        <f>IF('مداولات 1'!S:S&gt;'استدراك 1'!S:S,'مداولات 1'!S:S,'استدراك 1'!S:S)</f>
        <v>28</v>
      </c>
      <c r="AJ15" s="40">
        <f t="shared" si="9"/>
        <v>2</v>
      </c>
      <c r="AK15" s="40" t="str">
        <f>'كشف النقاط'!O231</f>
        <v>د1</v>
      </c>
      <c r="AL15" s="39">
        <f t="shared" si="10"/>
        <v>14</v>
      </c>
      <c r="AM15" s="45">
        <f t="shared" si="11"/>
        <v>2</v>
      </c>
      <c r="AN15" s="45">
        <v>2018</v>
      </c>
      <c r="AO15" s="45" t="s">
        <v>105</v>
      </c>
      <c r="AP15" s="39">
        <f>IF('مداولات 1'!W:W&gt;'استدراك 1'!W:W,'مداولات 1'!W:W,'استدراك 1'!W:W)</f>
        <v>6.5</v>
      </c>
      <c r="AQ15" s="40">
        <f t="shared" si="12"/>
        <v>0</v>
      </c>
      <c r="AR15" s="40" t="str">
        <f>'كشف النقاط'!O276</f>
        <v>د1</v>
      </c>
      <c r="AS15" s="39">
        <f t="shared" si="13"/>
        <v>6.5</v>
      </c>
      <c r="AT15" s="109">
        <f t="shared" si="14"/>
        <v>0</v>
      </c>
      <c r="AU15" s="45">
        <v>2018</v>
      </c>
      <c r="AV15" s="109"/>
      <c r="AW15" s="109"/>
      <c r="AX15" s="39">
        <f t="shared" si="15"/>
        <v>10.885714285714286</v>
      </c>
      <c r="AY15" s="46">
        <f t="shared" si="16"/>
        <v>30</v>
      </c>
      <c r="AZ15" s="40" t="s">
        <v>30</v>
      </c>
      <c r="BA15" s="171">
        <v>2018</v>
      </c>
      <c r="BB15" s="120"/>
      <c r="BC15" s="39">
        <f>IF('مداولات 2'!E:E&gt;'استدراك 2'!E:E,'مداولات 2'!E:E,'استدراك 2'!E:E)</f>
        <v>0</v>
      </c>
      <c r="BD15" s="40">
        <f t="shared" si="17"/>
        <v>0</v>
      </c>
      <c r="BE15" s="38" t="str">
        <f>'كشف النقاط'!O361</f>
        <v>د1</v>
      </c>
      <c r="BF15" s="45"/>
      <c r="BG15" s="43">
        <f t="shared" si="18"/>
        <v>0</v>
      </c>
      <c r="BH15" s="46">
        <f t="shared" si="19"/>
        <v>0</v>
      </c>
      <c r="BI15" s="580" t="str">
        <f t="shared" si="20"/>
        <v>د1</v>
      </c>
      <c r="BJ15" s="171">
        <v>2018</v>
      </c>
      <c r="BL15" s="203">
        <v>11.785714285714286</v>
      </c>
      <c r="BM15" s="204">
        <v>0</v>
      </c>
      <c r="BN15" s="204">
        <v>0</v>
      </c>
      <c r="BO15" s="204">
        <v>2017</v>
      </c>
      <c r="BP15" s="205">
        <v>9.375</v>
      </c>
      <c r="BQ15" s="204">
        <v>0</v>
      </c>
      <c r="BR15" s="204">
        <v>0</v>
      </c>
      <c r="BS15" s="204">
        <v>2017</v>
      </c>
      <c r="BT15" s="205">
        <v>15.625</v>
      </c>
      <c r="BU15" s="204">
        <v>1</v>
      </c>
      <c r="BV15" s="204" t="s">
        <v>105</v>
      </c>
      <c r="BW15" s="204">
        <v>2017</v>
      </c>
      <c r="BX15" s="205">
        <v>6</v>
      </c>
      <c r="BY15" s="204">
        <v>0</v>
      </c>
      <c r="BZ15" s="206">
        <v>0</v>
      </c>
      <c r="CA15" s="207">
        <v>2017</v>
      </c>
      <c r="CB15" s="238">
        <v>11.232142857142858</v>
      </c>
      <c r="CC15" s="239">
        <v>30</v>
      </c>
      <c r="CD15" s="648" t="s">
        <v>30</v>
      </c>
      <c r="CE15" s="208">
        <v>13.708333333333334</v>
      </c>
      <c r="CF15" s="204">
        <v>18</v>
      </c>
      <c r="CG15" s="204" t="s">
        <v>105</v>
      </c>
      <c r="CH15" s="204">
        <v>2017</v>
      </c>
      <c r="CI15" s="205">
        <v>6.55</v>
      </c>
      <c r="CJ15" s="204">
        <v>0</v>
      </c>
      <c r="CK15" s="204">
        <v>0</v>
      </c>
      <c r="CL15" s="204">
        <v>2017</v>
      </c>
      <c r="CM15" s="205">
        <v>6.75</v>
      </c>
      <c r="CN15" s="204">
        <v>0</v>
      </c>
      <c r="CO15" s="204" t="s">
        <v>105</v>
      </c>
      <c r="CP15" s="204">
        <v>2017</v>
      </c>
      <c r="CQ15" s="205">
        <v>6.75</v>
      </c>
      <c r="CR15" s="204">
        <v>0</v>
      </c>
      <c r="CS15" s="209">
        <v>0</v>
      </c>
      <c r="CT15" s="209">
        <v>2017</v>
      </c>
      <c r="CU15" s="238">
        <v>10.053571428571429</v>
      </c>
      <c r="CV15" s="652">
        <v>30</v>
      </c>
      <c r="CW15" s="651" t="s">
        <v>30</v>
      </c>
      <c r="CX15" s="80"/>
      <c r="CY15" s="80"/>
      <c r="CZ15" s="80"/>
      <c r="DA15" s="80"/>
      <c r="DB15" s="80"/>
      <c r="DC15" s="80"/>
      <c r="DD15" s="80"/>
      <c r="DE15" s="80"/>
      <c r="DF15" s="80"/>
      <c r="DG15" s="80"/>
      <c r="DH15" s="80"/>
      <c r="DI15" s="80"/>
      <c r="DJ15" s="80"/>
      <c r="DK15" s="80"/>
      <c r="DL15" s="80"/>
      <c r="DM15" s="80"/>
      <c r="DN15" s="80"/>
      <c r="DO15" s="80"/>
      <c r="DP15" s="80"/>
      <c r="DQ15" s="80"/>
    </row>
    <row r="16" spans="2:121" ht="13.5" customHeight="1">
      <c r="B16" s="92" t="s">
        <v>131</v>
      </c>
      <c r="C16" s="47">
        <v>7</v>
      </c>
      <c r="D16" s="143" t="str">
        <f>IF('كشف النقاط'!B14&gt;0,'كشف النقاط'!B14," ")</f>
        <v>بولعيد </v>
      </c>
      <c r="E16" s="143" t="str">
        <f>IF('كشف النقاط'!C14&gt;0,'كشف النقاط'!C14," ")</f>
        <v>مريم</v>
      </c>
      <c r="F16" s="30"/>
      <c r="G16" s="656"/>
      <c r="H16" s="30"/>
      <c r="I16" s="30"/>
      <c r="J16" s="39">
        <f>IF('مداولات 1'!E:E&gt;'استدراك 1'!E:E,'مداولات 1'!E:E,'استدراك 1'!E:E)</f>
        <v>35.25</v>
      </c>
      <c r="K16" s="40">
        <f t="shared" si="0"/>
        <v>7</v>
      </c>
      <c r="L16" s="38" t="str">
        <f>'كشف النقاط'!O57</f>
        <v>د1</v>
      </c>
      <c r="M16" s="39">
        <f>IF('مداولات 1'!G:G&gt;'استدراك 1'!G:G,'مداولات 1'!G:G,'استدراك 1'!G:G)</f>
        <v>12.5</v>
      </c>
      <c r="N16" s="40">
        <f t="shared" si="1"/>
        <v>0</v>
      </c>
      <c r="O16" s="38" t="str">
        <f>'كشف النقاط'!O14</f>
        <v>د1</v>
      </c>
      <c r="P16" s="39">
        <f>IF('مداولات 1'!I:I&gt;'استدراك 1'!I:I,'مداولات 1'!I:I,'استدراك 1'!I:I)</f>
        <v>18.5</v>
      </c>
      <c r="Q16" s="40">
        <f t="shared" si="2"/>
        <v>0</v>
      </c>
      <c r="R16" s="40" t="str">
        <f>'كشف النقاط'!O100</f>
        <v>د1</v>
      </c>
      <c r="S16" s="39">
        <f t="shared" si="3"/>
        <v>9.464285714285714</v>
      </c>
      <c r="T16" s="45">
        <f t="shared" si="4"/>
        <v>7</v>
      </c>
      <c r="U16" s="40" t="s">
        <v>30</v>
      </c>
      <c r="V16" s="45">
        <v>2018</v>
      </c>
      <c r="W16" s="45"/>
      <c r="X16" s="39">
        <f>IF('مداولات 1'!M:M&gt;'استدراك 1'!M:M,'مداولات 1'!M:M,'استدراك 1'!M:M)</f>
        <v>12</v>
      </c>
      <c r="Y16" s="40">
        <f t="shared" si="5"/>
        <v>0</v>
      </c>
      <c r="Z16" s="40" t="str">
        <f>'كشف النقاط'!O188</f>
        <v>د1</v>
      </c>
      <c r="AA16" s="39">
        <f>IF('مداولات 1'!O:O&gt;'استدراك 1'!O:O,'مداولات 1'!O:O,'استدراك 1'!O:O)</f>
        <v>16.5</v>
      </c>
      <c r="AB16" s="40">
        <f t="shared" si="6"/>
        <v>0</v>
      </c>
      <c r="AC16" s="40" t="str">
        <f>'كشف النقاط'!O144</f>
        <v>د1</v>
      </c>
      <c r="AD16" s="39">
        <f t="shared" si="7"/>
        <v>7.125</v>
      </c>
      <c r="AE16" s="41">
        <f t="shared" si="8"/>
        <v>0</v>
      </c>
      <c r="AF16" s="40" t="s">
        <v>30</v>
      </c>
      <c r="AG16" s="45">
        <v>2018</v>
      </c>
      <c r="AH16" s="118"/>
      <c r="AI16" s="42">
        <f>IF('مداولات 1'!S:S&gt;'استدراك 1'!S:S,'مداولات 1'!S:S,'استدراك 1'!S:S)</f>
        <v>25.5</v>
      </c>
      <c r="AJ16" s="40">
        <f t="shared" si="9"/>
        <v>2</v>
      </c>
      <c r="AK16" s="40" t="str">
        <f>'كشف النقاط'!O232</f>
        <v>د1</v>
      </c>
      <c r="AL16" s="39">
        <f t="shared" si="10"/>
        <v>12.75</v>
      </c>
      <c r="AM16" s="45">
        <f t="shared" si="11"/>
        <v>2</v>
      </c>
      <c r="AN16" s="45">
        <v>2018</v>
      </c>
      <c r="AO16" s="45" t="s">
        <v>105</v>
      </c>
      <c r="AP16" s="39">
        <f>IF('مداولات 1'!W:W&gt;'استدراك 1'!W:W,'مداولات 1'!W:W,'استدراك 1'!W:W)</f>
        <v>8</v>
      </c>
      <c r="AQ16" s="40">
        <f t="shared" si="12"/>
        <v>0</v>
      </c>
      <c r="AR16" s="40" t="str">
        <f>'كشف النقاط'!O277</f>
        <v>د1</v>
      </c>
      <c r="AS16" s="39">
        <f t="shared" si="13"/>
        <v>8</v>
      </c>
      <c r="AT16" s="109">
        <f t="shared" si="14"/>
        <v>0</v>
      </c>
      <c r="AU16" s="45">
        <v>2018</v>
      </c>
      <c r="AV16" s="109"/>
      <c r="AW16" s="109"/>
      <c r="AX16" s="39">
        <f t="shared" si="15"/>
        <v>9.160714285714286</v>
      </c>
      <c r="AY16" s="46">
        <f t="shared" si="16"/>
        <v>9</v>
      </c>
      <c r="AZ16" s="40" t="s">
        <v>30</v>
      </c>
      <c r="BA16" s="171">
        <v>2018</v>
      </c>
      <c r="BB16" s="120"/>
      <c r="BC16" s="39">
        <f>IF('مداولات 2'!E:E&gt;'استدراك 2'!E:E,'مداولات 2'!E:E,'استدراك 2'!E:E)</f>
        <v>0</v>
      </c>
      <c r="BD16" s="40">
        <f t="shared" si="17"/>
        <v>0</v>
      </c>
      <c r="BE16" s="38" t="str">
        <f>'كشف النقاط'!O362</f>
        <v>د1</v>
      </c>
      <c r="BF16" s="45"/>
      <c r="BG16" s="43">
        <f t="shared" si="18"/>
        <v>0</v>
      </c>
      <c r="BH16" s="46">
        <f t="shared" si="19"/>
        <v>0</v>
      </c>
      <c r="BI16" s="580" t="str">
        <f t="shared" si="20"/>
        <v>د1</v>
      </c>
      <c r="BJ16" s="171">
        <v>2018</v>
      </c>
      <c r="BL16" s="203">
        <v>11.392857142857142</v>
      </c>
      <c r="BM16" s="204">
        <v>9</v>
      </c>
      <c r="BN16" s="204">
        <v>0</v>
      </c>
      <c r="BO16" s="204">
        <v>2017</v>
      </c>
      <c r="BP16" s="205">
        <v>10.875</v>
      </c>
      <c r="BQ16" s="204">
        <v>9</v>
      </c>
      <c r="BR16" s="204">
        <v>0</v>
      </c>
      <c r="BS16" s="204">
        <v>2017</v>
      </c>
      <c r="BT16" s="205">
        <v>14.625</v>
      </c>
      <c r="BU16" s="204">
        <v>1</v>
      </c>
      <c r="BV16" s="204" t="s">
        <v>105</v>
      </c>
      <c r="BW16" s="204">
        <v>2017</v>
      </c>
      <c r="BX16" s="205">
        <v>8</v>
      </c>
      <c r="BY16" s="204">
        <v>0</v>
      </c>
      <c r="BZ16" s="206">
        <v>0</v>
      </c>
      <c r="CA16" s="207">
        <v>2017</v>
      </c>
      <c r="CB16" s="238">
        <v>11.464285714285714</v>
      </c>
      <c r="CC16" s="239">
        <v>30</v>
      </c>
      <c r="CD16" s="648" t="s">
        <v>30</v>
      </c>
      <c r="CE16" s="208">
        <v>14.083333333333334</v>
      </c>
      <c r="CF16" s="204">
        <v>18</v>
      </c>
      <c r="CG16" s="204" t="s">
        <v>105</v>
      </c>
      <c r="CH16" s="204">
        <v>2017</v>
      </c>
      <c r="CI16" s="205">
        <v>8.25</v>
      </c>
      <c r="CJ16" s="204">
        <v>3</v>
      </c>
      <c r="CK16" s="204">
        <v>0</v>
      </c>
      <c r="CL16" s="204">
        <v>2017</v>
      </c>
      <c r="CM16" s="205">
        <v>7.75</v>
      </c>
      <c r="CN16" s="204">
        <v>0</v>
      </c>
      <c r="CO16" s="204" t="s">
        <v>105</v>
      </c>
      <c r="CP16" s="204">
        <v>2017</v>
      </c>
      <c r="CQ16" s="205">
        <v>7.75</v>
      </c>
      <c r="CR16" s="204">
        <v>0</v>
      </c>
      <c r="CS16" s="209">
        <v>0</v>
      </c>
      <c r="CT16" s="209">
        <v>2017</v>
      </c>
      <c r="CU16" s="238">
        <v>10.714285714285714</v>
      </c>
      <c r="CV16" s="652">
        <v>30</v>
      </c>
      <c r="CW16" s="651" t="s">
        <v>30</v>
      </c>
      <c r="CX16" s="80"/>
      <c r="CY16" s="80"/>
      <c r="CZ16" s="80"/>
      <c r="DA16" s="80"/>
      <c r="DB16" s="80"/>
      <c r="DC16" s="80"/>
      <c r="DD16" s="80"/>
      <c r="DE16" s="80"/>
      <c r="DF16" s="80"/>
      <c r="DG16" s="80"/>
      <c r="DH16" s="80"/>
      <c r="DI16" s="80"/>
      <c r="DJ16" s="80"/>
      <c r="DK16" s="80"/>
      <c r="DL16" s="80"/>
      <c r="DM16" s="80"/>
      <c r="DN16" s="80"/>
      <c r="DO16" s="80"/>
      <c r="DP16" s="80"/>
      <c r="DQ16" s="80"/>
    </row>
    <row r="17" spans="2:121" ht="13.5" customHeight="1">
      <c r="B17" s="92" t="s">
        <v>132</v>
      </c>
      <c r="C17" s="47">
        <v>8</v>
      </c>
      <c r="D17" s="143" t="str">
        <f>IF('كشف النقاط'!B15&gt;0,'كشف النقاط'!B15," ")</f>
        <v>خاوة </v>
      </c>
      <c r="E17" s="143" t="str">
        <f>IF('كشف النقاط'!C15&gt;0,'كشف النقاط'!C15," ")</f>
        <v>أسماء</v>
      </c>
      <c r="F17" s="30"/>
      <c r="G17" s="656"/>
      <c r="H17" s="30"/>
      <c r="I17" s="30"/>
      <c r="J17" s="39">
        <f>IF('مداولات 1'!E:E&gt;'استدراك 1'!E:E,'مداولات 1'!E:E,'استدراك 1'!E:E)</f>
        <v>38.25</v>
      </c>
      <c r="K17" s="40">
        <f t="shared" si="0"/>
        <v>7</v>
      </c>
      <c r="L17" s="38" t="str">
        <f>'كشف النقاط'!O58</f>
        <v>د1</v>
      </c>
      <c r="M17" s="39">
        <f>IF('مداولات 1'!G:G&gt;'استدراك 1'!G:G,'مداولات 1'!G:G,'استدراك 1'!G:G)</f>
        <v>16.5</v>
      </c>
      <c r="N17" s="40">
        <f t="shared" si="1"/>
        <v>0</v>
      </c>
      <c r="O17" s="38" t="str">
        <f>'كشف النقاط'!O15</f>
        <v>د1</v>
      </c>
      <c r="P17" s="39">
        <f>IF('مداولات 1'!I:I&gt;'استدراك 1'!I:I,'مداولات 1'!I:I,'استدراك 1'!I:I)</f>
        <v>21.5</v>
      </c>
      <c r="Q17" s="40">
        <f t="shared" si="2"/>
        <v>5</v>
      </c>
      <c r="R17" s="40" t="str">
        <f>'كشف النقاط'!O101</f>
        <v>د1</v>
      </c>
      <c r="S17" s="39">
        <f t="shared" si="3"/>
        <v>10.892857142857142</v>
      </c>
      <c r="T17" s="45">
        <f t="shared" si="4"/>
        <v>18</v>
      </c>
      <c r="U17" s="40" t="s">
        <v>30</v>
      </c>
      <c r="V17" s="45">
        <v>2018</v>
      </c>
      <c r="W17" s="45"/>
      <c r="X17" s="39">
        <f>IF('مداولات 1'!M:M&gt;'استدراك 1'!M:M,'مداولات 1'!M:M,'استدراك 1'!M:M)</f>
        <v>17</v>
      </c>
      <c r="Y17" s="40">
        <f t="shared" si="5"/>
        <v>0</v>
      </c>
      <c r="Z17" s="40" t="str">
        <f>'كشف النقاط'!O189</f>
        <v>د1</v>
      </c>
      <c r="AA17" s="39">
        <f>IF('مداولات 1'!O:O&gt;'استدراك 1'!O:O,'مداولات 1'!O:O,'استدراك 1'!O:O)</f>
        <v>24</v>
      </c>
      <c r="AB17" s="40">
        <f t="shared" si="6"/>
        <v>4</v>
      </c>
      <c r="AC17" s="40" t="str">
        <f>'كشف النقاط'!O145</f>
        <v>د1</v>
      </c>
      <c r="AD17" s="39">
        <f t="shared" si="7"/>
        <v>10.25</v>
      </c>
      <c r="AE17" s="41">
        <f t="shared" si="8"/>
        <v>9</v>
      </c>
      <c r="AF17" s="40" t="s">
        <v>30</v>
      </c>
      <c r="AG17" s="45">
        <v>2018</v>
      </c>
      <c r="AH17" s="118"/>
      <c r="AI17" s="42">
        <f>IF('مداولات 1'!S:S&gt;'استدراك 1'!S:S,'مداولات 1'!S:S,'استدراك 1'!S:S)</f>
        <v>28</v>
      </c>
      <c r="AJ17" s="40">
        <f t="shared" si="9"/>
        <v>2</v>
      </c>
      <c r="AK17" s="40" t="str">
        <f>'كشف النقاط'!O233</f>
        <v>د1</v>
      </c>
      <c r="AL17" s="39">
        <f t="shared" si="10"/>
        <v>14</v>
      </c>
      <c r="AM17" s="45">
        <f t="shared" si="11"/>
        <v>2</v>
      </c>
      <c r="AN17" s="45">
        <v>2018</v>
      </c>
      <c r="AO17" s="45" t="s">
        <v>105</v>
      </c>
      <c r="AP17" s="39">
        <f>IF('مداولات 1'!W:W&gt;'استدراك 1'!W:W,'مداولات 1'!W:W,'استدراك 1'!W:W)</f>
        <v>6</v>
      </c>
      <c r="AQ17" s="40">
        <f t="shared" si="12"/>
        <v>0</v>
      </c>
      <c r="AR17" s="40" t="str">
        <f>'كشف النقاط'!O278</f>
        <v>د1</v>
      </c>
      <c r="AS17" s="39">
        <f t="shared" si="13"/>
        <v>6</v>
      </c>
      <c r="AT17" s="109">
        <f t="shared" si="14"/>
        <v>0</v>
      </c>
      <c r="AU17" s="45">
        <v>2018</v>
      </c>
      <c r="AV17" s="109"/>
      <c r="AW17" s="109"/>
      <c r="AX17" s="39">
        <f t="shared" si="15"/>
        <v>10.803571428571429</v>
      </c>
      <c r="AY17" s="46">
        <f t="shared" si="16"/>
        <v>30</v>
      </c>
      <c r="AZ17" s="40" t="s">
        <v>30</v>
      </c>
      <c r="BA17" s="171">
        <v>2018</v>
      </c>
      <c r="BB17" s="120"/>
      <c r="BC17" s="39">
        <f>IF('مداولات 2'!E:E&gt;'استدراك 2'!E:E,'مداولات 2'!E:E,'استدراك 2'!E:E)</f>
        <v>0</v>
      </c>
      <c r="BD17" s="40">
        <f t="shared" si="17"/>
        <v>0</v>
      </c>
      <c r="BE17" s="38" t="str">
        <f>'كشف النقاط'!O363</f>
        <v>د1</v>
      </c>
      <c r="BF17" s="45"/>
      <c r="BG17" s="43">
        <f t="shared" si="18"/>
        <v>0</v>
      </c>
      <c r="BH17" s="46">
        <f t="shared" si="19"/>
        <v>0</v>
      </c>
      <c r="BI17" s="580" t="str">
        <f t="shared" si="20"/>
        <v>د1</v>
      </c>
      <c r="BJ17" s="171">
        <v>2018</v>
      </c>
      <c r="BL17" s="203">
        <v>9.714285714285714</v>
      </c>
      <c r="BM17" s="204">
        <v>3</v>
      </c>
      <c r="BN17" s="204">
        <v>0</v>
      </c>
      <c r="BO17" s="204">
        <v>2017</v>
      </c>
      <c r="BP17" s="205">
        <v>8.8125</v>
      </c>
      <c r="BQ17" s="204">
        <v>3</v>
      </c>
      <c r="BR17" s="204">
        <v>0</v>
      </c>
      <c r="BS17" s="204">
        <v>2017</v>
      </c>
      <c r="BT17" s="205">
        <v>16</v>
      </c>
      <c r="BU17" s="204">
        <v>1</v>
      </c>
      <c r="BV17" s="204" t="s">
        <v>105</v>
      </c>
      <c r="BW17" s="204">
        <v>2017</v>
      </c>
      <c r="BX17" s="205">
        <v>8.5</v>
      </c>
      <c r="BY17" s="204">
        <v>0</v>
      </c>
      <c r="BZ17" s="206">
        <v>0</v>
      </c>
      <c r="CA17" s="207">
        <v>2017</v>
      </c>
      <c r="CB17" s="238">
        <v>10.267857142857142</v>
      </c>
      <c r="CC17" s="239">
        <v>30</v>
      </c>
      <c r="CD17" s="648" t="s">
        <v>30</v>
      </c>
      <c r="CE17" s="208">
        <v>14.375</v>
      </c>
      <c r="CF17" s="204">
        <v>18</v>
      </c>
      <c r="CG17" s="204" t="s">
        <v>105</v>
      </c>
      <c r="CH17" s="204">
        <v>2017</v>
      </c>
      <c r="CI17" s="205">
        <v>5.5</v>
      </c>
      <c r="CJ17" s="204">
        <v>0</v>
      </c>
      <c r="CK17" s="204">
        <v>0</v>
      </c>
      <c r="CL17" s="204">
        <v>2017</v>
      </c>
      <c r="CM17" s="205">
        <v>7.5</v>
      </c>
      <c r="CN17" s="204">
        <v>2</v>
      </c>
      <c r="CO17" s="204" t="s">
        <v>105</v>
      </c>
      <c r="CP17" s="204">
        <v>2017</v>
      </c>
      <c r="CQ17" s="205">
        <v>7.5</v>
      </c>
      <c r="CR17" s="204">
        <v>0</v>
      </c>
      <c r="CS17" s="209">
        <v>0</v>
      </c>
      <c r="CT17" s="209">
        <v>2017</v>
      </c>
      <c r="CU17" s="238">
        <v>10.267857142857142</v>
      </c>
      <c r="CV17" s="652">
        <v>30</v>
      </c>
      <c r="CW17" s="651" t="s">
        <v>31</v>
      </c>
      <c r="CX17" s="80"/>
      <c r="CY17" s="80"/>
      <c r="CZ17" s="80"/>
      <c r="DA17" s="80"/>
      <c r="DB17" s="80"/>
      <c r="DC17" s="80"/>
      <c r="DD17" s="80"/>
      <c r="DE17" s="80"/>
      <c r="DF17" s="80"/>
      <c r="DG17" s="80"/>
      <c r="DH17" s="80"/>
      <c r="DI17" s="80"/>
      <c r="DJ17" s="80"/>
      <c r="DK17" s="80"/>
      <c r="DL17" s="80"/>
      <c r="DM17" s="80"/>
      <c r="DN17" s="80"/>
      <c r="DO17" s="80"/>
      <c r="DP17" s="80"/>
      <c r="DQ17" s="80"/>
    </row>
    <row r="18" spans="2:121" ht="13.5" customHeight="1">
      <c r="B18" s="92" t="s">
        <v>133</v>
      </c>
      <c r="C18" s="47">
        <v>9</v>
      </c>
      <c r="D18" s="143" t="str">
        <f>IF('كشف النقاط'!B16&gt;0,'كشف النقاط'!B16," ")</f>
        <v>زغلاني </v>
      </c>
      <c r="E18" s="143" t="str">
        <f>IF('كشف النقاط'!C16&gt;0,'كشف النقاط'!C16," ")</f>
        <v>ساعد</v>
      </c>
      <c r="F18" s="30"/>
      <c r="G18" s="656"/>
      <c r="H18" s="30"/>
      <c r="I18" s="30"/>
      <c r="J18" s="39">
        <f>IF('مداولات 1'!E:E&gt;'استدراك 1'!E:E,'مداولات 1'!E:E,'استدراك 1'!E:E)</f>
        <v>34.5</v>
      </c>
      <c r="K18" s="40">
        <f t="shared" si="0"/>
        <v>7</v>
      </c>
      <c r="L18" s="38" t="str">
        <f>'كشف النقاط'!O59</f>
        <v>د1</v>
      </c>
      <c r="M18" s="39">
        <f>IF('مداولات 1'!G:G&gt;'استدراك 1'!G:G,'مداولات 1'!G:G,'استدراك 1'!G:G)</f>
        <v>12</v>
      </c>
      <c r="N18" s="40">
        <f t="shared" si="1"/>
        <v>0</v>
      </c>
      <c r="O18" s="38" t="str">
        <f>'كشف النقاط'!O16</f>
        <v>د1</v>
      </c>
      <c r="P18" s="39">
        <f>IF('مداولات 1'!I:I&gt;'استدراك 1'!I:I,'مداولات 1'!I:I,'استدراك 1'!I:I)</f>
        <v>20</v>
      </c>
      <c r="Q18" s="40">
        <f t="shared" si="2"/>
        <v>5</v>
      </c>
      <c r="R18" s="40" t="str">
        <f>'كشف النقاط'!O102</f>
        <v>د1</v>
      </c>
      <c r="S18" s="39">
        <f t="shared" si="3"/>
        <v>9.5</v>
      </c>
      <c r="T18" s="45">
        <f t="shared" si="4"/>
        <v>12</v>
      </c>
      <c r="U18" s="40" t="s">
        <v>30</v>
      </c>
      <c r="V18" s="45">
        <v>2018</v>
      </c>
      <c r="W18" s="45"/>
      <c r="X18" s="39">
        <f>IF('مداولات 1'!M:M&gt;'استدراك 1'!M:M,'مداولات 1'!M:M,'استدراك 1'!M:M)</f>
        <v>14</v>
      </c>
      <c r="Y18" s="40">
        <f t="shared" si="5"/>
        <v>0</v>
      </c>
      <c r="Z18" s="40" t="str">
        <f>'كشف النقاط'!O190</f>
        <v>د1</v>
      </c>
      <c r="AA18" s="39">
        <f>IF('مداولات 1'!O:O&gt;'استدراك 1'!O:O,'مداولات 1'!O:O,'استدراك 1'!O:O)</f>
        <v>24</v>
      </c>
      <c r="AB18" s="40">
        <f t="shared" si="6"/>
        <v>4</v>
      </c>
      <c r="AC18" s="40" t="str">
        <f>'كشف النقاط'!O146</f>
        <v>د1</v>
      </c>
      <c r="AD18" s="39">
        <f t="shared" si="7"/>
        <v>9.5</v>
      </c>
      <c r="AE18" s="41">
        <f t="shared" si="8"/>
        <v>4</v>
      </c>
      <c r="AF18" s="40" t="s">
        <v>30</v>
      </c>
      <c r="AG18" s="45">
        <v>2018</v>
      </c>
      <c r="AH18" s="118"/>
      <c r="AI18" s="42">
        <f>IF('مداولات 1'!S:S&gt;'استدراك 1'!S:S,'مداولات 1'!S:S,'استدراك 1'!S:S)</f>
        <v>28.5</v>
      </c>
      <c r="AJ18" s="40">
        <f t="shared" si="9"/>
        <v>2</v>
      </c>
      <c r="AK18" s="40" t="str">
        <f>'كشف النقاط'!O234</f>
        <v>د1</v>
      </c>
      <c r="AL18" s="39">
        <f t="shared" si="10"/>
        <v>14.25</v>
      </c>
      <c r="AM18" s="45">
        <f t="shared" si="11"/>
        <v>2</v>
      </c>
      <c r="AN18" s="45">
        <v>2018</v>
      </c>
      <c r="AO18" s="45" t="s">
        <v>105</v>
      </c>
      <c r="AP18" s="39">
        <f>IF('مداولات 1'!W:W&gt;'استدراك 1'!W:W,'مداولات 1'!W:W,'استدراك 1'!W:W)</f>
        <v>5</v>
      </c>
      <c r="AQ18" s="40">
        <f t="shared" si="12"/>
        <v>0</v>
      </c>
      <c r="AR18" s="40" t="str">
        <f>'كشف النقاط'!O279</f>
        <v>د1</v>
      </c>
      <c r="AS18" s="39">
        <f t="shared" si="13"/>
        <v>5</v>
      </c>
      <c r="AT18" s="109">
        <f t="shared" si="14"/>
        <v>0</v>
      </c>
      <c r="AU18" s="45">
        <v>2018</v>
      </c>
      <c r="AV18" s="109"/>
      <c r="AW18" s="109"/>
      <c r="AX18" s="39">
        <f t="shared" si="15"/>
        <v>9.857142857142858</v>
      </c>
      <c r="AY18" s="46">
        <f t="shared" si="16"/>
        <v>18</v>
      </c>
      <c r="AZ18" s="40" t="s">
        <v>30</v>
      </c>
      <c r="BA18" s="171">
        <v>2018</v>
      </c>
      <c r="BB18" s="120"/>
      <c r="BC18" s="39">
        <f>IF('مداولات 2'!E:E&gt;'استدراك 2'!E:E,'مداولات 2'!E:E,'استدراك 2'!E:E)</f>
        <v>0</v>
      </c>
      <c r="BD18" s="40">
        <f t="shared" si="17"/>
        <v>0</v>
      </c>
      <c r="BE18" s="38" t="str">
        <f>'كشف النقاط'!O364</f>
        <v>د1</v>
      </c>
      <c r="BF18" s="45"/>
      <c r="BG18" s="43">
        <f t="shared" si="18"/>
        <v>0</v>
      </c>
      <c r="BH18" s="46">
        <f t="shared" si="19"/>
        <v>0</v>
      </c>
      <c r="BI18" s="580" t="str">
        <f t="shared" si="20"/>
        <v>د1</v>
      </c>
      <c r="BJ18" s="171">
        <v>2018</v>
      </c>
      <c r="BL18" s="203">
        <v>9.035714285714286</v>
      </c>
      <c r="BM18" s="204">
        <v>3</v>
      </c>
      <c r="BN18" s="204">
        <v>0</v>
      </c>
      <c r="BO18" s="204">
        <v>2017</v>
      </c>
      <c r="BP18" s="205">
        <v>9.5</v>
      </c>
      <c r="BQ18" s="204">
        <v>3</v>
      </c>
      <c r="BR18" s="204">
        <v>0</v>
      </c>
      <c r="BS18" s="204">
        <v>2017</v>
      </c>
      <c r="BT18" s="205">
        <v>18.125</v>
      </c>
      <c r="BU18" s="204">
        <v>1</v>
      </c>
      <c r="BV18" s="204" t="s">
        <v>105</v>
      </c>
      <c r="BW18" s="204">
        <v>2017</v>
      </c>
      <c r="BX18" s="205">
        <v>9.75</v>
      </c>
      <c r="BY18" s="204">
        <v>0</v>
      </c>
      <c r="BZ18" s="206">
        <v>0</v>
      </c>
      <c r="CA18" s="207">
        <v>2017</v>
      </c>
      <c r="CB18" s="238">
        <v>10.517857142857142</v>
      </c>
      <c r="CC18" s="239">
        <v>30</v>
      </c>
      <c r="CD18" s="648" t="s">
        <v>30</v>
      </c>
      <c r="CE18" s="208">
        <v>14.291666666666666</v>
      </c>
      <c r="CF18" s="204">
        <v>18</v>
      </c>
      <c r="CG18" s="204" t="s">
        <v>105</v>
      </c>
      <c r="CH18" s="204">
        <v>2017</v>
      </c>
      <c r="CI18" s="205">
        <v>5.45</v>
      </c>
      <c r="CJ18" s="204">
        <v>0</v>
      </c>
      <c r="CK18" s="204">
        <v>0</v>
      </c>
      <c r="CL18" s="204">
        <v>2017</v>
      </c>
      <c r="CM18" s="205">
        <v>10</v>
      </c>
      <c r="CN18" s="204">
        <v>2</v>
      </c>
      <c r="CO18" s="204" t="s">
        <v>105</v>
      </c>
      <c r="CP18" s="204">
        <v>2017</v>
      </c>
      <c r="CQ18" s="205">
        <v>10</v>
      </c>
      <c r="CR18" s="204">
        <v>1</v>
      </c>
      <c r="CS18" s="209">
        <v>0</v>
      </c>
      <c r="CT18" s="209">
        <v>2017</v>
      </c>
      <c r="CU18" s="238">
        <v>10.357142857142858</v>
      </c>
      <c r="CV18" s="652">
        <v>30</v>
      </c>
      <c r="CW18" s="651" t="s">
        <v>31</v>
      </c>
      <c r="CX18" s="80"/>
      <c r="CY18" s="80"/>
      <c r="CZ18" s="80"/>
      <c r="DA18" s="80"/>
      <c r="DB18" s="80"/>
      <c r="DC18" s="80"/>
      <c r="DD18" s="80"/>
      <c r="DE18" s="80"/>
      <c r="DF18" s="80"/>
      <c r="DG18" s="80"/>
      <c r="DH18" s="80"/>
      <c r="DI18" s="80"/>
      <c r="DJ18" s="80"/>
      <c r="DK18" s="80"/>
      <c r="DL18" s="80"/>
      <c r="DM18" s="80"/>
      <c r="DN18" s="80"/>
      <c r="DO18" s="80"/>
      <c r="DP18" s="80"/>
      <c r="DQ18" s="80"/>
    </row>
    <row r="19" spans="2:121" ht="13.5" customHeight="1">
      <c r="B19" s="92" t="s">
        <v>130</v>
      </c>
      <c r="C19" s="47">
        <v>10</v>
      </c>
      <c r="D19" s="143" t="str">
        <f>IF('كشف النقاط'!B17&gt;0,'كشف النقاط'!B17," ")</f>
        <v>زياني </v>
      </c>
      <c r="E19" s="143" t="str">
        <f>IF('كشف النقاط'!C17&gt;0,'كشف النقاط'!C17," ")</f>
        <v>أميرة</v>
      </c>
      <c r="F19" s="30"/>
      <c r="G19" s="656"/>
      <c r="H19" s="30"/>
      <c r="I19" s="30"/>
      <c r="J19" s="39">
        <f>IF('مداولات 1'!E:E&gt;'استدراك 1'!E:E,'مداولات 1'!E:E,'استدراك 1'!E:E)</f>
        <v>43.5</v>
      </c>
      <c r="K19" s="40">
        <f t="shared" si="0"/>
        <v>7</v>
      </c>
      <c r="L19" s="38" t="str">
        <f>'كشف النقاط'!O60</f>
        <v>د1</v>
      </c>
      <c r="M19" s="39">
        <f>IF('مداولات 1'!G:G&gt;'استدراك 1'!G:G,'مداولات 1'!G:G,'استدراك 1'!G:G)</f>
        <v>17</v>
      </c>
      <c r="N19" s="40">
        <f t="shared" si="1"/>
        <v>0</v>
      </c>
      <c r="O19" s="38" t="str">
        <f>'كشف النقاط'!O17</f>
        <v>د1</v>
      </c>
      <c r="P19" s="39">
        <f>IF('مداولات 1'!I:I&gt;'استدراك 1'!I:I,'مداولات 1'!I:I,'استدراك 1'!I:I)</f>
        <v>19</v>
      </c>
      <c r="Q19" s="40">
        <f t="shared" si="2"/>
        <v>0</v>
      </c>
      <c r="R19" s="40" t="str">
        <f>'كشف النقاط'!O103</f>
        <v>د1</v>
      </c>
      <c r="S19" s="39">
        <f t="shared" si="3"/>
        <v>11.357142857142858</v>
      </c>
      <c r="T19" s="45">
        <f t="shared" si="4"/>
        <v>18</v>
      </c>
      <c r="U19" s="40" t="s">
        <v>30</v>
      </c>
      <c r="V19" s="45">
        <v>2018</v>
      </c>
      <c r="W19" s="45"/>
      <c r="X19" s="39">
        <f>IF('مداولات 1'!M:M&gt;'استدراك 1'!M:M,'مداولات 1'!M:M,'استدراك 1'!M:M)</f>
        <v>16</v>
      </c>
      <c r="Y19" s="40">
        <f t="shared" si="5"/>
        <v>0</v>
      </c>
      <c r="Z19" s="40" t="str">
        <f>'كشف النقاط'!O191</f>
        <v>د1</v>
      </c>
      <c r="AA19" s="39">
        <f>IF('مداولات 1'!O:O&gt;'استدراك 1'!O:O,'مداولات 1'!O:O,'استدراك 1'!O:O)</f>
        <v>25</v>
      </c>
      <c r="AB19" s="40">
        <f t="shared" si="6"/>
        <v>4</v>
      </c>
      <c r="AC19" s="40" t="str">
        <f>'كشف النقاط'!O147</f>
        <v>د1</v>
      </c>
      <c r="AD19" s="39">
        <f t="shared" si="7"/>
        <v>10.25</v>
      </c>
      <c r="AE19" s="41">
        <f t="shared" si="8"/>
        <v>9</v>
      </c>
      <c r="AF19" s="40" t="s">
        <v>30</v>
      </c>
      <c r="AG19" s="45">
        <v>2018</v>
      </c>
      <c r="AH19" s="118"/>
      <c r="AI19" s="42">
        <f>IF('مداولات 1'!S:S&gt;'استدراك 1'!S:S,'مداولات 1'!S:S,'استدراك 1'!S:S)</f>
        <v>27.5</v>
      </c>
      <c r="AJ19" s="40">
        <f t="shared" si="9"/>
        <v>2</v>
      </c>
      <c r="AK19" s="40" t="str">
        <f>'كشف النقاط'!O235</f>
        <v>د1</v>
      </c>
      <c r="AL19" s="39">
        <f t="shared" si="10"/>
        <v>13.75</v>
      </c>
      <c r="AM19" s="45">
        <f t="shared" si="11"/>
        <v>2</v>
      </c>
      <c r="AN19" s="45">
        <v>2018</v>
      </c>
      <c r="AO19" s="45" t="s">
        <v>105</v>
      </c>
      <c r="AP19" s="39">
        <f>IF('مداولات 1'!W:W&gt;'استدراك 1'!W:W,'مداولات 1'!W:W,'استدراك 1'!W:W)</f>
        <v>9.25</v>
      </c>
      <c r="AQ19" s="40">
        <f t="shared" si="12"/>
        <v>0</v>
      </c>
      <c r="AR19" s="40" t="str">
        <f>'كشف النقاط'!O280</f>
        <v>د1</v>
      </c>
      <c r="AS19" s="39">
        <f t="shared" si="13"/>
        <v>9.25</v>
      </c>
      <c r="AT19" s="109">
        <f t="shared" si="14"/>
        <v>0</v>
      </c>
      <c r="AU19" s="45">
        <v>2018</v>
      </c>
      <c r="AV19" s="109"/>
      <c r="AW19" s="109"/>
      <c r="AX19" s="39">
        <f t="shared" si="15"/>
        <v>11.232142857142858</v>
      </c>
      <c r="AY19" s="46">
        <f t="shared" si="16"/>
        <v>30</v>
      </c>
      <c r="AZ19" s="40" t="s">
        <v>30</v>
      </c>
      <c r="BA19" s="171">
        <v>2018</v>
      </c>
      <c r="BB19" s="120"/>
      <c r="BC19" s="39">
        <f>IF('مداولات 2'!E:E&gt;'استدراك 2'!E:E,'مداولات 2'!E:E,'استدراك 2'!E:E)</f>
        <v>0</v>
      </c>
      <c r="BD19" s="40">
        <f t="shared" si="17"/>
        <v>0</v>
      </c>
      <c r="BE19" s="38" t="str">
        <f>'كشف النقاط'!O365</f>
        <v>د1</v>
      </c>
      <c r="BF19" s="45"/>
      <c r="BG19" s="43">
        <f t="shared" si="18"/>
        <v>0</v>
      </c>
      <c r="BH19" s="46">
        <f t="shared" si="19"/>
        <v>0</v>
      </c>
      <c r="BI19" s="580" t="str">
        <f t="shared" si="20"/>
        <v>د1</v>
      </c>
      <c r="BJ19" s="171">
        <v>2018</v>
      </c>
      <c r="BL19" s="203">
        <v>11.535714285714286</v>
      </c>
      <c r="BM19" s="204">
        <v>9</v>
      </c>
      <c r="BN19" s="204">
        <v>0</v>
      </c>
      <c r="BO19" s="204">
        <v>2017</v>
      </c>
      <c r="BP19" s="205">
        <v>11.125</v>
      </c>
      <c r="BQ19" s="204">
        <v>9</v>
      </c>
      <c r="BR19" s="204">
        <v>0</v>
      </c>
      <c r="BS19" s="204">
        <v>2017</v>
      </c>
      <c r="BT19" s="205">
        <v>15.25</v>
      </c>
      <c r="BU19" s="204">
        <v>1</v>
      </c>
      <c r="BV19" s="204" t="s">
        <v>105</v>
      </c>
      <c r="BW19" s="204">
        <v>2017</v>
      </c>
      <c r="BX19" s="205">
        <v>7.75</v>
      </c>
      <c r="BY19" s="204">
        <v>0</v>
      </c>
      <c r="BZ19" s="206">
        <v>0</v>
      </c>
      <c r="CA19" s="207">
        <v>2017</v>
      </c>
      <c r="CB19" s="238">
        <v>11.678571428571429</v>
      </c>
      <c r="CC19" s="239">
        <v>30</v>
      </c>
      <c r="CD19" s="648" t="s">
        <v>30</v>
      </c>
      <c r="CE19" s="208">
        <v>12.375</v>
      </c>
      <c r="CF19" s="204">
        <v>18</v>
      </c>
      <c r="CG19" s="204" t="s">
        <v>105</v>
      </c>
      <c r="CH19" s="204">
        <v>2017</v>
      </c>
      <c r="CI19" s="205">
        <v>9.65</v>
      </c>
      <c r="CJ19" s="204">
        <v>5</v>
      </c>
      <c r="CK19" s="204">
        <v>0</v>
      </c>
      <c r="CL19" s="204">
        <v>2017</v>
      </c>
      <c r="CM19" s="205">
        <v>8.25</v>
      </c>
      <c r="CN19" s="204">
        <v>2</v>
      </c>
      <c r="CO19" s="204" t="s">
        <v>105</v>
      </c>
      <c r="CP19" s="204">
        <v>2017</v>
      </c>
      <c r="CQ19" s="205">
        <v>8.25</v>
      </c>
      <c r="CR19" s="204">
        <v>0</v>
      </c>
      <c r="CS19" s="209">
        <v>0</v>
      </c>
      <c r="CT19" s="209">
        <v>2017</v>
      </c>
      <c r="CU19" s="238">
        <v>11.196428571428571</v>
      </c>
      <c r="CV19" s="652">
        <v>30</v>
      </c>
      <c r="CW19" s="651" t="s">
        <v>30</v>
      </c>
      <c r="CX19" s="80"/>
      <c r="CY19" s="80"/>
      <c r="CZ19" s="80"/>
      <c r="DA19" s="80"/>
      <c r="DB19" s="80"/>
      <c r="DC19" s="80"/>
      <c r="DD19" s="80"/>
      <c r="DE19" s="80"/>
      <c r="DF19" s="80"/>
      <c r="DG19" s="80"/>
      <c r="DH19" s="80"/>
      <c r="DI19" s="80"/>
      <c r="DJ19" s="80"/>
      <c r="DK19" s="80"/>
      <c r="DL19" s="80"/>
      <c r="DM19" s="80"/>
      <c r="DN19" s="80"/>
      <c r="DO19" s="80"/>
      <c r="DP19" s="80"/>
      <c r="DQ19" s="80"/>
    </row>
    <row r="20" spans="2:121" ht="13.5" customHeight="1">
      <c r="B20" s="92" t="s">
        <v>140</v>
      </c>
      <c r="C20" s="47">
        <v>11</v>
      </c>
      <c r="D20" s="143" t="str">
        <f>IF('كشف النقاط'!B18&gt;0,'كشف النقاط'!B18," ")</f>
        <v>شلابي </v>
      </c>
      <c r="E20" s="143" t="str">
        <f>IF('كشف النقاط'!C18&gt;0,'كشف النقاط'!C18," ")</f>
        <v>هاجر</v>
      </c>
      <c r="F20" s="30"/>
      <c r="G20" s="656"/>
      <c r="H20" s="30"/>
      <c r="I20" s="30"/>
      <c r="J20" s="39">
        <f>IF('مداولات 1'!E:E&gt;'استدراك 1'!E:E,'مداولات 1'!E:E,'استدراك 1'!E:E)</f>
        <v>45</v>
      </c>
      <c r="K20" s="40">
        <f t="shared" si="0"/>
        <v>7</v>
      </c>
      <c r="L20" s="38" t="str">
        <f>'كشف النقاط'!O61</f>
        <v>د1</v>
      </c>
      <c r="M20" s="39">
        <f>IF('مداولات 1'!G:G&gt;'استدراك 1'!G:G,'مداولات 1'!G:G,'استدراك 1'!G:G)</f>
        <v>20</v>
      </c>
      <c r="N20" s="40">
        <f t="shared" si="1"/>
        <v>6</v>
      </c>
      <c r="O20" s="38" t="str">
        <f>'كشف النقاط'!O18</f>
        <v>د1</v>
      </c>
      <c r="P20" s="39">
        <f>IF('مداولات 1'!I:I&gt;'استدراك 1'!I:I,'مداولات 1'!I:I,'استدراك 1'!I:I)</f>
        <v>21</v>
      </c>
      <c r="Q20" s="40">
        <f t="shared" si="2"/>
        <v>5</v>
      </c>
      <c r="R20" s="40" t="str">
        <f>'كشف النقاط'!O104</f>
        <v>د1</v>
      </c>
      <c r="S20" s="39">
        <f t="shared" si="3"/>
        <v>12.285714285714286</v>
      </c>
      <c r="T20" s="45">
        <f t="shared" si="4"/>
        <v>18</v>
      </c>
      <c r="U20" s="40" t="s">
        <v>30</v>
      </c>
      <c r="V20" s="45">
        <v>2018</v>
      </c>
      <c r="W20" s="45"/>
      <c r="X20" s="39">
        <f>IF('مداولات 1'!M:M&gt;'استدراك 1'!M:M,'مداولات 1'!M:M,'استدراك 1'!M:M)</f>
        <v>21.7</v>
      </c>
      <c r="Y20" s="40">
        <f t="shared" si="5"/>
        <v>5</v>
      </c>
      <c r="Z20" s="40" t="str">
        <f>'كشف النقاط'!O192</f>
        <v>د1</v>
      </c>
      <c r="AA20" s="39">
        <f>IF('مداولات 1'!O:O&gt;'استدراك 1'!O:O,'مداولات 1'!O:O,'استدراك 1'!O:O)</f>
        <v>19.5</v>
      </c>
      <c r="AB20" s="40">
        <f t="shared" si="6"/>
        <v>0</v>
      </c>
      <c r="AC20" s="40" t="str">
        <f>'كشف النقاط'!O148</f>
        <v>د1</v>
      </c>
      <c r="AD20" s="39">
        <f t="shared" si="7"/>
        <v>10.3</v>
      </c>
      <c r="AE20" s="41">
        <f t="shared" si="8"/>
        <v>9</v>
      </c>
      <c r="AF20" s="40" t="s">
        <v>30</v>
      </c>
      <c r="AG20" s="45">
        <v>2018</v>
      </c>
      <c r="AH20" s="118"/>
      <c r="AI20" s="42">
        <f>IF('مداولات 1'!S:S&gt;'استدراك 1'!S:S,'مداولات 1'!S:S,'استدراك 1'!S:S)</f>
        <v>25</v>
      </c>
      <c r="AJ20" s="40">
        <f t="shared" si="9"/>
        <v>2</v>
      </c>
      <c r="AK20" s="40" t="str">
        <f>'كشف النقاط'!O236</f>
        <v>د1</v>
      </c>
      <c r="AL20" s="39">
        <f t="shared" si="10"/>
        <v>12.5</v>
      </c>
      <c r="AM20" s="45">
        <f t="shared" si="11"/>
        <v>2</v>
      </c>
      <c r="AN20" s="45">
        <v>2018</v>
      </c>
      <c r="AO20" s="45" t="s">
        <v>105</v>
      </c>
      <c r="AP20" s="39">
        <f>IF('مداولات 1'!W:W&gt;'استدراك 1'!W:W,'مداولات 1'!W:W,'استدراك 1'!W:W)</f>
        <v>5</v>
      </c>
      <c r="AQ20" s="40">
        <f t="shared" si="12"/>
        <v>0</v>
      </c>
      <c r="AR20" s="40" t="str">
        <f>'كشف النقاط'!O281</f>
        <v>د1</v>
      </c>
      <c r="AS20" s="39">
        <f t="shared" si="13"/>
        <v>5</v>
      </c>
      <c r="AT20" s="109">
        <f t="shared" si="14"/>
        <v>0</v>
      </c>
      <c r="AU20" s="45">
        <v>2018</v>
      </c>
      <c r="AV20" s="109"/>
      <c r="AW20" s="109"/>
      <c r="AX20" s="39">
        <f t="shared" si="15"/>
        <v>11.228571428571428</v>
      </c>
      <c r="AY20" s="46">
        <f t="shared" si="16"/>
        <v>30</v>
      </c>
      <c r="AZ20" s="40" t="s">
        <v>30</v>
      </c>
      <c r="BA20" s="171">
        <v>2018</v>
      </c>
      <c r="BB20" s="120"/>
      <c r="BC20" s="39">
        <f>IF('مداولات 2'!E:E&gt;'استدراك 2'!E:E,'مداولات 2'!E:E,'استدراك 2'!E:E)</f>
        <v>0</v>
      </c>
      <c r="BD20" s="40">
        <f t="shared" si="17"/>
        <v>0</v>
      </c>
      <c r="BE20" s="38" t="str">
        <f>'كشف النقاط'!O366</f>
        <v>د1</v>
      </c>
      <c r="BF20" s="45"/>
      <c r="BG20" s="43">
        <f t="shared" si="18"/>
        <v>0</v>
      </c>
      <c r="BH20" s="46">
        <f t="shared" si="19"/>
        <v>0</v>
      </c>
      <c r="BI20" s="580" t="str">
        <f t="shared" si="20"/>
        <v>د1</v>
      </c>
      <c r="BJ20" s="171">
        <v>2018</v>
      </c>
      <c r="BL20" s="203">
        <v>12.821428571428571</v>
      </c>
      <c r="BM20" s="204">
        <v>9</v>
      </c>
      <c r="BN20" s="204">
        <v>0</v>
      </c>
      <c r="BO20" s="204">
        <v>2017</v>
      </c>
      <c r="BP20" s="205">
        <v>10.5</v>
      </c>
      <c r="BQ20" s="204">
        <v>9</v>
      </c>
      <c r="BR20" s="204">
        <v>0</v>
      </c>
      <c r="BS20" s="204">
        <v>2017</v>
      </c>
      <c r="BT20" s="205">
        <v>13.75</v>
      </c>
      <c r="BU20" s="204">
        <v>1</v>
      </c>
      <c r="BV20" s="204" t="s">
        <v>105</v>
      </c>
      <c r="BW20" s="204">
        <v>2017</v>
      </c>
      <c r="BX20" s="205">
        <v>7</v>
      </c>
      <c r="BY20" s="204">
        <v>0</v>
      </c>
      <c r="BZ20" s="206">
        <v>0</v>
      </c>
      <c r="CA20" s="207">
        <v>2017</v>
      </c>
      <c r="CB20" s="238">
        <v>11.875</v>
      </c>
      <c r="CC20" s="239">
        <v>30</v>
      </c>
      <c r="CD20" s="648" t="s">
        <v>30</v>
      </c>
      <c r="CE20" s="208">
        <v>15.5</v>
      </c>
      <c r="CF20" s="204">
        <v>18</v>
      </c>
      <c r="CG20" s="204" t="s">
        <v>105</v>
      </c>
      <c r="CH20" s="204">
        <v>2017</v>
      </c>
      <c r="CI20" s="205">
        <v>9.1</v>
      </c>
      <c r="CJ20" s="204">
        <v>3</v>
      </c>
      <c r="CK20" s="204">
        <v>0</v>
      </c>
      <c r="CL20" s="204">
        <v>2017</v>
      </c>
      <c r="CM20" s="205">
        <v>6.25</v>
      </c>
      <c r="CN20" s="204">
        <v>2</v>
      </c>
      <c r="CO20" s="204" t="s">
        <v>105</v>
      </c>
      <c r="CP20" s="204">
        <v>2017</v>
      </c>
      <c r="CQ20" s="205">
        <v>6.25</v>
      </c>
      <c r="CR20" s="204">
        <v>0</v>
      </c>
      <c r="CS20" s="209">
        <v>0</v>
      </c>
      <c r="CT20" s="209">
        <v>2017</v>
      </c>
      <c r="CU20" s="238">
        <v>12.053571428571429</v>
      </c>
      <c r="CV20" s="652">
        <v>30</v>
      </c>
      <c r="CW20" s="651" t="s">
        <v>30</v>
      </c>
      <c r="CX20" s="80"/>
      <c r="CY20" s="80"/>
      <c r="CZ20" s="80"/>
      <c r="DA20" s="80"/>
      <c r="DB20" s="80"/>
      <c r="DC20" s="80"/>
      <c r="DD20" s="80"/>
      <c r="DE20" s="80"/>
      <c r="DF20" s="80"/>
      <c r="DG20" s="80"/>
      <c r="DH20" s="80"/>
      <c r="DI20" s="80"/>
      <c r="DJ20" s="80"/>
      <c r="DK20" s="80"/>
      <c r="DL20" s="80"/>
      <c r="DM20" s="80"/>
      <c r="DN20" s="80"/>
      <c r="DO20" s="80"/>
      <c r="DP20" s="80"/>
      <c r="DQ20" s="80"/>
    </row>
    <row r="21" spans="2:121" ht="13.5" customHeight="1">
      <c r="B21" s="92" t="s">
        <v>135</v>
      </c>
      <c r="C21" s="47">
        <v>12</v>
      </c>
      <c r="D21" s="143" t="str">
        <f>IF('كشف النقاط'!B19&gt;0,'كشف النقاط'!B19," ")</f>
        <v>صولي </v>
      </c>
      <c r="E21" s="143" t="str">
        <f>IF('كشف النقاط'!C19&gt;0,'كشف النقاط'!C19," ")</f>
        <v>هشام</v>
      </c>
      <c r="F21" s="30"/>
      <c r="G21" s="656"/>
      <c r="H21" s="30"/>
      <c r="I21" s="30"/>
      <c r="J21" s="39">
        <f>IF('مداولات 1'!E:E&gt;'استدراك 1'!E:E,'مداولات 1'!E:E,'استدراك 1'!E:E)</f>
        <v>42</v>
      </c>
      <c r="K21" s="40">
        <f t="shared" si="0"/>
        <v>7</v>
      </c>
      <c r="L21" s="38" t="str">
        <f>'كشف النقاط'!O62</f>
        <v>د1</v>
      </c>
      <c r="M21" s="39">
        <f>IF('مداولات 1'!G:G&gt;'استدراك 1'!G:G,'مداولات 1'!G:G,'استدراك 1'!G:G)</f>
        <v>16</v>
      </c>
      <c r="N21" s="40">
        <f t="shared" si="1"/>
        <v>0</v>
      </c>
      <c r="O21" s="38" t="str">
        <f>'كشف النقاط'!O19</f>
        <v>د1</v>
      </c>
      <c r="P21" s="39">
        <f>IF('مداولات 1'!I:I&gt;'استدراك 1'!I:I,'مداولات 1'!I:I,'استدراك 1'!I:I)</f>
        <v>22.5</v>
      </c>
      <c r="Q21" s="40">
        <f t="shared" si="2"/>
        <v>5</v>
      </c>
      <c r="R21" s="40" t="str">
        <f>'كشف النقاط'!O105</f>
        <v>د1</v>
      </c>
      <c r="S21" s="39">
        <f t="shared" si="3"/>
        <v>11.5</v>
      </c>
      <c r="T21" s="45">
        <f t="shared" si="4"/>
        <v>18</v>
      </c>
      <c r="U21" s="40" t="s">
        <v>30</v>
      </c>
      <c r="V21" s="45">
        <v>2018</v>
      </c>
      <c r="W21" s="45"/>
      <c r="X21" s="39">
        <f>IF('مداولات 1'!M:M&gt;'استدراك 1'!M:M,'مداولات 1'!M:M,'استدراك 1'!M:M)</f>
        <v>16</v>
      </c>
      <c r="Y21" s="40">
        <f t="shared" si="5"/>
        <v>0</v>
      </c>
      <c r="Z21" s="40" t="str">
        <f>'كشف النقاط'!O193</f>
        <v>د1</v>
      </c>
      <c r="AA21" s="39">
        <f>IF('مداولات 1'!O:O&gt;'استدراك 1'!O:O,'مداولات 1'!O:O,'استدراك 1'!O:O)</f>
        <v>21</v>
      </c>
      <c r="AB21" s="40">
        <f t="shared" si="6"/>
        <v>4</v>
      </c>
      <c r="AC21" s="40" t="str">
        <f>'كشف النقاط'!O149</f>
        <v>د1</v>
      </c>
      <c r="AD21" s="39">
        <f t="shared" si="7"/>
        <v>9.25</v>
      </c>
      <c r="AE21" s="41">
        <f t="shared" si="8"/>
        <v>4</v>
      </c>
      <c r="AF21" s="40" t="s">
        <v>30</v>
      </c>
      <c r="AG21" s="45">
        <v>2018</v>
      </c>
      <c r="AH21" s="118"/>
      <c r="AI21" s="42">
        <f>IF('مداولات 1'!S:S&gt;'استدراك 1'!S:S,'مداولات 1'!S:S,'استدراك 1'!S:S)</f>
        <v>24.5</v>
      </c>
      <c r="AJ21" s="40">
        <f t="shared" si="9"/>
        <v>2</v>
      </c>
      <c r="AK21" s="40" t="str">
        <f>'كشف النقاط'!O237</f>
        <v>د1</v>
      </c>
      <c r="AL21" s="39">
        <f t="shared" si="10"/>
        <v>12.25</v>
      </c>
      <c r="AM21" s="45">
        <f t="shared" si="11"/>
        <v>2</v>
      </c>
      <c r="AN21" s="45">
        <v>2018</v>
      </c>
      <c r="AO21" s="45" t="s">
        <v>105</v>
      </c>
      <c r="AP21" s="39">
        <f>IF('مداولات 1'!W:W&gt;'استدراك 1'!W:W,'مداولات 1'!W:W,'استدراك 1'!W:W)</f>
        <v>8</v>
      </c>
      <c r="AQ21" s="40">
        <f t="shared" si="12"/>
        <v>0</v>
      </c>
      <c r="AR21" s="40" t="str">
        <f>'كشف النقاط'!O282</f>
        <v>د1</v>
      </c>
      <c r="AS21" s="39">
        <f t="shared" si="13"/>
        <v>8</v>
      </c>
      <c r="AT21" s="109">
        <f t="shared" si="14"/>
        <v>0</v>
      </c>
      <c r="AU21" s="45">
        <v>2018</v>
      </c>
      <c r="AV21" s="109"/>
      <c r="AW21" s="109"/>
      <c r="AX21" s="39">
        <f t="shared" si="15"/>
        <v>10.714285714285714</v>
      </c>
      <c r="AY21" s="46">
        <f t="shared" si="16"/>
        <v>30</v>
      </c>
      <c r="AZ21" s="40" t="s">
        <v>30</v>
      </c>
      <c r="BA21" s="171">
        <v>2018</v>
      </c>
      <c r="BB21" s="120"/>
      <c r="BC21" s="39">
        <f>IF('مداولات 2'!E:E&gt;'استدراك 2'!E:E,'مداولات 2'!E:E,'استدراك 2'!E:E)</f>
        <v>0</v>
      </c>
      <c r="BD21" s="40">
        <f t="shared" si="17"/>
        <v>0</v>
      </c>
      <c r="BE21" s="38" t="str">
        <f>'كشف النقاط'!O367</f>
        <v>د1</v>
      </c>
      <c r="BF21" s="45"/>
      <c r="BG21" s="43">
        <f t="shared" si="18"/>
        <v>0</v>
      </c>
      <c r="BH21" s="46">
        <f t="shared" si="19"/>
        <v>0</v>
      </c>
      <c r="BI21" s="580" t="str">
        <f t="shared" si="20"/>
        <v>د1</v>
      </c>
      <c r="BJ21" s="171">
        <v>2018</v>
      </c>
      <c r="BL21" s="203">
        <v>12.321428571428571</v>
      </c>
      <c r="BM21" s="204">
        <v>9</v>
      </c>
      <c r="BN21" s="204">
        <v>0</v>
      </c>
      <c r="BO21" s="204">
        <v>2017</v>
      </c>
      <c r="BP21" s="205">
        <v>12.5625</v>
      </c>
      <c r="BQ21" s="204">
        <v>9</v>
      </c>
      <c r="BR21" s="204">
        <v>0</v>
      </c>
      <c r="BS21" s="204">
        <v>2017</v>
      </c>
      <c r="BT21" s="205">
        <v>17.25</v>
      </c>
      <c r="BU21" s="204">
        <v>1</v>
      </c>
      <c r="BV21" s="204" t="s">
        <v>105</v>
      </c>
      <c r="BW21" s="204">
        <v>2017</v>
      </c>
      <c r="BX21" s="205">
        <v>12.25</v>
      </c>
      <c r="BY21" s="204">
        <v>1</v>
      </c>
      <c r="BZ21" s="206">
        <v>0</v>
      </c>
      <c r="CA21" s="207">
        <v>2017</v>
      </c>
      <c r="CB21" s="238">
        <v>13.089285714285714</v>
      </c>
      <c r="CC21" s="239">
        <v>30</v>
      </c>
      <c r="CD21" s="648" t="s">
        <v>30</v>
      </c>
      <c r="CE21" s="208">
        <v>15.25</v>
      </c>
      <c r="CF21" s="204">
        <v>18</v>
      </c>
      <c r="CG21" s="204" t="s">
        <v>105</v>
      </c>
      <c r="CH21" s="204">
        <v>2017</v>
      </c>
      <c r="CI21" s="205">
        <v>7.75</v>
      </c>
      <c r="CJ21" s="204">
        <v>3</v>
      </c>
      <c r="CK21" s="204">
        <v>0</v>
      </c>
      <c r="CL21" s="204">
        <v>2017</v>
      </c>
      <c r="CM21" s="205">
        <v>12</v>
      </c>
      <c r="CN21" s="204">
        <v>0</v>
      </c>
      <c r="CO21" s="204" t="s">
        <v>105</v>
      </c>
      <c r="CP21" s="204">
        <v>2017</v>
      </c>
      <c r="CQ21" s="205">
        <v>12</v>
      </c>
      <c r="CR21" s="204">
        <v>1</v>
      </c>
      <c r="CS21" s="209">
        <v>0</v>
      </c>
      <c r="CT21" s="209">
        <v>2017</v>
      </c>
      <c r="CU21" s="238">
        <v>11.303571428571429</v>
      </c>
      <c r="CV21" s="652">
        <v>30</v>
      </c>
      <c r="CW21" s="651" t="s">
        <v>30</v>
      </c>
      <c r="CX21" s="80"/>
      <c r="CY21" s="80"/>
      <c r="CZ21" s="80"/>
      <c r="DA21" s="80"/>
      <c r="DB21" s="80"/>
      <c r="DC21" s="80"/>
      <c r="DD21" s="80"/>
      <c r="DE21" s="80"/>
      <c r="DF21" s="80"/>
      <c r="DG21" s="80"/>
      <c r="DH21" s="80"/>
      <c r="DI21" s="80"/>
      <c r="DJ21" s="80"/>
      <c r="DK21" s="80"/>
      <c r="DL21" s="80"/>
      <c r="DM21" s="80"/>
      <c r="DN21" s="80"/>
      <c r="DO21" s="80"/>
      <c r="DP21" s="80"/>
      <c r="DQ21" s="80"/>
    </row>
    <row r="22" spans="2:121" ht="13.5" customHeight="1">
      <c r="B22" s="92" t="s">
        <v>136</v>
      </c>
      <c r="C22" s="47">
        <v>13</v>
      </c>
      <c r="D22" s="143" t="str">
        <f>IF('كشف النقاط'!B20&gt;0,'كشف النقاط'!B20," ")</f>
        <v>عطيل</v>
      </c>
      <c r="E22" s="143" t="str">
        <f>IF('كشف النقاط'!C20&gt;0,'كشف النقاط'!C20," ")</f>
        <v>آسيا</v>
      </c>
      <c r="F22" s="30"/>
      <c r="G22" s="656"/>
      <c r="H22" s="30"/>
      <c r="I22" s="30"/>
      <c r="J22" s="39">
        <f>IF('مداولات 1'!E:E&gt;'استدراك 1'!E:E,'مداولات 1'!E:E,'استدراك 1'!E:E)</f>
        <v>49.5</v>
      </c>
      <c r="K22" s="40">
        <f t="shared" si="0"/>
        <v>7</v>
      </c>
      <c r="L22" s="38" t="str">
        <f>'كشف النقاط'!O63</f>
        <v>د1</v>
      </c>
      <c r="M22" s="39">
        <f>IF('مداولات 1'!G:G&gt;'استدراك 1'!G:G,'مداولات 1'!G:G,'استدراك 1'!G:G)</f>
        <v>31</v>
      </c>
      <c r="N22" s="40">
        <f t="shared" si="1"/>
        <v>6</v>
      </c>
      <c r="O22" s="38" t="str">
        <f>'كشف النقاط'!O20</f>
        <v>د1</v>
      </c>
      <c r="P22" s="39">
        <f>IF('مداولات 1'!I:I&gt;'استدراك 1'!I:I,'مداولات 1'!I:I,'استدراك 1'!I:I)</f>
        <v>32</v>
      </c>
      <c r="Q22" s="40">
        <f t="shared" si="2"/>
        <v>5</v>
      </c>
      <c r="R22" s="40" t="str">
        <f>'كشف النقاط'!O106</f>
        <v>د1</v>
      </c>
      <c r="S22" s="39">
        <f t="shared" si="3"/>
        <v>16.071428571428573</v>
      </c>
      <c r="T22" s="45">
        <f t="shared" si="4"/>
        <v>18</v>
      </c>
      <c r="U22" s="40" t="s">
        <v>30</v>
      </c>
      <c r="V22" s="45">
        <v>2018</v>
      </c>
      <c r="W22" s="45"/>
      <c r="X22" s="39">
        <f>IF('مداولات 1'!M:M&gt;'استدراك 1'!M:M,'مداولات 1'!M:M,'استدراك 1'!M:M)</f>
        <v>35.4</v>
      </c>
      <c r="Y22" s="40">
        <f t="shared" si="5"/>
        <v>5</v>
      </c>
      <c r="Z22" s="40" t="str">
        <f>'كشف النقاط'!O194</f>
        <v>د1</v>
      </c>
      <c r="AA22" s="39">
        <f>IF('مداولات 1'!O:O&gt;'استدراك 1'!O:O,'مداولات 1'!O:O,'استدراك 1'!O:O)</f>
        <v>27.5</v>
      </c>
      <c r="AB22" s="40">
        <f t="shared" si="6"/>
        <v>4</v>
      </c>
      <c r="AC22" s="40" t="str">
        <f>'كشف النقاط'!O150</f>
        <v>د1</v>
      </c>
      <c r="AD22" s="39">
        <f t="shared" si="7"/>
        <v>15.725</v>
      </c>
      <c r="AE22" s="41">
        <f t="shared" si="8"/>
        <v>9</v>
      </c>
      <c r="AF22" s="40" t="s">
        <v>30</v>
      </c>
      <c r="AG22" s="45">
        <v>2018</v>
      </c>
      <c r="AH22" s="118"/>
      <c r="AI22" s="42">
        <f>IF('مداولات 1'!S:S&gt;'استدراك 1'!S:S,'مداولات 1'!S:S,'استدراك 1'!S:S)</f>
        <v>28.5</v>
      </c>
      <c r="AJ22" s="40">
        <f t="shared" si="9"/>
        <v>2</v>
      </c>
      <c r="AK22" s="40" t="str">
        <f>'كشف النقاط'!O238</f>
        <v>د1</v>
      </c>
      <c r="AL22" s="39">
        <f t="shared" si="10"/>
        <v>14.25</v>
      </c>
      <c r="AM22" s="45">
        <f t="shared" si="11"/>
        <v>2</v>
      </c>
      <c r="AN22" s="45">
        <v>2018</v>
      </c>
      <c r="AO22" s="45" t="s">
        <v>105</v>
      </c>
      <c r="AP22" s="39">
        <f>IF('مداولات 1'!W:W&gt;'استدراك 1'!W:W,'مداولات 1'!W:W,'استدراك 1'!W:W)</f>
        <v>13.25</v>
      </c>
      <c r="AQ22" s="40">
        <f t="shared" si="12"/>
        <v>1</v>
      </c>
      <c r="AR22" s="40" t="str">
        <f>'كشف النقاط'!O283</f>
        <v>د1</v>
      </c>
      <c r="AS22" s="39">
        <f t="shared" si="13"/>
        <v>13.25</v>
      </c>
      <c r="AT22" s="109">
        <f t="shared" si="14"/>
        <v>1</v>
      </c>
      <c r="AU22" s="45">
        <v>2018</v>
      </c>
      <c r="AV22" s="109"/>
      <c r="AW22" s="109"/>
      <c r="AX22" s="39">
        <f t="shared" si="15"/>
        <v>15.510714285714286</v>
      </c>
      <c r="AY22" s="46">
        <f t="shared" si="16"/>
        <v>30</v>
      </c>
      <c r="AZ22" s="40" t="s">
        <v>30</v>
      </c>
      <c r="BA22" s="171">
        <v>2018</v>
      </c>
      <c r="BB22" s="120"/>
      <c r="BC22" s="39">
        <f>IF('مداولات 2'!E:E&gt;'استدراك 2'!E:E,'مداولات 2'!E:E,'استدراك 2'!E:E)</f>
        <v>0</v>
      </c>
      <c r="BD22" s="40">
        <f t="shared" si="17"/>
        <v>0</v>
      </c>
      <c r="BE22" s="38" t="str">
        <f>'كشف النقاط'!O368</f>
        <v>د1</v>
      </c>
      <c r="BF22" s="45"/>
      <c r="BG22" s="43">
        <f t="shared" si="18"/>
        <v>0</v>
      </c>
      <c r="BH22" s="46">
        <f t="shared" si="19"/>
        <v>0</v>
      </c>
      <c r="BI22" s="580" t="str">
        <f t="shared" si="20"/>
        <v>د1</v>
      </c>
      <c r="BJ22" s="171">
        <v>2018</v>
      </c>
      <c r="BL22" s="203">
        <v>11.821428571428571</v>
      </c>
      <c r="BM22" s="204">
        <v>9</v>
      </c>
      <c r="BN22" s="204">
        <v>0</v>
      </c>
      <c r="BO22" s="204">
        <v>2017</v>
      </c>
      <c r="BP22" s="205">
        <v>14.25</v>
      </c>
      <c r="BQ22" s="204">
        <v>9</v>
      </c>
      <c r="BR22" s="204">
        <v>0</v>
      </c>
      <c r="BS22" s="204">
        <v>2017</v>
      </c>
      <c r="BT22" s="205">
        <v>15.875</v>
      </c>
      <c r="BU22" s="204">
        <v>1</v>
      </c>
      <c r="BV22" s="204" t="s">
        <v>105</v>
      </c>
      <c r="BW22" s="204">
        <v>2017</v>
      </c>
      <c r="BX22" s="205">
        <v>10</v>
      </c>
      <c r="BY22" s="204">
        <v>1</v>
      </c>
      <c r="BZ22" s="206">
        <v>0</v>
      </c>
      <c r="CA22" s="207">
        <v>2017</v>
      </c>
      <c r="CB22" s="238">
        <v>12.964285714285714</v>
      </c>
      <c r="CC22" s="239">
        <v>30</v>
      </c>
      <c r="CD22" s="648" t="s">
        <v>30</v>
      </c>
      <c r="CE22" s="208">
        <v>17.041666666666668</v>
      </c>
      <c r="CF22" s="204">
        <v>18</v>
      </c>
      <c r="CG22" s="204" t="s">
        <v>105</v>
      </c>
      <c r="CH22" s="204">
        <v>2017</v>
      </c>
      <c r="CI22" s="205">
        <v>10.95</v>
      </c>
      <c r="CJ22" s="204">
        <v>9</v>
      </c>
      <c r="CK22" s="204">
        <v>0</v>
      </c>
      <c r="CL22" s="204">
        <v>2017</v>
      </c>
      <c r="CM22" s="205">
        <v>11.25</v>
      </c>
      <c r="CN22" s="204">
        <v>0</v>
      </c>
      <c r="CO22" s="204" t="s">
        <v>105</v>
      </c>
      <c r="CP22" s="204">
        <v>2017</v>
      </c>
      <c r="CQ22" s="205">
        <v>11.25</v>
      </c>
      <c r="CR22" s="204">
        <v>1</v>
      </c>
      <c r="CS22" s="209">
        <v>0</v>
      </c>
      <c r="CT22" s="209">
        <v>2017</v>
      </c>
      <c r="CU22" s="238">
        <v>13.375</v>
      </c>
      <c r="CV22" s="652">
        <v>30</v>
      </c>
      <c r="CW22" s="651" t="s">
        <v>30</v>
      </c>
      <c r="CX22" s="80"/>
      <c r="CY22" s="80"/>
      <c r="CZ22" s="80"/>
      <c r="DA22" s="80"/>
      <c r="DB22" s="80"/>
      <c r="DC22" s="80"/>
      <c r="DD22" s="80"/>
      <c r="DE22" s="80"/>
      <c r="DF22" s="80"/>
      <c r="DG22" s="80"/>
      <c r="DH22" s="80"/>
      <c r="DI22" s="80"/>
      <c r="DJ22" s="80"/>
      <c r="DK22" s="80"/>
      <c r="DL22" s="80"/>
      <c r="DM22" s="80"/>
      <c r="DN22" s="80"/>
      <c r="DO22" s="80"/>
      <c r="DP22" s="80"/>
      <c r="DQ22" s="80"/>
    </row>
    <row r="23" spans="1:121" ht="13.5" customHeight="1">
      <c r="A23" s="25" t="s">
        <v>112</v>
      </c>
      <c r="B23" s="92" t="s">
        <v>137</v>
      </c>
      <c r="C23" s="47">
        <v>14</v>
      </c>
      <c r="D23" s="143" t="str">
        <f>IF('كشف النقاط'!B21&gt;0,'كشف النقاط'!B21," ")</f>
        <v>عيدود </v>
      </c>
      <c r="E23" s="143" t="str">
        <f>IF('كشف النقاط'!C21&gt;0,'كشف النقاط'!C21," ")</f>
        <v>صبرينة</v>
      </c>
      <c r="F23" s="30"/>
      <c r="G23" s="656"/>
      <c r="H23" s="30" t="s">
        <v>483</v>
      </c>
      <c r="I23" s="30" t="s">
        <v>483</v>
      </c>
      <c r="J23" s="39">
        <f>IF('مداولات 1'!E:E&gt;'استدراك 1'!E:E,'مداولات 1'!E:E,'استدراك 1'!E:E)</f>
        <v>38.25</v>
      </c>
      <c r="K23" s="40">
        <f t="shared" si="0"/>
        <v>7</v>
      </c>
      <c r="L23" s="38" t="str">
        <f>'كشف النقاط'!O64</f>
        <v>د1</v>
      </c>
      <c r="M23" s="39">
        <f>IF('مداولات 1'!G:G&gt;'استدراك 1'!G:G,'مداولات 1'!G:G,'استدراك 1'!G:G)</f>
        <v>12</v>
      </c>
      <c r="N23" s="40">
        <f t="shared" si="1"/>
        <v>0</v>
      </c>
      <c r="O23" s="38" t="str">
        <f>'كشف النقاط'!O21</f>
        <v>د1</v>
      </c>
      <c r="P23" s="39">
        <f>IF('مداولات 1'!I:I&gt;'استدراك 1'!I:I,'مداولات 1'!I:I,'استدراك 1'!I:I)</f>
        <v>15</v>
      </c>
      <c r="Q23" s="40">
        <f t="shared" si="2"/>
        <v>0</v>
      </c>
      <c r="R23" s="40" t="str">
        <f>'كشف النقاط'!O107</f>
        <v>د1</v>
      </c>
      <c r="S23" s="39">
        <f t="shared" si="3"/>
        <v>9.321428571428571</v>
      </c>
      <c r="T23" s="45">
        <f t="shared" si="4"/>
        <v>7</v>
      </c>
      <c r="U23" s="40" t="s">
        <v>30</v>
      </c>
      <c r="V23" s="45">
        <v>2018</v>
      </c>
      <c r="W23" s="45"/>
      <c r="X23" s="39">
        <f>IF('مداولات 1'!M:M&gt;'استدراك 1'!M:M,'مداولات 1'!M:M,'استدراك 1'!M:M)</f>
        <v>16.4</v>
      </c>
      <c r="Y23" s="40">
        <f t="shared" si="5"/>
        <v>0</v>
      </c>
      <c r="Z23" s="40" t="str">
        <f>'كشف النقاط'!O195</f>
        <v>د1</v>
      </c>
      <c r="AA23" s="39">
        <f>IF('مداولات 1'!O:O&gt;'استدراك 1'!O:O,'مداولات 1'!O:O,'استدراك 1'!O:O)</f>
        <v>22</v>
      </c>
      <c r="AB23" s="40">
        <f t="shared" si="6"/>
        <v>4</v>
      </c>
      <c r="AC23" s="40" t="str">
        <f>'كشف النقاط'!O151</f>
        <v>د1</v>
      </c>
      <c r="AD23" s="39">
        <f t="shared" si="7"/>
        <v>9.6</v>
      </c>
      <c r="AE23" s="41">
        <f t="shared" si="8"/>
        <v>4</v>
      </c>
      <c r="AF23" s="40" t="s">
        <v>30</v>
      </c>
      <c r="AG23" s="45">
        <v>2018</v>
      </c>
      <c r="AH23" s="118"/>
      <c r="AI23" s="42">
        <f>IF('مداولات 1'!S:S&gt;'استدراك 1'!S:S,'مداولات 1'!S:S,'استدراك 1'!S:S)</f>
        <v>21</v>
      </c>
      <c r="AJ23" s="40">
        <f t="shared" si="9"/>
        <v>2</v>
      </c>
      <c r="AK23" s="40" t="str">
        <f>'كشف النقاط'!O239</f>
        <v>د1</v>
      </c>
      <c r="AL23" s="39">
        <f t="shared" si="10"/>
        <v>10.5</v>
      </c>
      <c r="AM23" s="45">
        <f t="shared" si="11"/>
        <v>2</v>
      </c>
      <c r="AN23" s="45">
        <v>2018</v>
      </c>
      <c r="AO23" s="45" t="s">
        <v>105</v>
      </c>
      <c r="AP23" s="39">
        <f>IF('مداولات 1'!W:W&gt;'استدراك 1'!W:W,'مداولات 1'!W:W,'استدراك 1'!W:W)</f>
        <v>8.25</v>
      </c>
      <c r="AQ23" s="40">
        <f t="shared" si="12"/>
        <v>0</v>
      </c>
      <c r="AR23" s="40" t="str">
        <f>'كشف النقاط'!O284</f>
        <v>د1</v>
      </c>
      <c r="AS23" s="39">
        <f t="shared" si="13"/>
        <v>8.25</v>
      </c>
      <c r="AT23" s="109">
        <f t="shared" si="14"/>
        <v>0</v>
      </c>
      <c r="AU23" s="45">
        <v>2018</v>
      </c>
      <c r="AV23" s="109"/>
      <c r="AW23" s="109"/>
      <c r="AX23" s="39">
        <f t="shared" si="15"/>
        <v>9.492857142857144</v>
      </c>
      <c r="AY23" s="46">
        <f t="shared" si="16"/>
        <v>13</v>
      </c>
      <c r="AZ23" s="40" t="s">
        <v>30</v>
      </c>
      <c r="BA23" s="171">
        <v>2018</v>
      </c>
      <c r="BB23" s="120"/>
      <c r="BC23" s="39">
        <f>IF('مداولات 2'!E:E&gt;'استدراك 2'!E:E,'مداولات 2'!E:E,'استدراك 2'!E:E)</f>
        <v>0</v>
      </c>
      <c r="BD23" s="40">
        <f t="shared" si="17"/>
        <v>0</v>
      </c>
      <c r="BE23" s="38" t="str">
        <f>'كشف النقاط'!O369</f>
        <v>د1</v>
      </c>
      <c r="BF23" s="45"/>
      <c r="BG23" s="43">
        <f t="shared" si="18"/>
        <v>0</v>
      </c>
      <c r="BH23" s="46">
        <f t="shared" si="19"/>
        <v>0</v>
      </c>
      <c r="BI23" s="580" t="str">
        <f t="shared" si="20"/>
        <v>د1</v>
      </c>
      <c r="BJ23" s="171">
        <v>2018</v>
      </c>
      <c r="BL23" s="203">
        <v>12.107142857142858</v>
      </c>
      <c r="BM23" s="204">
        <v>9</v>
      </c>
      <c r="BN23" s="204">
        <v>0</v>
      </c>
      <c r="BO23" s="204">
        <v>2017</v>
      </c>
      <c r="BP23" s="205">
        <v>10.4375</v>
      </c>
      <c r="BQ23" s="204">
        <v>9</v>
      </c>
      <c r="BR23" s="204">
        <v>0</v>
      </c>
      <c r="BS23" s="204">
        <v>2017</v>
      </c>
      <c r="BT23" s="205">
        <v>16.5</v>
      </c>
      <c r="BU23" s="204">
        <v>1</v>
      </c>
      <c r="BV23" s="204" t="s">
        <v>105</v>
      </c>
      <c r="BW23" s="204">
        <v>2017</v>
      </c>
      <c r="BX23" s="205">
        <v>9</v>
      </c>
      <c r="BY23" s="204">
        <v>0</v>
      </c>
      <c r="BZ23" s="206">
        <v>0</v>
      </c>
      <c r="CA23" s="207">
        <v>2017</v>
      </c>
      <c r="CB23" s="238">
        <v>12.035714285714286</v>
      </c>
      <c r="CC23" s="239">
        <v>30</v>
      </c>
      <c r="CD23" s="648" t="s">
        <v>31</v>
      </c>
      <c r="CE23" s="208">
        <v>17.125</v>
      </c>
      <c r="CF23" s="204">
        <v>18</v>
      </c>
      <c r="CG23" s="204" t="s">
        <v>105</v>
      </c>
      <c r="CH23" s="204">
        <v>2017</v>
      </c>
      <c r="CI23" s="205">
        <v>7.35</v>
      </c>
      <c r="CJ23" s="204">
        <v>0</v>
      </c>
      <c r="CK23" s="204">
        <v>0</v>
      </c>
      <c r="CL23" s="204">
        <v>2017</v>
      </c>
      <c r="CM23" s="205">
        <v>8.5</v>
      </c>
      <c r="CN23" s="204">
        <v>2</v>
      </c>
      <c r="CO23" s="204" t="s">
        <v>105</v>
      </c>
      <c r="CP23" s="204">
        <v>2017</v>
      </c>
      <c r="CQ23" s="205">
        <v>8.5</v>
      </c>
      <c r="CR23" s="204">
        <v>0</v>
      </c>
      <c r="CS23" s="209">
        <v>0</v>
      </c>
      <c r="CT23" s="209">
        <v>2017</v>
      </c>
      <c r="CU23" s="238">
        <v>12.357142857142858</v>
      </c>
      <c r="CV23" s="652">
        <v>30</v>
      </c>
      <c r="CW23" s="651" t="s">
        <v>30</v>
      </c>
      <c r="CX23" s="80"/>
      <c r="CY23" s="80"/>
      <c r="CZ23" s="80"/>
      <c r="DA23" s="80"/>
      <c r="DB23" s="80"/>
      <c r="DC23" s="80"/>
      <c r="DD23" s="80"/>
      <c r="DE23" s="80"/>
      <c r="DF23" s="80"/>
      <c r="DG23" s="80"/>
      <c r="DH23" s="80"/>
      <c r="DI23" s="80"/>
      <c r="DJ23" s="80"/>
      <c r="DK23" s="80"/>
      <c r="DL23" s="80"/>
      <c r="DM23" s="80"/>
      <c r="DN23" s="80"/>
      <c r="DO23" s="80"/>
      <c r="DP23" s="80"/>
      <c r="DQ23" s="80"/>
    </row>
    <row r="24" spans="2:121" ht="13.5" customHeight="1">
      <c r="B24" s="92" t="s">
        <v>138</v>
      </c>
      <c r="C24" s="47">
        <v>15</v>
      </c>
      <c r="D24" s="143" t="str">
        <f>IF('كشف النقاط'!B22&gt;0,'كشف النقاط'!B22," ")</f>
        <v>قايدي </v>
      </c>
      <c r="E24" s="143" t="str">
        <f>IF('كشف النقاط'!C22&gt;0,'كشف النقاط'!C22," ")</f>
        <v>مريم</v>
      </c>
      <c r="F24" s="30"/>
      <c r="G24" s="656"/>
      <c r="H24" s="30" t="s">
        <v>483</v>
      </c>
      <c r="I24" s="30" t="s">
        <v>483</v>
      </c>
      <c r="J24" s="39">
        <f>IF('مداولات 1'!E:E&gt;'استدراك 1'!E:E,'مداولات 1'!E:E,'استدراك 1'!E:E)</f>
        <v>39.75</v>
      </c>
      <c r="K24" s="40">
        <f t="shared" si="0"/>
        <v>7</v>
      </c>
      <c r="L24" s="38" t="str">
        <f>'كشف النقاط'!O65</f>
        <v>د1</v>
      </c>
      <c r="M24" s="39">
        <f>IF('مداولات 1'!G:G&gt;'استدراك 1'!G:G,'مداولات 1'!G:G,'استدراك 1'!G:G)</f>
        <v>25.5</v>
      </c>
      <c r="N24" s="40">
        <f t="shared" si="1"/>
        <v>6</v>
      </c>
      <c r="O24" s="38" t="str">
        <f>'كشف النقاط'!O22</f>
        <v>د1</v>
      </c>
      <c r="P24" s="39">
        <f>IF('مداولات 1'!I:I&gt;'استدراك 1'!I:I,'مداولات 1'!I:I,'استدراك 1'!I:I)</f>
        <v>22</v>
      </c>
      <c r="Q24" s="40">
        <f t="shared" si="2"/>
        <v>5</v>
      </c>
      <c r="R24" s="40" t="str">
        <f>'كشف النقاط'!O108</f>
        <v>د1</v>
      </c>
      <c r="S24" s="39">
        <f t="shared" si="3"/>
        <v>12.464285714285714</v>
      </c>
      <c r="T24" s="45">
        <f t="shared" si="4"/>
        <v>18</v>
      </c>
      <c r="U24" s="40" t="s">
        <v>30</v>
      </c>
      <c r="V24" s="45">
        <v>2018</v>
      </c>
      <c r="W24" s="45"/>
      <c r="X24" s="39">
        <f>IF('مداولات 1'!M:M&gt;'استدراك 1'!M:M,'مداولات 1'!M:M,'استدراك 1'!M:M)</f>
        <v>20</v>
      </c>
      <c r="Y24" s="40">
        <f t="shared" si="5"/>
        <v>5</v>
      </c>
      <c r="Z24" s="40" t="str">
        <f>'كشف النقاط'!O196</f>
        <v>د1</v>
      </c>
      <c r="AA24" s="39">
        <f>IF('مداولات 1'!O:O&gt;'استدراك 1'!O:O,'مداولات 1'!O:O,'استدراك 1'!O:O)</f>
        <v>26.5</v>
      </c>
      <c r="AB24" s="40">
        <f t="shared" si="6"/>
        <v>4</v>
      </c>
      <c r="AC24" s="40" t="str">
        <f>'كشف النقاط'!O152</f>
        <v>د1</v>
      </c>
      <c r="AD24" s="39">
        <f t="shared" si="7"/>
        <v>11.625</v>
      </c>
      <c r="AE24" s="41">
        <f t="shared" si="8"/>
        <v>9</v>
      </c>
      <c r="AF24" s="40" t="s">
        <v>30</v>
      </c>
      <c r="AG24" s="45">
        <v>2018</v>
      </c>
      <c r="AH24" s="118"/>
      <c r="AI24" s="42">
        <f>IF('مداولات 1'!S:S&gt;'استدراك 1'!S:S,'مداولات 1'!S:S,'استدراك 1'!S:S)</f>
        <v>20</v>
      </c>
      <c r="AJ24" s="40">
        <f t="shared" si="9"/>
        <v>2</v>
      </c>
      <c r="AK24" s="40" t="str">
        <f>'كشف النقاط'!O240</f>
        <v>د1</v>
      </c>
      <c r="AL24" s="39">
        <f t="shared" si="10"/>
        <v>10</v>
      </c>
      <c r="AM24" s="45">
        <f t="shared" si="11"/>
        <v>2</v>
      </c>
      <c r="AN24" s="45">
        <v>2018</v>
      </c>
      <c r="AO24" s="45" t="s">
        <v>105</v>
      </c>
      <c r="AP24" s="39">
        <f>IF('مداولات 1'!W:W&gt;'استدراك 1'!W:W,'مداولات 1'!W:W,'استدراك 1'!W:W)</f>
        <v>7.25</v>
      </c>
      <c r="AQ24" s="40">
        <f t="shared" si="12"/>
        <v>0</v>
      </c>
      <c r="AR24" s="40" t="str">
        <f>'كشف النقاط'!O285</f>
        <v>د1</v>
      </c>
      <c r="AS24" s="39">
        <f t="shared" si="13"/>
        <v>7.25</v>
      </c>
      <c r="AT24" s="109">
        <f t="shared" si="14"/>
        <v>0</v>
      </c>
      <c r="AU24" s="45">
        <v>2018</v>
      </c>
      <c r="AV24" s="109"/>
      <c r="AW24" s="109"/>
      <c r="AX24" s="39">
        <f t="shared" si="15"/>
        <v>11.5</v>
      </c>
      <c r="AY24" s="46">
        <f t="shared" si="16"/>
        <v>30</v>
      </c>
      <c r="AZ24" s="40" t="s">
        <v>30</v>
      </c>
      <c r="BA24" s="171">
        <v>2018</v>
      </c>
      <c r="BB24" s="120"/>
      <c r="BC24" s="39">
        <f>IF('مداولات 2'!E:E&gt;'استدراك 2'!E:E,'مداولات 2'!E:E,'استدراك 2'!E:E)</f>
        <v>0</v>
      </c>
      <c r="BD24" s="40">
        <f t="shared" si="17"/>
        <v>0</v>
      </c>
      <c r="BE24" s="38" t="str">
        <f>'كشف النقاط'!O370</f>
        <v>د1</v>
      </c>
      <c r="BF24" s="45"/>
      <c r="BG24" s="43">
        <f t="shared" si="18"/>
        <v>0</v>
      </c>
      <c r="BH24" s="46">
        <f t="shared" si="19"/>
        <v>0</v>
      </c>
      <c r="BI24" s="580" t="str">
        <f t="shared" si="20"/>
        <v>د1</v>
      </c>
      <c r="BJ24" s="171">
        <v>2018</v>
      </c>
      <c r="BL24" s="203">
        <v>9.785714285714286</v>
      </c>
      <c r="BM24" s="204">
        <v>3</v>
      </c>
      <c r="BN24" s="204">
        <v>0</v>
      </c>
      <c r="BO24" s="204">
        <v>2017</v>
      </c>
      <c r="BP24" s="205">
        <v>9.1875</v>
      </c>
      <c r="BQ24" s="204">
        <v>3</v>
      </c>
      <c r="BR24" s="204">
        <v>0</v>
      </c>
      <c r="BS24" s="204">
        <v>2017</v>
      </c>
      <c r="BT24" s="205">
        <v>15.375</v>
      </c>
      <c r="BU24" s="204">
        <v>1</v>
      </c>
      <c r="BV24" s="204" t="s">
        <v>105</v>
      </c>
      <c r="BW24" s="204">
        <v>2017</v>
      </c>
      <c r="BX24" s="205">
        <v>6.5</v>
      </c>
      <c r="BY24" s="204">
        <v>0</v>
      </c>
      <c r="BZ24" s="206">
        <v>0</v>
      </c>
      <c r="CA24" s="207">
        <v>2017</v>
      </c>
      <c r="CB24" s="238">
        <v>10.178571428571429</v>
      </c>
      <c r="CC24" s="239">
        <v>30</v>
      </c>
      <c r="CD24" s="648" t="s">
        <v>30</v>
      </c>
      <c r="CE24" s="208">
        <v>14.166666666666666</v>
      </c>
      <c r="CF24" s="204">
        <v>18</v>
      </c>
      <c r="CG24" s="204" t="s">
        <v>105</v>
      </c>
      <c r="CH24" s="204">
        <v>2017</v>
      </c>
      <c r="CI24" s="205">
        <v>6</v>
      </c>
      <c r="CJ24" s="204">
        <v>0</v>
      </c>
      <c r="CK24" s="204">
        <v>0</v>
      </c>
      <c r="CL24" s="204">
        <v>2017</v>
      </c>
      <c r="CM24" s="205">
        <v>5.5</v>
      </c>
      <c r="CN24" s="204">
        <v>2</v>
      </c>
      <c r="CO24" s="204" t="s">
        <v>105</v>
      </c>
      <c r="CP24" s="204">
        <v>2017</v>
      </c>
      <c r="CQ24" s="205">
        <v>5.5</v>
      </c>
      <c r="CR24" s="204">
        <v>0</v>
      </c>
      <c r="CS24" s="209">
        <v>0</v>
      </c>
      <c r="CT24" s="209">
        <v>2017</v>
      </c>
      <c r="CU24" s="238">
        <v>10.035714285714286</v>
      </c>
      <c r="CV24" s="652">
        <v>30</v>
      </c>
      <c r="CW24" s="651" t="s">
        <v>30</v>
      </c>
      <c r="CX24" s="80"/>
      <c r="CY24" s="80"/>
      <c r="CZ24" s="80"/>
      <c r="DA24" s="80"/>
      <c r="DB24" s="80"/>
      <c r="DC24" s="80"/>
      <c r="DD24" s="80"/>
      <c r="DE24" s="80"/>
      <c r="DF24" s="80"/>
      <c r="DG24" s="80"/>
      <c r="DH24" s="80"/>
      <c r="DI24" s="80"/>
      <c r="DJ24" s="80"/>
      <c r="DK24" s="80"/>
      <c r="DL24" s="80"/>
      <c r="DM24" s="80"/>
      <c r="DN24" s="80"/>
      <c r="DO24" s="80"/>
      <c r="DP24" s="80"/>
      <c r="DQ24" s="80"/>
    </row>
    <row r="25" spans="2:121" ht="13.5" customHeight="1">
      <c r="B25" s="92" t="s">
        <v>139</v>
      </c>
      <c r="C25" s="47">
        <v>16</v>
      </c>
      <c r="D25" s="143" t="str">
        <f>IF('كشف النقاط'!B23&gt;0,'كشف النقاط'!B23," ")</f>
        <v>قرايفية </v>
      </c>
      <c r="E25" s="143" t="str">
        <f>IF('كشف النقاط'!C23&gt;0,'كشف النقاط'!C23," ")</f>
        <v>فؤاد</v>
      </c>
      <c r="F25" s="30"/>
      <c r="G25" s="656"/>
      <c r="H25" s="30"/>
      <c r="I25" s="30"/>
      <c r="J25" s="39">
        <f>IF('مداولات 1'!E:E&gt;'استدراك 1'!E:E,'مداولات 1'!E:E,'استدراك 1'!E:E)</f>
        <v>42.75</v>
      </c>
      <c r="K25" s="40">
        <f t="shared" si="0"/>
        <v>7</v>
      </c>
      <c r="L25" s="38" t="str">
        <f>'كشف النقاط'!O66</f>
        <v>د1</v>
      </c>
      <c r="M25" s="39">
        <f>IF('مداولات 1'!G:G&gt;'استدراك 1'!G:G,'مداولات 1'!G:G,'استدراك 1'!G:G)</f>
        <v>14</v>
      </c>
      <c r="N25" s="40">
        <f t="shared" si="1"/>
        <v>0</v>
      </c>
      <c r="O25" s="38" t="str">
        <f>'كشف النقاط'!O23</f>
        <v>د1</v>
      </c>
      <c r="P25" s="39">
        <f>IF('مداولات 1'!I:I&gt;'استدراك 1'!I:I,'مداولات 1'!I:I,'استدراك 1'!I:I)</f>
        <v>23</v>
      </c>
      <c r="Q25" s="40">
        <f t="shared" si="2"/>
        <v>5</v>
      </c>
      <c r="R25" s="40" t="str">
        <f>'كشف النقاط'!O109</f>
        <v>د1</v>
      </c>
      <c r="S25" s="39">
        <f t="shared" si="3"/>
        <v>11.392857142857142</v>
      </c>
      <c r="T25" s="45">
        <f t="shared" si="4"/>
        <v>18</v>
      </c>
      <c r="U25" s="40" t="s">
        <v>30</v>
      </c>
      <c r="V25" s="45">
        <v>2018</v>
      </c>
      <c r="W25" s="45"/>
      <c r="X25" s="39">
        <f>IF('مداولات 1'!M:M&gt;'استدراك 1'!M:M,'مداولات 1'!M:M,'استدراك 1'!M:M)</f>
        <v>24.2</v>
      </c>
      <c r="Y25" s="40">
        <f t="shared" si="5"/>
        <v>5</v>
      </c>
      <c r="Z25" s="40" t="str">
        <f>'كشف النقاط'!O197</f>
        <v>د1</v>
      </c>
      <c r="AA25" s="39">
        <f>IF('مداولات 1'!O:O&gt;'استدراك 1'!O:O,'مداولات 1'!O:O,'استدراك 1'!O:O)</f>
        <v>25.5</v>
      </c>
      <c r="AB25" s="40">
        <f t="shared" si="6"/>
        <v>4</v>
      </c>
      <c r="AC25" s="40" t="str">
        <f>'كشف النقاط'!O153</f>
        <v>د1</v>
      </c>
      <c r="AD25" s="39">
        <f t="shared" si="7"/>
        <v>12.425</v>
      </c>
      <c r="AE25" s="41">
        <f t="shared" si="8"/>
        <v>9</v>
      </c>
      <c r="AF25" s="40" t="s">
        <v>30</v>
      </c>
      <c r="AG25" s="45">
        <v>2018</v>
      </c>
      <c r="AH25" s="118"/>
      <c r="AI25" s="42">
        <f>IF('مداولات 1'!S:S&gt;'استدراك 1'!S:S,'مداولات 1'!S:S,'استدراك 1'!S:S)</f>
        <v>27</v>
      </c>
      <c r="AJ25" s="40">
        <f t="shared" si="9"/>
        <v>2</v>
      </c>
      <c r="AK25" s="40" t="str">
        <f>'كشف النقاط'!O241</f>
        <v>د1</v>
      </c>
      <c r="AL25" s="39">
        <f t="shared" si="10"/>
        <v>13.5</v>
      </c>
      <c r="AM25" s="45">
        <f t="shared" si="11"/>
        <v>2</v>
      </c>
      <c r="AN25" s="45">
        <v>2018</v>
      </c>
      <c r="AO25" s="45" t="s">
        <v>105</v>
      </c>
      <c r="AP25" s="39">
        <f>IF('مداولات 1'!W:W&gt;'استدراك 1'!W:W,'مداولات 1'!W:W,'استدراك 1'!W:W)</f>
        <v>5</v>
      </c>
      <c r="AQ25" s="40">
        <f t="shared" si="12"/>
        <v>0</v>
      </c>
      <c r="AR25" s="40" t="str">
        <f>'كشف النقاط'!O286</f>
        <v>د1</v>
      </c>
      <c r="AS25" s="39">
        <f t="shared" si="13"/>
        <v>5</v>
      </c>
      <c r="AT25" s="109">
        <f t="shared" si="14"/>
        <v>0</v>
      </c>
      <c r="AU25" s="45">
        <v>2018</v>
      </c>
      <c r="AV25" s="109"/>
      <c r="AW25" s="109"/>
      <c r="AX25" s="39">
        <f t="shared" si="15"/>
        <v>11.532142857142857</v>
      </c>
      <c r="AY25" s="46">
        <f t="shared" si="16"/>
        <v>30</v>
      </c>
      <c r="AZ25" s="40" t="s">
        <v>30</v>
      </c>
      <c r="BA25" s="171">
        <v>2018</v>
      </c>
      <c r="BB25" s="120"/>
      <c r="BC25" s="39">
        <f>IF('مداولات 2'!E:E&gt;'استدراك 2'!E:E,'مداولات 2'!E:E,'استدراك 2'!E:E)</f>
        <v>0</v>
      </c>
      <c r="BD25" s="40">
        <f t="shared" si="17"/>
        <v>0</v>
      </c>
      <c r="BE25" s="38" t="str">
        <f>'كشف النقاط'!O371</f>
        <v>د1</v>
      </c>
      <c r="BF25" s="45"/>
      <c r="BG25" s="43">
        <f t="shared" si="18"/>
        <v>0</v>
      </c>
      <c r="BH25" s="46">
        <f t="shared" si="19"/>
        <v>0</v>
      </c>
      <c r="BI25" s="580" t="str">
        <f t="shared" si="20"/>
        <v>د1</v>
      </c>
      <c r="BJ25" s="171">
        <v>2018</v>
      </c>
      <c r="BL25" s="635">
        <v>8.964285714285714</v>
      </c>
      <c r="BM25" s="636">
        <v>0</v>
      </c>
      <c r="BN25" s="636">
        <v>0</v>
      </c>
      <c r="BO25" s="636">
        <v>2017</v>
      </c>
      <c r="BP25" s="637">
        <v>3.875</v>
      </c>
      <c r="BQ25" s="636">
        <v>0</v>
      </c>
      <c r="BR25" s="636">
        <v>0</v>
      </c>
      <c r="BS25" s="636">
        <v>2017</v>
      </c>
      <c r="BT25" s="637">
        <v>14.375</v>
      </c>
      <c r="BU25" s="636">
        <v>1</v>
      </c>
      <c r="BV25" s="636" t="s">
        <v>105</v>
      </c>
      <c r="BW25" s="636">
        <v>2017</v>
      </c>
      <c r="BX25" s="637">
        <v>2.5</v>
      </c>
      <c r="BY25" s="636">
        <v>0</v>
      </c>
      <c r="BZ25" s="638">
        <v>0</v>
      </c>
      <c r="CA25" s="639">
        <v>2017</v>
      </c>
      <c r="CB25" s="623">
        <v>7.821428571428571</v>
      </c>
      <c r="CC25" s="624">
        <v>13</v>
      </c>
      <c r="CD25" s="650" t="s">
        <v>31</v>
      </c>
      <c r="CE25" s="625">
        <v>13.75</v>
      </c>
      <c r="CF25" s="621">
        <v>18</v>
      </c>
      <c r="CG25" s="621" t="s">
        <v>105</v>
      </c>
      <c r="CH25" s="621">
        <v>2017</v>
      </c>
      <c r="CI25" s="622">
        <v>5.65</v>
      </c>
      <c r="CJ25" s="621">
        <v>0</v>
      </c>
      <c r="CK25" s="621">
        <v>0</v>
      </c>
      <c r="CL25" s="621">
        <v>2017</v>
      </c>
      <c r="CM25" s="622">
        <v>11.25</v>
      </c>
      <c r="CN25" s="621">
        <v>2</v>
      </c>
      <c r="CO25" s="621" t="s">
        <v>105</v>
      </c>
      <c r="CP25" s="621">
        <v>2017</v>
      </c>
      <c r="CQ25" s="622">
        <v>11.25</v>
      </c>
      <c r="CR25" s="621">
        <v>1</v>
      </c>
      <c r="CS25" s="626">
        <v>0</v>
      </c>
      <c r="CT25" s="626">
        <v>2017</v>
      </c>
      <c r="CU25" s="623">
        <v>10.178571428571429</v>
      </c>
      <c r="CV25" s="653">
        <v>30</v>
      </c>
      <c r="CW25" s="651" t="s">
        <v>31</v>
      </c>
      <c r="CX25" s="80"/>
      <c r="CY25" s="80"/>
      <c r="CZ25" s="80"/>
      <c r="DA25" s="80"/>
      <c r="DB25" s="80"/>
      <c r="DC25" s="80"/>
      <c r="DD25" s="80"/>
      <c r="DE25" s="80"/>
      <c r="DF25" s="80"/>
      <c r="DG25" s="80"/>
      <c r="DH25" s="80"/>
      <c r="DI25" s="80"/>
      <c r="DJ25" s="80"/>
      <c r="DK25" s="80"/>
      <c r="DL25" s="80"/>
      <c r="DM25" s="80"/>
      <c r="DN25" s="80"/>
      <c r="DO25" s="80"/>
      <c r="DP25" s="80"/>
      <c r="DQ25" s="80"/>
    </row>
    <row r="26" spans="2:121" ht="13.5" customHeight="1">
      <c r="B26" s="92" t="s">
        <v>134</v>
      </c>
      <c r="C26" s="47">
        <v>17</v>
      </c>
      <c r="D26" s="143" t="str">
        <f>IF('كشف النقاط'!B24&gt;0,'كشف النقاط'!B24," ")</f>
        <v>قوادرية</v>
      </c>
      <c r="E26" s="143" t="str">
        <f>IF('كشف النقاط'!C24&gt;0,'كشف النقاط'!C24," ")</f>
        <v>مريم</v>
      </c>
      <c r="F26" s="30"/>
      <c r="G26" s="620"/>
      <c r="H26" s="30"/>
      <c r="I26" s="30"/>
      <c r="J26" s="39">
        <f>IF('مداولات 1'!E:E&gt;'استدراك 1'!E:E,'مداولات 1'!E:E,'استدراك 1'!E:E)</f>
        <v>50.25</v>
      </c>
      <c r="K26" s="40">
        <f t="shared" si="0"/>
        <v>7</v>
      </c>
      <c r="L26" s="38" t="str">
        <f>'كشف النقاط'!O67</f>
        <v>د1</v>
      </c>
      <c r="M26" s="39">
        <f>IF('مداولات 1'!G:G&gt;'استدراك 1'!G:G,'مداولات 1'!G:G,'استدراك 1'!G:G)</f>
        <v>35</v>
      </c>
      <c r="N26" s="40">
        <f t="shared" si="1"/>
        <v>6</v>
      </c>
      <c r="O26" s="38" t="str">
        <f>'كشف النقاط'!O24</f>
        <v>د1</v>
      </c>
      <c r="P26" s="39">
        <f>IF('مداولات 1'!I:I&gt;'استدراك 1'!I:I,'مداولات 1'!I:I,'استدراك 1'!I:I)</f>
        <v>33</v>
      </c>
      <c r="Q26" s="40">
        <f t="shared" si="2"/>
        <v>5</v>
      </c>
      <c r="R26" s="40" t="str">
        <f>'كشف النقاط'!O110</f>
        <v>د1</v>
      </c>
      <c r="S26" s="39">
        <f t="shared" si="3"/>
        <v>16.892857142857142</v>
      </c>
      <c r="T26" s="45">
        <f t="shared" si="4"/>
        <v>18</v>
      </c>
      <c r="U26" s="40" t="s">
        <v>30</v>
      </c>
      <c r="V26" s="45">
        <v>2018</v>
      </c>
      <c r="W26" s="45"/>
      <c r="X26" s="39">
        <f>IF('مداولات 1'!M:M&gt;'استدراك 1'!M:M,'مداولات 1'!M:M,'استدراك 1'!M:M)</f>
        <v>37.3</v>
      </c>
      <c r="Y26" s="40">
        <f t="shared" si="5"/>
        <v>5</v>
      </c>
      <c r="Z26" s="40" t="str">
        <f>'كشف النقاط'!O198</f>
        <v>د1</v>
      </c>
      <c r="AA26" s="39">
        <f>IF('مداولات 1'!O:O&gt;'استدراك 1'!O:O,'مداولات 1'!O:O,'استدراك 1'!O:O)</f>
        <v>28.5</v>
      </c>
      <c r="AB26" s="40">
        <f t="shared" si="6"/>
        <v>4</v>
      </c>
      <c r="AC26" s="40" t="str">
        <f>'كشف النقاط'!O154</f>
        <v>د1</v>
      </c>
      <c r="AD26" s="39">
        <f t="shared" si="7"/>
        <v>16.45</v>
      </c>
      <c r="AE26" s="41">
        <f t="shared" si="8"/>
        <v>9</v>
      </c>
      <c r="AF26" s="40" t="s">
        <v>30</v>
      </c>
      <c r="AG26" s="45">
        <v>2018</v>
      </c>
      <c r="AH26" s="118"/>
      <c r="AI26" s="42">
        <f>IF('مداولات 1'!S:S&gt;'استدراك 1'!S:S,'مداولات 1'!S:S,'استدراك 1'!S:S)</f>
        <v>31</v>
      </c>
      <c r="AJ26" s="40">
        <f t="shared" si="9"/>
        <v>2</v>
      </c>
      <c r="AK26" s="40" t="str">
        <f>'كشف النقاط'!O242</f>
        <v>د1</v>
      </c>
      <c r="AL26" s="39">
        <f t="shared" si="10"/>
        <v>15.5</v>
      </c>
      <c r="AM26" s="45">
        <f t="shared" si="11"/>
        <v>2</v>
      </c>
      <c r="AN26" s="45">
        <v>2018</v>
      </c>
      <c r="AO26" s="45" t="s">
        <v>105</v>
      </c>
      <c r="AP26" s="39">
        <f>IF('مداولات 1'!W:W&gt;'استدراك 1'!W:W,'مداولات 1'!W:W,'استدراك 1'!W:W)</f>
        <v>12</v>
      </c>
      <c r="AQ26" s="40">
        <f t="shared" si="12"/>
        <v>1</v>
      </c>
      <c r="AR26" s="40" t="str">
        <f>'كشف النقاط'!O287</f>
        <v>د1</v>
      </c>
      <c r="AS26" s="39">
        <f t="shared" si="13"/>
        <v>12</v>
      </c>
      <c r="AT26" s="109">
        <f t="shared" si="14"/>
        <v>1</v>
      </c>
      <c r="AU26" s="45">
        <v>2018</v>
      </c>
      <c r="AV26" s="109"/>
      <c r="AW26" s="109"/>
      <c r="AX26" s="39">
        <f t="shared" si="15"/>
        <v>16.217857142857145</v>
      </c>
      <c r="AY26" s="46">
        <f t="shared" si="16"/>
        <v>30</v>
      </c>
      <c r="AZ26" s="40" t="s">
        <v>30</v>
      </c>
      <c r="BA26" s="171">
        <v>2018</v>
      </c>
      <c r="BB26" s="120"/>
      <c r="BC26" s="39">
        <f>IF('مداولات 2'!E:E&gt;'استدراك 2'!E:E,'مداولات 2'!E:E,'استدراك 2'!E:E)</f>
        <v>0</v>
      </c>
      <c r="BD26" s="40">
        <f t="shared" si="17"/>
        <v>0</v>
      </c>
      <c r="BE26" s="38" t="str">
        <f>'كشف النقاط'!O372</f>
        <v>د1</v>
      </c>
      <c r="BF26" s="45"/>
      <c r="BG26" s="43">
        <f t="shared" si="18"/>
        <v>0</v>
      </c>
      <c r="BH26" s="46">
        <f t="shared" si="19"/>
        <v>0</v>
      </c>
      <c r="BI26" s="580" t="str">
        <f t="shared" si="20"/>
        <v>د1</v>
      </c>
      <c r="BJ26" s="171">
        <v>2018</v>
      </c>
      <c r="BL26" s="627">
        <v>9.392857142857142</v>
      </c>
      <c r="BM26" s="628">
        <v>9</v>
      </c>
      <c r="BN26" s="628">
        <v>0</v>
      </c>
      <c r="BO26" s="628">
        <v>2017</v>
      </c>
      <c r="BP26" s="627">
        <v>10.5625</v>
      </c>
      <c r="BQ26" s="628">
        <v>9</v>
      </c>
      <c r="BR26" s="628">
        <v>0</v>
      </c>
      <c r="BS26" s="628">
        <v>2017</v>
      </c>
      <c r="BT26" s="627">
        <v>14.375</v>
      </c>
      <c r="BU26" s="628">
        <v>1</v>
      </c>
      <c r="BV26" s="628" t="s">
        <v>105</v>
      </c>
      <c r="BW26" s="628">
        <v>2017</v>
      </c>
      <c r="BX26" s="627">
        <v>9.25</v>
      </c>
      <c r="BY26" s="628">
        <v>0</v>
      </c>
      <c r="BZ26" s="628">
        <v>0</v>
      </c>
      <c r="CA26" s="628">
        <v>2017</v>
      </c>
      <c r="CB26" s="238">
        <v>10.428571428571429</v>
      </c>
      <c r="CC26" s="629">
        <v>30</v>
      </c>
      <c r="CD26" s="649" t="s">
        <v>31</v>
      </c>
      <c r="CE26" s="627">
        <v>13.916666666666666</v>
      </c>
      <c r="CF26" s="628">
        <v>18</v>
      </c>
      <c r="CG26" s="628" t="s">
        <v>105</v>
      </c>
      <c r="CH26" s="628">
        <v>2017</v>
      </c>
      <c r="CI26" s="627">
        <v>6.25</v>
      </c>
      <c r="CJ26" s="628">
        <v>0</v>
      </c>
      <c r="CK26" s="628">
        <v>0</v>
      </c>
      <c r="CL26" s="628">
        <v>2017</v>
      </c>
      <c r="CM26" s="627">
        <v>10.5</v>
      </c>
      <c r="CN26" s="628">
        <v>2</v>
      </c>
      <c r="CO26" s="628" t="s">
        <v>105</v>
      </c>
      <c r="CP26" s="628">
        <v>2017</v>
      </c>
      <c r="CQ26" s="627">
        <v>10.5</v>
      </c>
      <c r="CR26" s="628">
        <v>1</v>
      </c>
      <c r="CS26" s="628">
        <v>0</v>
      </c>
      <c r="CT26" s="628">
        <v>2017</v>
      </c>
      <c r="CU26" s="238">
        <v>10.482142857142858</v>
      </c>
      <c r="CV26" s="652">
        <v>30</v>
      </c>
      <c r="CW26" s="651" t="s">
        <v>30</v>
      </c>
      <c r="CX26" s="654"/>
      <c r="CY26" s="80"/>
      <c r="CZ26" s="80"/>
      <c r="DA26" s="80"/>
      <c r="DB26" s="80"/>
      <c r="DC26" s="80"/>
      <c r="DD26" s="80"/>
      <c r="DE26" s="80"/>
      <c r="DF26" s="80"/>
      <c r="DG26" s="80"/>
      <c r="DH26" s="80"/>
      <c r="DI26" s="80"/>
      <c r="DJ26" s="80"/>
      <c r="DK26" s="80"/>
      <c r="DL26" s="80"/>
      <c r="DM26" s="80"/>
      <c r="DN26" s="80"/>
      <c r="DO26" s="80"/>
      <c r="DP26" s="80"/>
      <c r="DQ26" s="80"/>
    </row>
    <row r="27" spans="2:121" ht="13.5" customHeight="1">
      <c r="B27" s="92" t="s">
        <v>112</v>
      </c>
      <c r="C27" s="47">
        <v>18</v>
      </c>
      <c r="D27" s="143" t="str">
        <f>IF('كشف النقاط'!B25&gt;0,'كشف النقاط'!B25," ")</f>
        <v>محفوظ </v>
      </c>
      <c r="E27" s="143" t="str">
        <f>IF('كشف النقاط'!C25&gt;0,'كشف النقاط'!C25," ")</f>
        <v>بشرى</v>
      </c>
      <c r="F27" s="183"/>
      <c r="G27" s="184"/>
      <c r="H27" s="183"/>
      <c r="I27" s="183"/>
      <c r="J27" s="39">
        <f>IF('مداولات 1'!E:E&gt;'استدراك 1'!E:E,'مداولات 1'!E:E,'استدراك 1'!E:E)</f>
        <v>49.5</v>
      </c>
      <c r="K27" s="40">
        <f t="shared" si="0"/>
        <v>7</v>
      </c>
      <c r="L27" s="38" t="str">
        <f>'كشف النقاط'!O68</f>
        <v>د1</v>
      </c>
      <c r="M27" s="39">
        <f>IF('مداولات 1'!G:G&gt;'استدراك 1'!G:G,'مداولات 1'!G:G,'استدراك 1'!G:G)</f>
        <v>36.75</v>
      </c>
      <c r="N27" s="40">
        <f t="shared" si="1"/>
        <v>6</v>
      </c>
      <c r="O27" s="38" t="str">
        <f>'كشف النقاط'!O25</f>
        <v>د1</v>
      </c>
      <c r="P27" s="39">
        <f>IF('مداولات 1'!I:I&gt;'استدراك 1'!I:I,'مداولات 1'!I:I,'استدراك 1'!I:I)</f>
        <v>32</v>
      </c>
      <c r="Q27" s="40">
        <f t="shared" si="2"/>
        <v>5</v>
      </c>
      <c r="R27" s="40" t="str">
        <f>'كشف النقاط'!O111</f>
        <v>د1</v>
      </c>
      <c r="S27" s="39">
        <f t="shared" si="3"/>
        <v>16.892857142857142</v>
      </c>
      <c r="T27" s="45">
        <f t="shared" si="4"/>
        <v>18</v>
      </c>
      <c r="U27" s="40" t="s">
        <v>30</v>
      </c>
      <c r="V27" s="45">
        <v>2018</v>
      </c>
      <c r="W27" s="45"/>
      <c r="X27" s="39">
        <f>IF('مداولات 1'!M:M&gt;'استدراك 1'!M:M,'مداولات 1'!M:M,'استدراك 1'!M:M)</f>
        <v>36.8</v>
      </c>
      <c r="Y27" s="40">
        <f t="shared" si="5"/>
        <v>5</v>
      </c>
      <c r="Z27" s="40" t="str">
        <f>'كشف النقاط'!O199</f>
        <v>د1</v>
      </c>
      <c r="AA27" s="39">
        <f>IF('مداولات 1'!O:O&gt;'استدراك 1'!O:O,'مداولات 1'!O:O,'استدراك 1'!O:O)</f>
        <v>26.5</v>
      </c>
      <c r="AB27" s="40">
        <f t="shared" si="6"/>
        <v>4</v>
      </c>
      <c r="AC27" s="40" t="str">
        <f>'كشف النقاط'!O155</f>
        <v>د1</v>
      </c>
      <c r="AD27" s="39">
        <f t="shared" si="7"/>
        <v>15.825</v>
      </c>
      <c r="AE27" s="41">
        <f t="shared" si="8"/>
        <v>9</v>
      </c>
      <c r="AF27" s="40" t="s">
        <v>30</v>
      </c>
      <c r="AG27" s="45">
        <v>2018</v>
      </c>
      <c r="AH27" s="118"/>
      <c r="AI27" s="42">
        <f>IF('مداولات 1'!S:S&gt;'استدراك 1'!S:S,'مداولات 1'!S:S,'استدراك 1'!S:S)</f>
        <v>31</v>
      </c>
      <c r="AJ27" s="40">
        <f t="shared" si="9"/>
        <v>2</v>
      </c>
      <c r="AK27" s="40" t="str">
        <f>'كشف النقاط'!O243</f>
        <v>د1</v>
      </c>
      <c r="AL27" s="39">
        <f t="shared" si="10"/>
        <v>15.5</v>
      </c>
      <c r="AM27" s="45">
        <f t="shared" si="11"/>
        <v>2</v>
      </c>
      <c r="AN27" s="45">
        <v>2018</v>
      </c>
      <c r="AO27" s="45" t="s">
        <v>105</v>
      </c>
      <c r="AP27" s="39">
        <f>IF('مداولات 1'!W:W&gt;'استدراك 1'!W:W,'مداولات 1'!W:W,'استدراك 1'!W:W)</f>
        <v>11.75</v>
      </c>
      <c r="AQ27" s="40">
        <f t="shared" si="12"/>
        <v>1</v>
      </c>
      <c r="AR27" s="40" t="str">
        <f>'كشف النقاط'!O288</f>
        <v>د1</v>
      </c>
      <c r="AS27" s="39">
        <f t="shared" si="13"/>
        <v>11.75</v>
      </c>
      <c r="AT27" s="109">
        <f t="shared" si="14"/>
        <v>1</v>
      </c>
      <c r="AU27" s="45">
        <v>2018</v>
      </c>
      <c r="AV27" s="109"/>
      <c r="AW27" s="109"/>
      <c r="AX27" s="39">
        <f t="shared" si="15"/>
        <v>16.021428571428572</v>
      </c>
      <c r="AY27" s="46">
        <f t="shared" si="16"/>
        <v>30</v>
      </c>
      <c r="AZ27" s="40" t="s">
        <v>30</v>
      </c>
      <c r="BA27" s="171">
        <v>2018</v>
      </c>
      <c r="BB27" s="120"/>
      <c r="BC27" s="39">
        <f>IF('مداولات 2'!E:E&gt;'استدراك 2'!E:E,'مداولات 2'!E:E,'استدراك 2'!E:E)</f>
        <v>0</v>
      </c>
      <c r="BD27" s="40">
        <f t="shared" si="17"/>
        <v>0</v>
      </c>
      <c r="BE27" s="38" t="str">
        <f>'كشف النقاط'!O373</f>
        <v>د1</v>
      </c>
      <c r="BF27" s="45"/>
      <c r="BG27" s="43">
        <f t="shared" si="18"/>
        <v>0</v>
      </c>
      <c r="BH27" s="46">
        <f t="shared" si="19"/>
        <v>0</v>
      </c>
      <c r="BI27" s="580" t="str">
        <f t="shared" si="20"/>
        <v>د1</v>
      </c>
      <c r="BJ27" s="171">
        <v>2018</v>
      </c>
      <c r="CY27" s="80"/>
      <c r="CZ27" s="80"/>
      <c r="DA27" s="80"/>
      <c r="DB27" s="80"/>
      <c r="DC27" s="80"/>
      <c r="DD27" s="80"/>
      <c r="DE27" s="80"/>
      <c r="DF27" s="80"/>
      <c r="DG27" s="80"/>
      <c r="DH27" s="80"/>
      <c r="DI27" s="80"/>
      <c r="DJ27" s="80"/>
      <c r="DK27" s="80"/>
      <c r="DL27" s="80"/>
      <c r="DM27" s="80"/>
      <c r="DN27" s="80"/>
      <c r="DO27" s="80"/>
      <c r="DP27" s="80"/>
      <c r="DQ27" s="80"/>
    </row>
    <row r="28" spans="2:121" ht="13.5" customHeight="1">
      <c r="B28" s="92" t="s">
        <v>141</v>
      </c>
      <c r="C28" s="47">
        <v>19</v>
      </c>
      <c r="D28" s="143" t="str">
        <f>IF('كشف النقاط'!B26&gt;0,'كشف النقاط'!B26," ")</f>
        <v>مسطوري </v>
      </c>
      <c r="E28" s="143" t="str">
        <f>IF('كشف النقاط'!C26&gt;0,'كشف النقاط'!C26," ")</f>
        <v>سارة</v>
      </c>
      <c r="F28" s="183"/>
      <c r="G28" s="184"/>
      <c r="H28" s="183"/>
      <c r="I28" s="183"/>
      <c r="J28" s="39">
        <f>IF('مداولات 1'!E:E&gt;'استدراك 1'!E:E,'مداولات 1'!E:E,'استدراك 1'!E:E)</f>
        <v>36</v>
      </c>
      <c r="K28" s="40">
        <f t="shared" si="0"/>
        <v>7</v>
      </c>
      <c r="L28" s="38" t="str">
        <f>'كشف النقاط'!O69</f>
        <v>د1</v>
      </c>
      <c r="M28" s="39">
        <f>IF('مداولات 1'!G:G&gt;'استدراك 1'!G:G,'مداولات 1'!G:G,'استدراك 1'!G:G)</f>
        <v>12.5</v>
      </c>
      <c r="N28" s="40">
        <f t="shared" si="1"/>
        <v>0</v>
      </c>
      <c r="O28" s="38" t="str">
        <f>'كشف النقاط'!O26</f>
        <v>د1</v>
      </c>
      <c r="P28" s="39">
        <f>IF('مداولات 1'!I:I&gt;'استدراك 1'!I:I,'مداولات 1'!I:I,'استدراك 1'!I:I)</f>
        <v>15</v>
      </c>
      <c r="Q28" s="40">
        <f t="shared" si="2"/>
        <v>0</v>
      </c>
      <c r="R28" s="40" t="str">
        <f>'كشف النقاط'!O112</f>
        <v>د1</v>
      </c>
      <c r="S28" s="39">
        <f t="shared" si="3"/>
        <v>9.071428571428571</v>
      </c>
      <c r="T28" s="45">
        <f t="shared" si="4"/>
        <v>7</v>
      </c>
      <c r="U28" s="40" t="s">
        <v>30</v>
      </c>
      <c r="V28" s="45">
        <v>2018</v>
      </c>
      <c r="W28" s="45"/>
      <c r="X28" s="39">
        <f>IF('مداولات 1'!M:M&gt;'استدراك 1'!M:M,'مداولات 1'!M:M,'استدراك 1'!M:M)</f>
        <v>21</v>
      </c>
      <c r="Y28" s="40">
        <f t="shared" si="5"/>
        <v>5</v>
      </c>
      <c r="Z28" s="40" t="str">
        <f>'كشف النقاط'!O200</f>
        <v>د1</v>
      </c>
      <c r="AA28" s="39">
        <f>IF('مداولات 1'!O:O&gt;'استدراك 1'!O:O,'مداولات 1'!O:O,'استدراك 1'!O:O)</f>
        <v>24</v>
      </c>
      <c r="AB28" s="40">
        <f t="shared" si="6"/>
        <v>4</v>
      </c>
      <c r="AC28" s="40" t="str">
        <f>'كشف النقاط'!O156</f>
        <v>د1</v>
      </c>
      <c r="AD28" s="39">
        <f t="shared" si="7"/>
        <v>11.25</v>
      </c>
      <c r="AE28" s="41">
        <f t="shared" si="8"/>
        <v>9</v>
      </c>
      <c r="AF28" s="40" t="s">
        <v>30</v>
      </c>
      <c r="AG28" s="45">
        <v>2018</v>
      </c>
      <c r="AH28" s="118"/>
      <c r="AI28" s="42">
        <f>IF('مداولات 1'!S:S&gt;'استدراك 1'!S:S,'مداولات 1'!S:S,'استدراك 1'!S:S)</f>
        <v>29</v>
      </c>
      <c r="AJ28" s="40">
        <f t="shared" si="9"/>
        <v>2</v>
      </c>
      <c r="AK28" s="40" t="str">
        <f>'كشف النقاط'!O244</f>
        <v>د1</v>
      </c>
      <c r="AL28" s="39">
        <f t="shared" si="10"/>
        <v>14.5</v>
      </c>
      <c r="AM28" s="45">
        <f t="shared" si="11"/>
        <v>2</v>
      </c>
      <c r="AN28" s="45">
        <v>2018</v>
      </c>
      <c r="AO28" s="45" t="s">
        <v>105</v>
      </c>
      <c r="AP28" s="39">
        <f>IF('مداولات 1'!W:W&gt;'استدراك 1'!W:W,'مداولات 1'!W:W,'استدراك 1'!W:W)</f>
        <v>5.5</v>
      </c>
      <c r="AQ28" s="40">
        <f t="shared" si="12"/>
        <v>0</v>
      </c>
      <c r="AR28" s="40" t="str">
        <f>'كشف النقاط'!O289</f>
        <v>د1</v>
      </c>
      <c r="AS28" s="39">
        <f t="shared" si="13"/>
        <v>5.5</v>
      </c>
      <c r="AT28" s="109">
        <f t="shared" si="14"/>
        <v>0</v>
      </c>
      <c r="AU28" s="45">
        <v>2018</v>
      </c>
      <c r="AV28" s="109"/>
      <c r="AW28" s="109"/>
      <c r="AX28" s="39">
        <f t="shared" si="15"/>
        <v>10.214285714285714</v>
      </c>
      <c r="AY28" s="46">
        <f t="shared" si="16"/>
        <v>30</v>
      </c>
      <c r="AZ28" s="40" t="s">
        <v>30</v>
      </c>
      <c r="BA28" s="171">
        <v>2018</v>
      </c>
      <c r="BB28" s="120"/>
      <c r="BC28" s="39">
        <f>IF('مداولات 2'!E:E&gt;'استدراك 2'!E:E,'مداولات 2'!E:E,'استدراك 2'!E:E)</f>
        <v>0</v>
      </c>
      <c r="BD28" s="40">
        <f t="shared" si="17"/>
        <v>0</v>
      </c>
      <c r="BE28" s="38" t="str">
        <f>'كشف النقاط'!O374</f>
        <v>د1</v>
      </c>
      <c r="BF28" s="45"/>
      <c r="BG28" s="43">
        <f t="shared" si="18"/>
        <v>0</v>
      </c>
      <c r="BH28" s="46">
        <f t="shared" si="19"/>
        <v>0</v>
      </c>
      <c r="BI28" s="580" t="str">
        <f t="shared" si="20"/>
        <v>د1</v>
      </c>
      <c r="BJ28" s="171">
        <v>2018</v>
      </c>
      <c r="CY28" s="80"/>
      <c r="CZ28" s="80"/>
      <c r="DA28" s="80"/>
      <c r="DB28" s="80"/>
      <c r="DC28" s="80"/>
      <c r="DD28" s="80"/>
      <c r="DE28" s="80"/>
      <c r="DF28" s="80"/>
      <c r="DG28" s="80"/>
      <c r="DH28" s="80"/>
      <c r="DI28" s="80"/>
      <c r="DJ28" s="80"/>
      <c r="DK28" s="80"/>
      <c r="DL28" s="80"/>
      <c r="DM28" s="80"/>
      <c r="DN28" s="80"/>
      <c r="DO28" s="80"/>
      <c r="DP28" s="80"/>
      <c r="DQ28" s="80"/>
    </row>
    <row r="29" spans="2:121" ht="13.5" customHeight="1">
      <c r="B29" s="92" t="s">
        <v>142</v>
      </c>
      <c r="C29" s="47">
        <v>20</v>
      </c>
      <c r="D29" s="143" t="str">
        <f>IF('كشف النقاط'!B27&gt;0,'كشف النقاط'!B27," ")</f>
        <v>هداف </v>
      </c>
      <c r="E29" s="143" t="str">
        <f>IF('كشف النقاط'!C27&gt;0,'كشف النقاط'!C27," ")</f>
        <v>حياة</v>
      </c>
      <c r="F29" s="183"/>
      <c r="G29" s="184"/>
      <c r="H29" s="183"/>
      <c r="I29" s="183"/>
      <c r="J29" s="39">
        <f>IF('مداولات 1'!E:E&gt;'استدراك 1'!E:E,'مداولات 1'!E:E,'استدراك 1'!E:E)</f>
        <v>39</v>
      </c>
      <c r="K29" s="40">
        <f t="shared" si="0"/>
        <v>7</v>
      </c>
      <c r="L29" s="38" t="str">
        <f>'كشف النقاط'!O70</f>
        <v>د1</v>
      </c>
      <c r="M29" s="39">
        <f>IF('مداولات 1'!G:G&gt;'استدراك 1'!G:G,'مداولات 1'!G:G,'استدراك 1'!G:G)</f>
        <v>25.75</v>
      </c>
      <c r="N29" s="40">
        <f t="shared" si="1"/>
        <v>6</v>
      </c>
      <c r="O29" s="38" t="str">
        <f>'كشف النقاط'!O27</f>
        <v>د1</v>
      </c>
      <c r="P29" s="39">
        <f>IF('مداولات 1'!I:I&gt;'استدراك 1'!I:I,'مداولات 1'!I:I,'استدراك 1'!I:I)</f>
        <v>21.5</v>
      </c>
      <c r="Q29" s="40">
        <f t="shared" si="2"/>
        <v>5</v>
      </c>
      <c r="R29" s="40" t="str">
        <f>'كشف النقاط'!O113</f>
        <v>د1</v>
      </c>
      <c r="S29" s="39">
        <f t="shared" si="3"/>
        <v>12.321428571428571</v>
      </c>
      <c r="T29" s="45">
        <f t="shared" si="4"/>
        <v>18</v>
      </c>
      <c r="U29" s="40" t="s">
        <v>30</v>
      </c>
      <c r="V29" s="45">
        <v>2018</v>
      </c>
      <c r="W29" s="45"/>
      <c r="X29" s="39">
        <f>IF('مداولات 1'!M:M&gt;'استدراك 1'!M:M,'مداولات 1'!M:M,'استدراك 1'!M:M)</f>
        <v>18.2</v>
      </c>
      <c r="Y29" s="40">
        <f t="shared" si="5"/>
        <v>0</v>
      </c>
      <c r="Z29" s="40" t="str">
        <f>'كشف النقاط'!O201</f>
        <v>د1</v>
      </c>
      <c r="AA29" s="39">
        <f>IF('مداولات 1'!O:O&gt;'استدراك 1'!O:O,'مداولات 1'!O:O,'استدراك 1'!O:O)</f>
        <v>27.5</v>
      </c>
      <c r="AB29" s="40">
        <f t="shared" si="6"/>
        <v>4</v>
      </c>
      <c r="AC29" s="40" t="str">
        <f>'كشف النقاط'!O157</f>
        <v>د1</v>
      </c>
      <c r="AD29" s="39">
        <f t="shared" si="7"/>
        <v>11.425</v>
      </c>
      <c r="AE29" s="41">
        <f t="shared" si="8"/>
        <v>9</v>
      </c>
      <c r="AF29" s="40" t="s">
        <v>30</v>
      </c>
      <c r="AG29" s="45">
        <v>2018</v>
      </c>
      <c r="AH29" s="118"/>
      <c r="AI29" s="42">
        <f>IF('مداولات 1'!S:S&gt;'استدراك 1'!S:S,'مداولات 1'!S:S,'استدراك 1'!S:S)</f>
        <v>25</v>
      </c>
      <c r="AJ29" s="40">
        <f t="shared" si="9"/>
        <v>2</v>
      </c>
      <c r="AK29" s="40" t="str">
        <f>'كشف النقاط'!O245</f>
        <v>د1</v>
      </c>
      <c r="AL29" s="39">
        <f t="shared" si="10"/>
        <v>12.5</v>
      </c>
      <c r="AM29" s="45">
        <f t="shared" si="11"/>
        <v>2</v>
      </c>
      <c r="AN29" s="45">
        <v>2018</v>
      </c>
      <c r="AO29" s="45" t="s">
        <v>105</v>
      </c>
      <c r="AP29" s="39">
        <f>IF('مداولات 1'!W:W&gt;'استدراك 1'!W:W,'مداولات 1'!W:W,'استدراك 1'!W:W)</f>
        <v>8.75</v>
      </c>
      <c r="AQ29" s="40">
        <f t="shared" si="12"/>
        <v>0</v>
      </c>
      <c r="AR29" s="40" t="str">
        <f>'كشف النقاط'!O290</f>
        <v>د1</v>
      </c>
      <c r="AS29" s="39">
        <f t="shared" si="13"/>
        <v>8.75</v>
      </c>
      <c r="AT29" s="109">
        <f t="shared" si="14"/>
        <v>0</v>
      </c>
      <c r="AU29" s="45">
        <v>2018</v>
      </c>
      <c r="AV29" s="109"/>
      <c r="AW29" s="109"/>
      <c r="AX29" s="39">
        <f t="shared" si="15"/>
        <v>11.835714285714285</v>
      </c>
      <c r="AY29" s="46">
        <f t="shared" si="16"/>
        <v>30</v>
      </c>
      <c r="AZ29" s="40" t="s">
        <v>30</v>
      </c>
      <c r="BA29" s="171">
        <v>2018</v>
      </c>
      <c r="BB29" s="120"/>
      <c r="BC29" s="39">
        <f>IF('مداولات 2'!E:E&gt;'استدراك 2'!E:E,'مداولات 2'!E:E,'استدراك 2'!E:E)</f>
        <v>0</v>
      </c>
      <c r="BD29" s="40">
        <f t="shared" si="17"/>
        <v>0</v>
      </c>
      <c r="BE29" s="38" t="str">
        <f>'كشف النقاط'!O375</f>
        <v>د1</v>
      </c>
      <c r="BF29" s="45"/>
      <c r="BG29" s="43">
        <f t="shared" si="18"/>
        <v>0</v>
      </c>
      <c r="BH29" s="46">
        <f t="shared" si="19"/>
        <v>0</v>
      </c>
      <c r="BI29" s="580" t="str">
        <f t="shared" si="20"/>
        <v>د1</v>
      </c>
      <c r="BJ29" s="171">
        <v>2018</v>
      </c>
      <c r="CY29" s="80"/>
      <c r="CZ29" s="80"/>
      <c r="DA29" s="80"/>
      <c r="DB29" s="80"/>
      <c r="DC29" s="80"/>
      <c r="DD29" s="80"/>
      <c r="DE29" s="80"/>
      <c r="DF29" s="80"/>
      <c r="DG29" s="80"/>
      <c r="DH29" s="80"/>
      <c r="DI29" s="80"/>
      <c r="DJ29" s="80"/>
      <c r="DK29" s="80"/>
      <c r="DL29" s="80"/>
      <c r="DM29" s="80"/>
      <c r="DN29" s="80"/>
      <c r="DO29" s="80"/>
      <c r="DP29" s="80"/>
      <c r="DQ29" s="80"/>
    </row>
    <row r="30" spans="2:121" ht="13.5" customHeight="1">
      <c r="B30" s="92" t="s">
        <v>151</v>
      </c>
      <c r="C30" s="47">
        <v>21</v>
      </c>
      <c r="D30" s="143" t="str">
        <f>IF('كشف النقاط'!B28&gt;0,'كشف النقاط'!B28," ")</f>
        <v> </v>
      </c>
      <c r="E30" s="143" t="str">
        <f>IF('كشف النقاط'!C28&gt;0,'كشف النقاط'!C28," ")</f>
        <v> </v>
      </c>
      <c r="F30" s="183"/>
      <c r="G30" s="184"/>
      <c r="H30" s="183"/>
      <c r="I30" s="183"/>
      <c r="J30" s="39">
        <f>IF('مداولات 1'!E:E&gt;'استدراك 1'!E:E,'مداولات 1'!E:E,'استدراك 1'!E:E)</f>
        <v>0</v>
      </c>
      <c r="K30" s="40">
        <f t="shared" si="0"/>
        <v>0</v>
      </c>
      <c r="L30" s="38" t="str">
        <f>'كشف النقاط'!O71</f>
        <v>د1</v>
      </c>
      <c r="M30" s="39">
        <f>IF('مداولات 1'!G:G&gt;'استدراك 1'!G:G,'مداولات 1'!G:G,'استدراك 1'!G:G)</f>
        <v>0</v>
      </c>
      <c r="N30" s="40">
        <f t="shared" si="1"/>
        <v>0</v>
      </c>
      <c r="O30" s="38" t="str">
        <f>'كشف النقاط'!O28</f>
        <v>د1</v>
      </c>
      <c r="P30" s="39">
        <f>IF('مداولات 1'!I:I&gt;'استدراك 1'!I:I,'مداولات 1'!I:I,'استدراك 1'!I:I)</f>
        <v>0</v>
      </c>
      <c r="Q30" s="40">
        <f t="shared" si="2"/>
        <v>0</v>
      </c>
      <c r="R30" s="40" t="str">
        <f>'كشف النقاط'!O114</f>
        <v>د1</v>
      </c>
      <c r="S30" s="39">
        <f t="shared" si="3"/>
        <v>0</v>
      </c>
      <c r="T30" s="45">
        <f t="shared" si="4"/>
        <v>0</v>
      </c>
      <c r="U30" s="40" t="s">
        <v>30</v>
      </c>
      <c r="V30" s="45">
        <v>2018</v>
      </c>
      <c r="W30" s="45"/>
      <c r="X30" s="39">
        <f>IF('مداولات 1'!M:M&gt;'استدراك 1'!M:M,'مداولات 1'!M:M,'استدراك 1'!M:M)</f>
        <v>0</v>
      </c>
      <c r="Y30" s="40">
        <f t="shared" si="5"/>
        <v>0</v>
      </c>
      <c r="Z30" s="40" t="str">
        <f>'كشف النقاط'!O202</f>
        <v>د1</v>
      </c>
      <c r="AA30" s="39">
        <f>IF('مداولات 1'!O:O&gt;'استدراك 1'!O:O,'مداولات 1'!O:O,'استدراك 1'!O:O)</f>
        <v>0</v>
      </c>
      <c r="AB30" s="40">
        <f t="shared" si="6"/>
        <v>0</v>
      </c>
      <c r="AC30" s="40" t="str">
        <f>'كشف النقاط'!O158</f>
        <v>د1</v>
      </c>
      <c r="AD30" s="39">
        <f t="shared" si="7"/>
        <v>0</v>
      </c>
      <c r="AE30" s="41">
        <f t="shared" si="8"/>
        <v>0</v>
      </c>
      <c r="AF30" s="40" t="s">
        <v>30</v>
      </c>
      <c r="AG30" s="45">
        <v>2018</v>
      </c>
      <c r="AH30" s="118"/>
      <c r="AI30" s="42">
        <f>IF('مداولات 1'!S:S&gt;'استدراك 1'!S:S,'مداولات 1'!S:S,'استدراك 1'!S:S)</f>
        <v>0</v>
      </c>
      <c r="AJ30" s="40">
        <f t="shared" si="9"/>
        <v>0</v>
      </c>
      <c r="AK30" s="40" t="str">
        <f>'كشف النقاط'!O246</f>
        <v>د1</v>
      </c>
      <c r="AL30" s="39">
        <f t="shared" si="10"/>
        <v>0</v>
      </c>
      <c r="AM30" s="45">
        <f t="shared" si="11"/>
        <v>0</v>
      </c>
      <c r="AN30" s="45">
        <v>2018</v>
      </c>
      <c r="AO30" s="45" t="s">
        <v>105</v>
      </c>
      <c r="AP30" s="39">
        <f>IF('مداولات 1'!W:W&gt;'استدراك 1'!W:W,'مداولات 1'!W:W,'استدراك 1'!W:W)</f>
        <v>0</v>
      </c>
      <c r="AQ30" s="40">
        <f t="shared" si="12"/>
        <v>0</v>
      </c>
      <c r="AR30" s="40" t="str">
        <f>'كشف النقاط'!O291</f>
        <v>د1</v>
      </c>
      <c r="AS30" s="39">
        <f t="shared" si="13"/>
        <v>0</v>
      </c>
      <c r="AT30" s="109">
        <f t="shared" si="14"/>
        <v>0</v>
      </c>
      <c r="AU30" s="45">
        <v>2018</v>
      </c>
      <c r="AV30" s="109"/>
      <c r="AW30" s="109"/>
      <c r="AX30" s="39">
        <f t="shared" si="15"/>
        <v>0</v>
      </c>
      <c r="AY30" s="46">
        <f t="shared" si="16"/>
        <v>0</v>
      </c>
      <c r="AZ30" s="40" t="s">
        <v>30</v>
      </c>
      <c r="BA30" s="171">
        <v>2018</v>
      </c>
      <c r="BB30" s="120"/>
      <c r="BC30" s="39">
        <f>IF('مداولات 2'!E:E&gt;'استدراك 2'!E:E,'مداولات 2'!E:E,'استدراك 2'!E:E)</f>
        <v>0</v>
      </c>
      <c r="BD30" s="40">
        <f t="shared" si="17"/>
        <v>0</v>
      </c>
      <c r="BE30" s="38" t="str">
        <f>'كشف النقاط'!O376</f>
        <v>د1</v>
      </c>
      <c r="BF30" s="45"/>
      <c r="BG30" s="43">
        <f t="shared" si="18"/>
        <v>0</v>
      </c>
      <c r="BH30" s="46">
        <f t="shared" si="19"/>
        <v>0</v>
      </c>
      <c r="BI30" s="580" t="str">
        <f t="shared" si="20"/>
        <v>د1</v>
      </c>
      <c r="BJ30" s="171">
        <v>2018</v>
      </c>
      <c r="CY30" s="80"/>
      <c r="CZ30" s="80"/>
      <c r="DA30" s="80"/>
      <c r="DB30" s="80"/>
      <c r="DC30" s="80"/>
      <c r="DD30" s="80"/>
      <c r="DE30" s="80"/>
      <c r="DF30" s="80"/>
      <c r="DG30" s="80"/>
      <c r="DH30" s="80"/>
      <c r="DI30" s="80"/>
      <c r="DJ30" s="80"/>
      <c r="DK30" s="80"/>
      <c r="DL30" s="80"/>
      <c r="DM30" s="80"/>
      <c r="DN30" s="80"/>
      <c r="DO30" s="80"/>
      <c r="DP30" s="80"/>
      <c r="DQ30" s="80"/>
    </row>
    <row r="31" spans="2:121" ht="13.5" customHeight="1">
      <c r="B31" s="92" t="s">
        <v>152</v>
      </c>
      <c r="C31" s="47">
        <v>22</v>
      </c>
      <c r="D31" s="143" t="str">
        <f>IF('كشف النقاط'!B29&gt;0,'كشف النقاط'!B29," ")</f>
        <v> </v>
      </c>
      <c r="E31" s="143" t="str">
        <f>IF('كشف النقاط'!C29&gt;0,'كشف النقاط'!C29," ")</f>
        <v> </v>
      </c>
      <c r="F31" s="183"/>
      <c r="G31" s="184"/>
      <c r="H31" s="183"/>
      <c r="I31" s="183"/>
      <c r="J31" s="39">
        <f>IF('مداولات 1'!E:E&gt;'استدراك 1'!E:E,'مداولات 1'!E:E,'استدراك 1'!E:E)</f>
        <v>0</v>
      </c>
      <c r="K31" s="40">
        <f t="shared" si="0"/>
        <v>0</v>
      </c>
      <c r="L31" s="38" t="str">
        <f>'كشف النقاط'!O72</f>
        <v>د1</v>
      </c>
      <c r="M31" s="39">
        <f>IF('مداولات 1'!G:G&gt;'استدراك 1'!G:G,'مداولات 1'!G:G,'استدراك 1'!G:G)</f>
        <v>0</v>
      </c>
      <c r="N31" s="40">
        <f t="shared" si="1"/>
        <v>0</v>
      </c>
      <c r="O31" s="38" t="str">
        <f>'كشف النقاط'!O29</f>
        <v>د1</v>
      </c>
      <c r="P31" s="39">
        <f>IF('مداولات 1'!I:I&gt;'استدراك 1'!I:I,'مداولات 1'!I:I,'استدراك 1'!I:I)</f>
        <v>0</v>
      </c>
      <c r="Q31" s="40">
        <f t="shared" si="2"/>
        <v>0</v>
      </c>
      <c r="R31" s="40" t="str">
        <f>'كشف النقاط'!O115</f>
        <v>د1</v>
      </c>
      <c r="S31" s="39">
        <f t="shared" si="3"/>
        <v>0</v>
      </c>
      <c r="T31" s="45">
        <f t="shared" si="4"/>
        <v>0</v>
      </c>
      <c r="U31" s="40" t="s">
        <v>30</v>
      </c>
      <c r="V31" s="45">
        <v>2018</v>
      </c>
      <c r="W31" s="45"/>
      <c r="X31" s="39">
        <f>IF('مداولات 1'!M:M&gt;'استدراك 1'!M:M,'مداولات 1'!M:M,'استدراك 1'!M:M)</f>
        <v>0</v>
      </c>
      <c r="Y31" s="40">
        <f>IF(X31&lt;20,0,5)</f>
        <v>0</v>
      </c>
      <c r="Z31" s="40" t="str">
        <f>'كشف النقاط'!O203</f>
        <v>د1</v>
      </c>
      <c r="AA31" s="39">
        <f>IF('مداولات 1'!O:O&gt;'استدراك 1'!O:O,'مداولات 1'!O:O,'استدراك 1'!O:O)</f>
        <v>0</v>
      </c>
      <c r="AB31" s="40">
        <f>IF(AA31&lt;20,0,4)</f>
        <v>0</v>
      </c>
      <c r="AC31" s="40" t="str">
        <f>'كشف النقاط'!O159</f>
        <v>د1</v>
      </c>
      <c r="AD31" s="39">
        <f>(X31+AA31)/4</f>
        <v>0</v>
      </c>
      <c r="AE31" s="41">
        <f>IF(AD31&lt;10,AB31+Y31,9)</f>
        <v>0</v>
      </c>
      <c r="AF31" s="40" t="s">
        <v>30</v>
      </c>
      <c r="AG31" s="45">
        <v>2018</v>
      </c>
      <c r="AH31" s="118"/>
      <c r="AI31" s="42">
        <f>IF('مداولات 1'!S:S&gt;'استدراك 1'!S:S,'مداولات 1'!S:S,'استدراك 1'!S:S)</f>
        <v>0</v>
      </c>
      <c r="AJ31" s="40">
        <f t="shared" si="9"/>
        <v>0</v>
      </c>
      <c r="AK31" s="40" t="str">
        <f>'كشف النقاط'!O247</f>
        <v>د1</v>
      </c>
      <c r="AL31" s="39">
        <f t="shared" si="10"/>
        <v>0</v>
      </c>
      <c r="AM31" s="45">
        <f t="shared" si="11"/>
        <v>0</v>
      </c>
      <c r="AN31" s="45">
        <v>2018</v>
      </c>
      <c r="AO31" s="45" t="s">
        <v>105</v>
      </c>
      <c r="AP31" s="39">
        <f>IF('مداولات 1'!W:W&gt;'استدراك 1'!W:W,'مداولات 1'!W:W,'استدراك 1'!W:W)</f>
        <v>0</v>
      </c>
      <c r="AQ31" s="40">
        <f t="shared" si="12"/>
        <v>0</v>
      </c>
      <c r="AR31" s="40" t="str">
        <f>'كشف النقاط'!O292</f>
        <v>د1</v>
      </c>
      <c r="AS31" s="39">
        <f t="shared" si="13"/>
        <v>0</v>
      </c>
      <c r="AT31" s="109">
        <f t="shared" si="14"/>
        <v>0</v>
      </c>
      <c r="AU31" s="45">
        <v>2018</v>
      </c>
      <c r="AV31" s="109"/>
      <c r="AW31" s="109"/>
      <c r="AX31" s="39">
        <f t="shared" si="15"/>
        <v>0</v>
      </c>
      <c r="AY31" s="46">
        <f t="shared" si="16"/>
        <v>0</v>
      </c>
      <c r="AZ31" s="40" t="s">
        <v>30</v>
      </c>
      <c r="BA31" s="171">
        <v>2018</v>
      </c>
      <c r="BB31" s="120"/>
      <c r="BC31" s="39">
        <f>IF('مداولات 2'!E:E&gt;'استدراك 2'!E:E,'مداولات 2'!E:E,'استدراك 2'!E:E)</f>
        <v>0</v>
      </c>
      <c r="BD31" s="40">
        <f t="shared" si="17"/>
        <v>0</v>
      </c>
      <c r="BE31" s="38" t="str">
        <f>'كشف النقاط'!O377</f>
        <v>د1</v>
      </c>
      <c r="BF31" s="45"/>
      <c r="BG31" s="43">
        <f t="shared" si="18"/>
        <v>0</v>
      </c>
      <c r="BH31" s="46">
        <f t="shared" si="19"/>
        <v>0</v>
      </c>
      <c r="BI31" s="580" t="str">
        <f t="shared" si="20"/>
        <v>د1</v>
      </c>
      <c r="BJ31" s="171">
        <v>2018</v>
      </c>
      <c r="BL31" s="203">
        <v>0</v>
      </c>
      <c r="BM31" s="204">
        <v>0</v>
      </c>
      <c r="BN31" s="204">
        <v>0</v>
      </c>
      <c r="BO31" s="204">
        <v>2017</v>
      </c>
      <c r="BP31" s="205">
        <v>0</v>
      </c>
      <c r="BQ31" s="204">
        <v>0</v>
      </c>
      <c r="BR31" s="204">
        <v>0</v>
      </c>
      <c r="BS31" s="204">
        <v>2017</v>
      </c>
      <c r="BT31" s="205">
        <v>0</v>
      </c>
      <c r="BU31" s="204">
        <v>1</v>
      </c>
      <c r="BV31" s="204" t="s">
        <v>105</v>
      </c>
      <c r="BW31" s="204">
        <v>2017</v>
      </c>
      <c r="BX31" s="205">
        <v>0</v>
      </c>
      <c r="BY31" s="204">
        <v>0</v>
      </c>
      <c r="BZ31" s="206">
        <v>0</v>
      </c>
      <c r="CA31" s="207">
        <v>2017</v>
      </c>
      <c r="CB31" s="238">
        <v>0</v>
      </c>
      <c r="CC31" s="239">
        <v>1</v>
      </c>
      <c r="CD31" s="643"/>
      <c r="CE31" s="208">
        <v>0</v>
      </c>
      <c r="CF31" s="204">
        <v>0</v>
      </c>
      <c r="CG31" s="204" t="s">
        <v>105</v>
      </c>
      <c r="CH31" s="204">
        <v>2017</v>
      </c>
      <c r="CI31" s="205">
        <v>0</v>
      </c>
      <c r="CJ31" s="204">
        <v>0</v>
      </c>
      <c r="CK31" s="204">
        <v>0</v>
      </c>
      <c r="CL31" s="204">
        <v>2017</v>
      </c>
      <c r="CM31" s="205">
        <v>0</v>
      </c>
      <c r="CN31" s="204">
        <v>0</v>
      </c>
      <c r="CO31" s="204" t="s">
        <v>105</v>
      </c>
      <c r="CP31" s="204">
        <v>2017</v>
      </c>
      <c r="CQ31" s="205">
        <v>0</v>
      </c>
      <c r="CR31" s="204">
        <v>0</v>
      </c>
      <c r="CS31" s="209">
        <v>0</v>
      </c>
      <c r="CT31" s="209">
        <v>2017</v>
      </c>
      <c r="CU31" s="238">
        <v>0</v>
      </c>
      <c r="CV31" s="242">
        <v>0</v>
      </c>
      <c r="CW31" s="647"/>
      <c r="CX31" s="80"/>
      <c r="CY31" s="80"/>
      <c r="CZ31" s="80"/>
      <c r="DA31" s="80"/>
      <c r="DB31" s="80"/>
      <c r="DC31" s="80"/>
      <c r="DD31" s="80"/>
      <c r="DE31" s="80"/>
      <c r="DF31" s="80"/>
      <c r="DG31" s="80"/>
      <c r="DH31" s="80"/>
      <c r="DI31" s="80"/>
      <c r="DJ31" s="80"/>
      <c r="DK31" s="80"/>
      <c r="DL31" s="80"/>
      <c r="DM31" s="80"/>
      <c r="DN31" s="80"/>
      <c r="DO31" s="80"/>
      <c r="DP31" s="80"/>
      <c r="DQ31" s="80"/>
    </row>
    <row r="32" spans="2:121" ht="13.5" customHeight="1">
      <c r="B32" s="92" t="s">
        <v>153</v>
      </c>
      <c r="C32" s="47">
        <v>23</v>
      </c>
      <c r="D32" s="143" t="str">
        <f>IF('كشف النقاط'!B30&gt;0,'كشف النقاط'!B30," ")</f>
        <v> </v>
      </c>
      <c r="E32" s="143" t="str">
        <f>IF('كشف النقاط'!C30&gt;0,'كشف النقاط'!C30," ")</f>
        <v> </v>
      </c>
      <c r="F32" s="183"/>
      <c r="G32" s="184"/>
      <c r="H32" s="183"/>
      <c r="I32" s="183"/>
      <c r="J32" s="39">
        <f>IF('مداولات 1'!E:E&gt;'استدراك 1'!E:E,'مداولات 1'!E:E,'استدراك 1'!E:E)</f>
        <v>0</v>
      </c>
      <c r="K32" s="40">
        <f t="shared" si="0"/>
        <v>0</v>
      </c>
      <c r="L32" s="38" t="str">
        <f>'كشف النقاط'!O73</f>
        <v>د1</v>
      </c>
      <c r="M32" s="39">
        <f>IF('مداولات 1'!G:G&gt;'استدراك 1'!G:G,'مداولات 1'!G:G,'استدراك 1'!G:G)</f>
        <v>0</v>
      </c>
      <c r="N32" s="40">
        <f t="shared" si="1"/>
        <v>0</v>
      </c>
      <c r="O32" s="38" t="str">
        <f>'كشف النقاط'!O30</f>
        <v>د1</v>
      </c>
      <c r="P32" s="39">
        <f>IF('مداولات 1'!I:I&gt;'استدراك 1'!I:I,'مداولات 1'!I:I,'استدراك 1'!I:I)</f>
        <v>0</v>
      </c>
      <c r="Q32" s="40">
        <f t="shared" si="2"/>
        <v>0</v>
      </c>
      <c r="R32" s="40" t="str">
        <f>'كشف النقاط'!O116</f>
        <v>د1</v>
      </c>
      <c r="S32" s="39">
        <f t="shared" si="3"/>
        <v>0</v>
      </c>
      <c r="T32" s="45">
        <f t="shared" si="4"/>
        <v>0</v>
      </c>
      <c r="U32" s="40" t="s">
        <v>30</v>
      </c>
      <c r="V32" s="45">
        <v>2018</v>
      </c>
      <c r="W32" s="45"/>
      <c r="X32" s="39">
        <f>IF('مداولات 1'!M:M&gt;'استدراك 1'!M:M,'مداولات 1'!M:M,'استدراك 1'!M:M)</f>
        <v>0</v>
      </c>
      <c r="Y32" s="40">
        <f t="shared" si="5"/>
        <v>0</v>
      </c>
      <c r="Z32" s="40" t="str">
        <f>'كشف النقاط'!O204</f>
        <v>د1</v>
      </c>
      <c r="AA32" s="39">
        <f>IF('مداولات 1'!O:O&gt;'استدراك 1'!O:O,'مداولات 1'!O:O,'استدراك 1'!O:O)</f>
        <v>0</v>
      </c>
      <c r="AB32" s="40">
        <f t="shared" si="6"/>
        <v>0</v>
      </c>
      <c r="AC32" s="40" t="str">
        <f>'كشف النقاط'!O160</f>
        <v>د1</v>
      </c>
      <c r="AD32" s="39">
        <f aca="true" t="shared" si="21" ref="AD32:AD43">(X32+AA32)/4</f>
        <v>0</v>
      </c>
      <c r="AE32" s="41">
        <f aca="true" t="shared" si="22" ref="AE32:AE43">IF(AD32&lt;10,AB32+Y32,9)</f>
        <v>0</v>
      </c>
      <c r="AF32" s="40" t="s">
        <v>30</v>
      </c>
      <c r="AG32" s="45">
        <v>2018</v>
      </c>
      <c r="AH32" s="118"/>
      <c r="AI32" s="42">
        <f>IF('مداولات 1'!S:S&gt;'استدراك 1'!S:S,'مداولات 1'!S:S,'استدراك 1'!S:S)</f>
        <v>0</v>
      </c>
      <c r="AJ32" s="40">
        <f t="shared" si="9"/>
        <v>0</v>
      </c>
      <c r="AK32" s="40" t="str">
        <f>'كشف النقاط'!O248</f>
        <v>د1</v>
      </c>
      <c r="AL32" s="39">
        <f t="shared" si="10"/>
        <v>0</v>
      </c>
      <c r="AM32" s="45">
        <f t="shared" si="11"/>
        <v>0</v>
      </c>
      <c r="AN32" s="45">
        <v>2018</v>
      </c>
      <c r="AO32" s="45" t="s">
        <v>105</v>
      </c>
      <c r="AP32" s="39">
        <f>IF('مداولات 1'!W:W&gt;'استدراك 1'!W:W,'مداولات 1'!W:W,'استدراك 1'!W:W)</f>
        <v>0</v>
      </c>
      <c r="AQ32" s="40">
        <f t="shared" si="12"/>
        <v>0</v>
      </c>
      <c r="AR32" s="40" t="str">
        <f>'كشف النقاط'!O293</f>
        <v>د1</v>
      </c>
      <c r="AS32" s="39">
        <f t="shared" si="13"/>
        <v>0</v>
      </c>
      <c r="AT32" s="109">
        <f t="shared" si="14"/>
        <v>0</v>
      </c>
      <c r="AU32" s="45">
        <v>2018</v>
      </c>
      <c r="AV32" s="109"/>
      <c r="AW32" s="109"/>
      <c r="AX32" s="39">
        <f t="shared" si="15"/>
        <v>0</v>
      </c>
      <c r="AY32" s="46">
        <f t="shared" si="16"/>
        <v>0</v>
      </c>
      <c r="AZ32" s="40" t="s">
        <v>30</v>
      </c>
      <c r="BA32" s="171">
        <v>2018</v>
      </c>
      <c r="BB32" s="120"/>
      <c r="BC32" s="39">
        <f>IF('مداولات 2'!E:E&gt;'استدراك 2'!E:E,'مداولات 2'!E:E,'استدراك 2'!E:E)</f>
        <v>0</v>
      </c>
      <c r="BD32" s="40">
        <f t="shared" si="17"/>
        <v>0</v>
      </c>
      <c r="BE32" s="38" t="str">
        <f>'كشف النقاط'!O378</f>
        <v>د1</v>
      </c>
      <c r="BF32" s="45"/>
      <c r="BG32" s="43">
        <f t="shared" si="18"/>
        <v>0</v>
      </c>
      <c r="BH32" s="46">
        <f t="shared" si="19"/>
        <v>0</v>
      </c>
      <c r="BI32" s="580" t="str">
        <f t="shared" si="20"/>
        <v>د1</v>
      </c>
      <c r="BJ32" s="171">
        <v>2018</v>
      </c>
      <c r="BL32" s="203">
        <v>0</v>
      </c>
      <c r="BM32" s="204">
        <v>0</v>
      </c>
      <c r="BN32" s="204">
        <v>0</v>
      </c>
      <c r="BO32" s="204">
        <v>2017</v>
      </c>
      <c r="BP32" s="205">
        <v>0</v>
      </c>
      <c r="BQ32" s="204">
        <v>0</v>
      </c>
      <c r="BR32" s="204">
        <v>0</v>
      </c>
      <c r="BS32" s="204">
        <v>2017</v>
      </c>
      <c r="BT32" s="205">
        <v>0</v>
      </c>
      <c r="BU32" s="204">
        <v>1</v>
      </c>
      <c r="BV32" s="204" t="s">
        <v>105</v>
      </c>
      <c r="BW32" s="204">
        <v>2017</v>
      </c>
      <c r="BX32" s="205">
        <v>0</v>
      </c>
      <c r="BY32" s="204">
        <v>0</v>
      </c>
      <c r="BZ32" s="206">
        <v>0</v>
      </c>
      <c r="CA32" s="207">
        <v>2017</v>
      </c>
      <c r="CB32" s="238">
        <v>0</v>
      </c>
      <c r="CC32" s="239">
        <v>1</v>
      </c>
      <c r="CD32" s="643"/>
      <c r="CE32" s="208">
        <v>0</v>
      </c>
      <c r="CF32" s="204">
        <v>0</v>
      </c>
      <c r="CG32" s="204" t="s">
        <v>105</v>
      </c>
      <c r="CH32" s="204">
        <v>2017</v>
      </c>
      <c r="CI32" s="205">
        <v>0</v>
      </c>
      <c r="CJ32" s="204">
        <v>0</v>
      </c>
      <c r="CK32" s="204">
        <v>0</v>
      </c>
      <c r="CL32" s="204">
        <v>2017</v>
      </c>
      <c r="CM32" s="205">
        <v>0</v>
      </c>
      <c r="CN32" s="204">
        <v>0</v>
      </c>
      <c r="CO32" s="204" t="s">
        <v>105</v>
      </c>
      <c r="CP32" s="204">
        <v>2017</v>
      </c>
      <c r="CQ32" s="205">
        <v>0</v>
      </c>
      <c r="CR32" s="204">
        <v>0</v>
      </c>
      <c r="CS32" s="209">
        <v>0</v>
      </c>
      <c r="CT32" s="209">
        <v>2017</v>
      </c>
      <c r="CU32" s="238">
        <v>0</v>
      </c>
      <c r="CV32" s="242">
        <v>0</v>
      </c>
      <c r="CW32" s="647"/>
      <c r="CX32" s="80"/>
      <c r="CY32" s="80"/>
      <c r="CZ32" s="80"/>
      <c r="DA32" s="80"/>
      <c r="DB32" s="80"/>
      <c r="DC32" s="80"/>
      <c r="DD32" s="80"/>
      <c r="DE32" s="80"/>
      <c r="DF32" s="80"/>
      <c r="DG32" s="80"/>
      <c r="DH32" s="80"/>
      <c r="DI32" s="80"/>
      <c r="DJ32" s="80"/>
      <c r="DK32" s="80"/>
      <c r="DL32" s="80"/>
      <c r="DM32" s="80"/>
      <c r="DN32" s="80"/>
      <c r="DO32" s="80"/>
      <c r="DP32" s="80"/>
      <c r="DQ32" s="80"/>
    </row>
    <row r="33" spans="2:121" ht="13.5" customHeight="1">
      <c r="B33" s="92" t="s">
        <v>154</v>
      </c>
      <c r="C33" s="47">
        <v>24</v>
      </c>
      <c r="D33" s="143" t="str">
        <f>IF('كشف النقاط'!B31&gt;0,'كشف النقاط'!B31," ")</f>
        <v> </v>
      </c>
      <c r="E33" s="143" t="str">
        <f>IF('كشف النقاط'!C31&gt;0,'كشف النقاط'!C31," ")</f>
        <v> </v>
      </c>
      <c r="F33" s="183"/>
      <c r="G33" s="184"/>
      <c r="H33" s="183"/>
      <c r="I33" s="183"/>
      <c r="J33" s="39">
        <f>IF('مداولات 1'!E:E&gt;'استدراك 1'!E:E,'مداولات 1'!E:E,'استدراك 1'!E:E)</f>
        <v>0</v>
      </c>
      <c r="K33" s="40">
        <f t="shared" si="0"/>
        <v>0</v>
      </c>
      <c r="L33" s="38" t="str">
        <f>'كشف النقاط'!O74</f>
        <v>د1</v>
      </c>
      <c r="M33" s="39">
        <f>IF('مداولات 1'!G:G&gt;'استدراك 1'!G:G,'مداولات 1'!G:G,'استدراك 1'!G:G)</f>
        <v>0</v>
      </c>
      <c r="N33" s="40">
        <f t="shared" si="1"/>
        <v>0</v>
      </c>
      <c r="O33" s="38" t="str">
        <f>'كشف النقاط'!O31</f>
        <v>د1</v>
      </c>
      <c r="P33" s="39">
        <f>IF('مداولات 1'!I:I&gt;'استدراك 1'!I:I,'مداولات 1'!I:I,'استدراك 1'!I:I)</f>
        <v>0</v>
      </c>
      <c r="Q33" s="40">
        <f>IF(P33&lt;20,0,5)</f>
        <v>0</v>
      </c>
      <c r="R33" s="40" t="str">
        <f>'كشف النقاط'!O117</f>
        <v>د1</v>
      </c>
      <c r="S33" s="39">
        <f t="shared" si="3"/>
        <v>0</v>
      </c>
      <c r="T33" s="45">
        <f t="shared" si="4"/>
        <v>0</v>
      </c>
      <c r="U33" s="40" t="s">
        <v>30</v>
      </c>
      <c r="V33" s="45">
        <v>2018</v>
      </c>
      <c r="W33" s="45"/>
      <c r="X33" s="39">
        <f>IF('مداولات 1'!M:M&gt;'استدراك 1'!M:M,'مداولات 1'!M:M,'استدراك 1'!M:M)</f>
        <v>0</v>
      </c>
      <c r="Y33" s="40">
        <f t="shared" si="5"/>
        <v>0</v>
      </c>
      <c r="Z33" s="40" t="str">
        <f>'كشف النقاط'!O205</f>
        <v>د1</v>
      </c>
      <c r="AA33" s="39">
        <f>IF('مداولات 1'!O:O&gt;'استدراك 1'!O:O,'مداولات 1'!O:O,'استدراك 1'!O:O)</f>
        <v>0</v>
      </c>
      <c r="AB33" s="40">
        <f t="shared" si="6"/>
        <v>0</v>
      </c>
      <c r="AC33" s="40" t="str">
        <f>'كشف النقاط'!O161</f>
        <v>د1</v>
      </c>
      <c r="AD33" s="39">
        <f t="shared" si="21"/>
        <v>0</v>
      </c>
      <c r="AE33" s="41">
        <f t="shared" si="22"/>
        <v>0</v>
      </c>
      <c r="AF33" s="40" t="s">
        <v>30</v>
      </c>
      <c r="AG33" s="45">
        <v>2018</v>
      </c>
      <c r="AH33" s="118"/>
      <c r="AI33" s="42">
        <f>IF('مداولات 1'!S:S&gt;'استدراك 1'!S:S,'مداولات 1'!S:S,'استدراك 1'!S:S)</f>
        <v>0</v>
      </c>
      <c r="AJ33" s="40">
        <f t="shared" si="9"/>
        <v>0</v>
      </c>
      <c r="AK33" s="40" t="str">
        <f>'كشف النقاط'!O249</f>
        <v>د1</v>
      </c>
      <c r="AL33" s="39">
        <f t="shared" si="10"/>
        <v>0</v>
      </c>
      <c r="AM33" s="45">
        <f t="shared" si="11"/>
        <v>0</v>
      </c>
      <c r="AN33" s="45">
        <v>2018</v>
      </c>
      <c r="AO33" s="45" t="s">
        <v>105</v>
      </c>
      <c r="AP33" s="39">
        <f>IF('مداولات 1'!W:W&gt;'استدراك 1'!W:W,'مداولات 1'!W:W,'استدراك 1'!W:W)</f>
        <v>0</v>
      </c>
      <c r="AQ33" s="40">
        <f t="shared" si="12"/>
        <v>0</v>
      </c>
      <c r="AR33" s="40" t="str">
        <f>'كشف النقاط'!O294</f>
        <v>د1</v>
      </c>
      <c r="AS33" s="39">
        <f t="shared" si="13"/>
        <v>0</v>
      </c>
      <c r="AT33" s="109">
        <f t="shared" si="14"/>
        <v>0</v>
      </c>
      <c r="AU33" s="45">
        <v>2018</v>
      </c>
      <c r="AV33" s="109"/>
      <c r="AW33" s="109"/>
      <c r="AX33" s="39">
        <f t="shared" si="15"/>
        <v>0</v>
      </c>
      <c r="AY33" s="46">
        <f t="shared" si="16"/>
        <v>0</v>
      </c>
      <c r="AZ33" s="40" t="s">
        <v>30</v>
      </c>
      <c r="BA33" s="171">
        <v>2018</v>
      </c>
      <c r="BB33" s="120"/>
      <c r="BC33" s="39">
        <f>IF('مداولات 2'!E:E&gt;'استدراك 2'!E:E,'مداولات 2'!E:E,'استدراك 2'!E:E)</f>
        <v>0</v>
      </c>
      <c r="BD33" s="40">
        <f t="shared" si="17"/>
        <v>0</v>
      </c>
      <c r="BE33" s="38" t="str">
        <f>'كشف النقاط'!O379</f>
        <v>د1</v>
      </c>
      <c r="BF33" s="45"/>
      <c r="BG33" s="43">
        <f t="shared" si="18"/>
        <v>0</v>
      </c>
      <c r="BH33" s="46">
        <f t="shared" si="19"/>
        <v>0</v>
      </c>
      <c r="BI33" s="580" t="str">
        <f t="shared" si="20"/>
        <v>د1</v>
      </c>
      <c r="BJ33" s="171">
        <v>2018</v>
      </c>
      <c r="BL33" s="203">
        <v>0</v>
      </c>
      <c r="BM33" s="204">
        <v>0</v>
      </c>
      <c r="BN33" s="204">
        <v>0</v>
      </c>
      <c r="BO33" s="204">
        <v>2017</v>
      </c>
      <c r="BP33" s="205">
        <v>0</v>
      </c>
      <c r="BQ33" s="204">
        <v>0</v>
      </c>
      <c r="BR33" s="204">
        <v>0</v>
      </c>
      <c r="BS33" s="204">
        <v>2017</v>
      </c>
      <c r="BT33" s="205">
        <v>0</v>
      </c>
      <c r="BU33" s="204">
        <v>1</v>
      </c>
      <c r="BV33" s="204" t="s">
        <v>105</v>
      </c>
      <c r="BW33" s="204">
        <v>2017</v>
      </c>
      <c r="BX33" s="205">
        <v>0</v>
      </c>
      <c r="BY33" s="204">
        <v>0</v>
      </c>
      <c r="BZ33" s="206">
        <v>0</v>
      </c>
      <c r="CA33" s="207">
        <v>2017</v>
      </c>
      <c r="CB33" s="238">
        <v>0</v>
      </c>
      <c r="CC33" s="239">
        <v>1</v>
      </c>
      <c r="CD33" s="643"/>
      <c r="CE33" s="208">
        <v>0</v>
      </c>
      <c r="CF33" s="204">
        <v>0</v>
      </c>
      <c r="CG33" s="204" t="s">
        <v>105</v>
      </c>
      <c r="CH33" s="204">
        <v>2017</v>
      </c>
      <c r="CI33" s="205">
        <v>0</v>
      </c>
      <c r="CJ33" s="204">
        <v>0</v>
      </c>
      <c r="CK33" s="204">
        <v>0</v>
      </c>
      <c r="CL33" s="204">
        <v>2017</v>
      </c>
      <c r="CM33" s="205">
        <v>0</v>
      </c>
      <c r="CN33" s="204">
        <v>0</v>
      </c>
      <c r="CO33" s="204" t="s">
        <v>105</v>
      </c>
      <c r="CP33" s="204">
        <v>2017</v>
      </c>
      <c r="CQ33" s="205">
        <v>0</v>
      </c>
      <c r="CR33" s="204">
        <v>0</v>
      </c>
      <c r="CS33" s="209">
        <v>0</v>
      </c>
      <c r="CT33" s="209">
        <v>2017</v>
      </c>
      <c r="CU33" s="238">
        <v>0</v>
      </c>
      <c r="CV33" s="242">
        <v>0</v>
      </c>
      <c r="CW33" s="647"/>
      <c r="CX33" s="80"/>
      <c r="CY33" s="80"/>
      <c r="CZ33" s="80"/>
      <c r="DA33" s="80"/>
      <c r="DB33" s="80"/>
      <c r="DC33" s="80"/>
      <c r="DD33" s="80"/>
      <c r="DE33" s="80"/>
      <c r="DF33" s="80"/>
      <c r="DG33" s="80"/>
      <c r="DH33" s="80"/>
      <c r="DI33" s="80"/>
      <c r="DJ33" s="80"/>
      <c r="DK33" s="80"/>
      <c r="DL33" s="80"/>
      <c r="DM33" s="80"/>
      <c r="DN33" s="80"/>
      <c r="DO33" s="80"/>
      <c r="DP33" s="80"/>
      <c r="DQ33" s="80"/>
    </row>
    <row r="34" spans="2:121" ht="13.5" customHeight="1">
      <c r="B34" s="92" t="s">
        <v>143</v>
      </c>
      <c r="C34" s="47">
        <v>25</v>
      </c>
      <c r="D34" s="143" t="str">
        <f>IF('كشف النقاط'!B32&gt;0,'كشف النقاط'!B32," ")</f>
        <v> </v>
      </c>
      <c r="E34" s="143" t="str">
        <f>IF('كشف النقاط'!C32&gt;0,'كشف النقاط'!C32," ")</f>
        <v> </v>
      </c>
      <c r="F34" s="183"/>
      <c r="G34" s="184"/>
      <c r="H34" s="183"/>
      <c r="I34" s="183"/>
      <c r="J34" s="39">
        <f>IF('مداولات 1'!E:E&gt;'استدراك 1'!E:E,'مداولات 1'!E:E,'استدراك 1'!E:E)</f>
        <v>0</v>
      </c>
      <c r="K34" s="40">
        <f t="shared" si="0"/>
        <v>0</v>
      </c>
      <c r="L34" s="38" t="str">
        <f>'كشف النقاط'!O75</f>
        <v>د1</v>
      </c>
      <c r="M34" s="39">
        <f>IF('مداولات 1'!G:G&gt;'استدراك 1'!G:G,'مداولات 1'!G:G,'استدراك 1'!G:G)</f>
        <v>0</v>
      </c>
      <c r="N34" s="40">
        <f t="shared" si="1"/>
        <v>0</v>
      </c>
      <c r="O34" s="38" t="str">
        <f>'كشف النقاط'!O32</f>
        <v>د1</v>
      </c>
      <c r="P34" s="39">
        <f>IF('مداولات 1'!I:I&gt;'استدراك 1'!I:I,'مداولات 1'!I:I,'استدراك 1'!I:I)</f>
        <v>0</v>
      </c>
      <c r="Q34" s="40">
        <f t="shared" si="2"/>
        <v>0</v>
      </c>
      <c r="R34" s="40" t="str">
        <f>'كشف النقاط'!O118</f>
        <v>د1</v>
      </c>
      <c r="S34" s="39">
        <f t="shared" si="3"/>
        <v>0</v>
      </c>
      <c r="T34" s="45">
        <f t="shared" si="4"/>
        <v>0</v>
      </c>
      <c r="U34" s="40" t="s">
        <v>30</v>
      </c>
      <c r="V34" s="45">
        <v>2018</v>
      </c>
      <c r="W34" s="45"/>
      <c r="X34" s="39">
        <f>IF('مداولات 1'!M:M&gt;'استدراك 1'!M:M,'مداولات 1'!M:M,'استدراك 1'!M:M)</f>
        <v>0</v>
      </c>
      <c r="Y34" s="40">
        <f t="shared" si="5"/>
        <v>0</v>
      </c>
      <c r="Z34" s="40" t="str">
        <f>'كشف النقاط'!O206</f>
        <v>د1</v>
      </c>
      <c r="AA34" s="39">
        <f>IF('مداولات 1'!O:O&gt;'استدراك 1'!O:O,'مداولات 1'!O:O,'استدراك 1'!O:O)</f>
        <v>0</v>
      </c>
      <c r="AB34" s="40">
        <f t="shared" si="6"/>
        <v>0</v>
      </c>
      <c r="AC34" s="40" t="str">
        <f>'كشف النقاط'!O162</f>
        <v>د1</v>
      </c>
      <c r="AD34" s="39">
        <f t="shared" si="21"/>
        <v>0</v>
      </c>
      <c r="AE34" s="41">
        <f t="shared" si="22"/>
        <v>0</v>
      </c>
      <c r="AF34" s="40" t="s">
        <v>30</v>
      </c>
      <c r="AG34" s="45">
        <v>2018</v>
      </c>
      <c r="AH34" s="118"/>
      <c r="AI34" s="42">
        <f>IF('مداولات 1'!S:S&gt;'استدراك 1'!S:S,'مداولات 1'!S:S,'استدراك 1'!S:S)</f>
        <v>0</v>
      </c>
      <c r="AJ34" s="40">
        <f t="shared" si="9"/>
        <v>0</v>
      </c>
      <c r="AK34" s="40" t="str">
        <f>'كشف النقاط'!O250</f>
        <v>د1</v>
      </c>
      <c r="AL34" s="39">
        <f t="shared" si="10"/>
        <v>0</v>
      </c>
      <c r="AM34" s="45">
        <f t="shared" si="11"/>
        <v>0</v>
      </c>
      <c r="AN34" s="45">
        <v>2018</v>
      </c>
      <c r="AO34" s="45" t="s">
        <v>105</v>
      </c>
      <c r="AP34" s="39">
        <f>IF('مداولات 1'!W:W&gt;'استدراك 1'!W:W,'مداولات 1'!W:W,'استدراك 1'!W:W)</f>
        <v>0</v>
      </c>
      <c r="AQ34" s="40">
        <f t="shared" si="12"/>
        <v>0</v>
      </c>
      <c r="AR34" s="40" t="str">
        <f>'كشف النقاط'!O295</f>
        <v>د1</v>
      </c>
      <c r="AS34" s="39">
        <f t="shared" si="13"/>
        <v>0</v>
      </c>
      <c r="AT34" s="109">
        <f t="shared" si="14"/>
        <v>0</v>
      </c>
      <c r="AU34" s="45">
        <v>2018</v>
      </c>
      <c r="AV34" s="109"/>
      <c r="AW34" s="109"/>
      <c r="AX34" s="39">
        <f t="shared" si="15"/>
        <v>0</v>
      </c>
      <c r="AY34" s="46">
        <f t="shared" si="16"/>
        <v>0</v>
      </c>
      <c r="AZ34" s="40" t="s">
        <v>30</v>
      </c>
      <c r="BA34" s="171">
        <v>2018</v>
      </c>
      <c r="BB34" s="120"/>
      <c r="BC34" s="39">
        <f>IF('مداولات 2'!E:E&gt;'استدراك 2'!E:E,'مداولات 2'!E:E,'استدراك 2'!E:E)</f>
        <v>0</v>
      </c>
      <c r="BD34" s="40">
        <f t="shared" si="17"/>
        <v>0</v>
      </c>
      <c r="BE34" s="38" t="str">
        <f>'كشف النقاط'!O380</f>
        <v>د1</v>
      </c>
      <c r="BF34" s="45"/>
      <c r="BG34" s="43">
        <f t="shared" si="18"/>
        <v>0</v>
      </c>
      <c r="BH34" s="46">
        <f t="shared" si="19"/>
        <v>0</v>
      </c>
      <c r="BI34" s="580" t="str">
        <f t="shared" si="20"/>
        <v>د1</v>
      </c>
      <c r="BJ34" s="171">
        <v>2018</v>
      </c>
      <c r="BL34" s="203">
        <v>0</v>
      </c>
      <c r="BM34" s="204">
        <v>0</v>
      </c>
      <c r="BN34" s="204">
        <v>0</v>
      </c>
      <c r="BO34" s="204">
        <v>2017</v>
      </c>
      <c r="BP34" s="205">
        <v>0</v>
      </c>
      <c r="BQ34" s="204">
        <v>0</v>
      </c>
      <c r="BR34" s="204">
        <v>0</v>
      </c>
      <c r="BS34" s="204">
        <v>2017</v>
      </c>
      <c r="BT34" s="205">
        <v>0</v>
      </c>
      <c r="BU34" s="204">
        <v>1</v>
      </c>
      <c r="BV34" s="204" t="s">
        <v>105</v>
      </c>
      <c r="BW34" s="204">
        <v>2017</v>
      </c>
      <c r="BX34" s="205">
        <v>0</v>
      </c>
      <c r="BY34" s="204">
        <v>0</v>
      </c>
      <c r="BZ34" s="206">
        <v>0</v>
      </c>
      <c r="CA34" s="207">
        <v>2017</v>
      </c>
      <c r="CB34" s="238">
        <v>0</v>
      </c>
      <c r="CC34" s="239">
        <v>1</v>
      </c>
      <c r="CD34" s="643"/>
      <c r="CE34" s="208">
        <v>0</v>
      </c>
      <c r="CF34" s="204">
        <v>0</v>
      </c>
      <c r="CG34" s="204" t="s">
        <v>105</v>
      </c>
      <c r="CH34" s="204">
        <v>2017</v>
      </c>
      <c r="CI34" s="205">
        <v>0</v>
      </c>
      <c r="CJ34" s="204">
        <v>0</v>
      </c>
      <c r="CK34" s="204">
        <v>0</v>
      </c>
      <c r="CL34" s="204">
        <v>2017</v>
      </c>
      <c r="CM34" s="205">
        <v>0</v>
      </c>
      <c r="CN34" s="204">
        <v>0</v>
      </c>
      <c r="CO34" s="204" t="s">
        <v>105</v>
      </c>
      <c r="CP34" s="204">
        <v>2017</v>
      </c>
      <c r="CQ34" s="205">
        <v>0</v>
      </c>
      <c r="CR34" s="204">
        <v>0</v>
      </c>
      <c r="CS34" s="209">
        <v>0</v>
      </c>
      <c r="CT34" s="209">
        <v>2017</v>
      </c>
      <c r="CU34" s="238">
        <v>0</v>
      </c>
      <c r="CV34" s="242">
        <v>0</v>
      </c>
      <c r="CW34" s="647"/>
      <c r="CX34" s="80"/>
      <c r="CY34" s="80"/>
      <c r="CZ34" s="80"/>
      <c r="DA34" s="80"/>
      <c r="DB34" s="80"/>
      <c r="DC34" s="80"/>
      <c r="DD34" s="80"/>
      <c r="DE34" s="80"/>
      <c r="DF34" s="80"/>
      <c r="DG34" s="80"/>
      <c r="DH34" s="80"/>
      <c r="DI34" s="80"/>
      <c r="DJ34" s="80"/>
      <c r="DK34" s="80"/>
      <c r="DL34" s="80"/>
      <c r="DM34" s="80"/>
      <c r="DN34" s="80"/>
      <c r="DO34" s="80"/>
      <c r="DP34" s="80"/>
      <c r="DQ34" s="80"/>
    </row>
    <row r="35" spans="2:121" ht="13.5" customHeight="1">
      <c r="B35" s="92" t="s">
        <v>155</v>
      </c>
      <c r="C35" s="47">
        <v>26</v>
      </c>
      <c r="D35" s="143" t="str">
        <f>IF('كشف النقاط'!B33&gt;0,'كشف النقاط'!B33," ")</f>
        <v> </v>
      </c>
      <c r="E35" s="143" t="str">
        <f>IF('كشف النقاط'!C33&gt;0,'كشف النقاط'!C33," ")</f>
        <v> </v>
      </c>
      <c r="F35" s="183"/>
      <c r="G35" s="184"/>
      <c r="H35" s="183"/>
      <c r="I35" s="183"/>
      <c r="J35" s="39">
        <f>IF('مداولات 1'!E:E&gt;'استدراك 1'!E:E,'مداولات 1'!E:E,'استدراك 1'!E:E)</f>
        <v>0</v>
      </c>
      <c r="K35" s="40">
        <f t="shared" si="0"/>
        <v>0</v>
      </c>
      <c r="L35" s="38" t="str">
        <f>'كشف النقاط'!O76</f>
        <v>د1</v>
      </c>
      <c r="M35" s="39">
        <f>IF('مداولات 1'!G:G&gt;'استدراك 1'!G:G,'مداولات 1'!G:G,'استدراك 1'!G:G)</f>
        <v>0</v>
      </c>
      <c r="N35" s="40">
        <f t="shared" si="1"/>
        <v>0</v>
      </c>
      <c r="O35" s="38" t="str">
        <f>'كشف النقاط'!O33</f>
        <v>د1</v>
      </c>
      <c r="P35" s="39">
        <f>IF('مداولات 1'!I:I&gt;'استدراك 1'!I:I,'مداولات 1'!I:I,'استدراك 1'!I:I)</f>
        <v>0</v>
      </c>
      <c r="Q35" s="40">
        <f t="shared" si="2"/>
        <v>0</v>
      </c>
      <c r="R35" s="40" t="str">
        <f>'كشف النقاط'!O119</f>
        <v>د1</v>
      </c>
      <c r="S35" s="39">
        <f t="shared" si="3"/>
        <v>0</v>
      </c>
      <c r="T35" s="45">
        <f t="shared" si="4"/>
        <v>0</v>
      </c>
      <c r="U35" s="40" t="s">
        <v>30</v>
      </c>
      <c r="V35" s="45">
        <v>2018</v>
      </c>
      <c r="W35" s="45"/>
      <c r="X35" s="39">
        <f>IF('مداولات 1'!M:M&gt;'استدراك 1'!M:M,'مداولات 1'!M:M,'استدراك 1'!M:M)</f>
        <v>0</v>
      </c>
      <c r="Y35" s="40">
        <f t="shared" si="5"/>
        <v>0</v>
      </c>
      <c r="Z35" s="40" t="str">
        <f>'كشف النقاط'!O207</f>
        <v>د1</v>
      </c>
      <c r="AA35" s="39">
        <f>IF('مداولات 1'!O:O&gt;'استدراك 1'!O:O,'مداولات 1'!O:O,'استدراك 1'!O:O)</f>
        <v>0</v>
      </c>
      <c r="AB35" s="40">
        <f t="shared" si="6"/>
        <v>0</v>
      </c>
      <c r="AC35" s="40" t="str">
        <f>'كشف النقاط'!O163</f>
        <v>د1</v>
      </c>
      <c r="AD35" s="39">
        <f t="shared" si="21"/>
        <v>0</v>
      </c>
      <c r="AE35" s="41">
        <f t="shared" si="22"/>
        <v>0</v>
      </c>
      <c r="AF35" s="40" t="s">
        <v>30</v>
      </c>
      <c r="AG35" s="45">
        <v>2018</v>
      </c>
      <c r="AH35" s="118"/>
      <c r="AI35" s="42">
        <f>IF('مداولات 1'!S:S&gt;'استدراك 1'!S:S,'مداولات 1'!S:S,'استدراك 1'!S:S)</f>
        <v>0</v>
      </c>
      <c r="AJ35" s="40">
        <f t="shared" si="9"/>
        <v>0</v>
      </c>
      <c r="AK35" s="40" t="str">
        <f>'كشف النقاط'!O251</f>
        <v>د1</v>
      </c>
      <c r="AL35" s="39">
        <f t="shared" si="10"/>
        <v>0</v>
      </c>
      <c r="AM35" s="45">
        <f t="shared" si="11"/>
        <v>0</v>
      </c>
      <c r="AN35" s="45">
        <v>2018</v>
      </c>
      <c r="AO35" s="45" t="s">
        <v>105</v>
      </c>
      <c r="AP35" s="39">
        <f>IF('مداولات 1'!W:W&gt;'استدراك 1'!W:W,'مداولات 1'!W:W,'استدراك 1'!W:W)</f>
        <v>0</v>
      </c>
      <c r="AQ35" s="40">
        <f t="shared" si="12"/>
        <v>0</v>
      </c>
      <c r="AR35" s="40" t="str">
        <f>'كشف النقاط'!O296</f>
        <v>د1</v>
      </c>
      <c r="AS35" s="39">
        <f t="shared" si="13"/>
        <v>0</v>
      </c>
      <c r="AT35" s="109">
        <f t="shared" si="14"/>
        <v>0</v>
      </c>
      <c r="AU35" s="45">
        <v>2018</v>
      </c>
      <c r="AV35" s="109"/>
      <c r="AW35" s="109"/>
      <c r="AX35" s="39">
        <f t="shared" si="15"/>
        <v>0</v>
      </c>
      <c r="AY35" s="46">
        <f t="shared" si="16"/>
        <v>0</v>
      </c>
      <c r="AZ35" s="40" t="s">
        <v>30</v>
      </c>
      <c r="BA35" s="171">
        <v>2018</v>
      </c>
      <c r="BB35" s="120"/>
      <c r="BC35" s="39">
        <f>IF('مداولات 2'!E:E&gt;'استدراك 2'!E:E,'مداولات 2'!E:E,'استدراك 2'!E:E)</f>
        <v>0</v>
      </c>
      <c r="BD35" s="40">
        <f t="shared" si="17"/>
        <v>0</v>
      </c>
      <c r="BE35" s="38" t="str">
        <f>'كشف النقاط'!O381</f>
        <v>د1</v>
      </c>
      <c r="BF35" s="45"/>
      <c r="BG35" s="43">
        <f t="shared" si="18"/>
        <v>0</v>
      </c>
      <c r="BH35" s="46">
        <f t="shared" si="19"/>
        <v>0</v>
      </c>
      <c r="BI35" s="580" t="str">
        <f t="shared" si="20"/>
        <v>د1</v>
      </c>
      <c r="BJ35" s="171">
        <v>2018</v>
      </c>
      <c r="BL35" s="203">
        <v>0</v>
      </c>
      <c r="BM35" s="204">
        <v>0</v>
      </c>
      <c r="BN35" s="204">
        <v>0</v>
      </c>
      <c r="BO35" s="204">
        <v>2017</v>
      </c>
      <c r="BP35" s="205">
        <v>0</v>
      </c>
      <c r="BQ35" s="204">
        <v>0</v>
      </c>
      <c r="BR35" s="204">
        <v>0</v>
      </c>
      <c r="BS35" s="204">
        <v>2017</v>
      </c>
      <c r="BT35" s="205">
        <v>0</v>
      </c>
      <c r="BU35" s="204">
        <v>1</v>
      </c>
      <c r="BV35" s="204" t="s">
        <v>105</v>
      </c>
      <c r="BW35" s="204">
        <v>2017</v>
      </c>
      <c r="BX35" s="205">
        <v>0</v>
      </c>
      <c r="BY35" s="204">
        <v>0</v>
      </c>
      <c r="BZ35" s="206">
        <v>0</v>
      </c>
      <c r="CA35" s="207">
        <v>2017</v>
      </c>
      <c r="CB35" s="238">
        <v>0</v>
      </c>
      <c r="CC35" s="239">
        <v>1</v>
      </c>
      <c r="CD35" s="643"/>
      <c r="CE35" s="208">
        <v>0</v>
      </c>
      <c r="CF35" s="204">
        <v>0</v>
      </c>
      <c r="CG35" s="204" t="s">
        <v>105</v>
      </c>
      <c r="CH35" s="204">
        <v>2017</v>
      </c>
      <c r="CI35" s="205">
        <v>0</v>
      </c>
      <c r="CJ35" s="204">
        <v>0</v>
      </c>
      <c r="CK35" s="204">
        <v>0</v>
      </c>
      <c r="CL35" s="204">
        <v>2017</v>
      </c>
      <c r="CM35" s="205">
        <v>0</v>
      </c>
      <c r="CN35" s="204">
        <v>0</v>
      </c>
      <c r="CO35" s="204" t="s">
        <v>105</v>
      </c>
      <c r="CP35" s="204">
        <v>2017</v>
      </c>
      <c r="CQ35" s="205">
        <v>0</v>
      </c>
      <c r="CR35" s="204">
        <v>0</v>
      </c>
      <c r="CS35" s="209">
        <v>0</v>
      </c>
      <c r="CT35" s="209">
        <v>2017</v>
      </c>
      <c r="CU35" s="238">
        <v>0</v>
      </c>
      <c r="CV35" s="242">
        <v>0</v>
      </c>
      <c r="CW35" s="647"/>
      <c r="CX35" s="80"/>
      <c r="CY35" s="80"/>
      <c r="CZ35" s="80"/>
      <c r="DA35" s="80"/>
      <c r="DB35" s="80"/>
      <c r="DC35" s="80"/>
      <c r="DD35" s="80"/>
      <c r="DE35" s="80"/>
      <c r="DF35" s="80"/>
      <c r="DG35" s="80"/>
      <c r="DH35" s="80"/>
      <c r="DI35" s="80"/>
      <c r="DJ35" s="80"/>
      <c r="DK35" s="80"/>
      <c r="DL35" s="80"/>
      <c r="DM35" s="80"/>
      <c r="DN35" s="80"/>
      <c r="DO35" s="80"/>
      <c r="DP35" s="80"/>
      <c r="DQ35" s="80"/>
    </row>
    <row r="36" spans="2:121" ht="13.5" customHeight="1">
      <c r="B36" s="92" t="s">
        <v>156</v>
      </c>
      <c r="C36" s="47">
        <v>27</v>
      </c>
      <c r="D36" s="143" t="str">
        <f>IF('كشف النقاط'!B34&gt;0,'كشف النقاط'!B34," ")</f>
        <v> </v>
      </c>
      <c r="E36" s="143" t="str">
        <f>IF('كشف النقاط'!C34&gt;0,'كشف النقاط'!C34," ")</f>
        <v> </v>
      </c>
      <c r="F36" s="183"/>
      <c r="G36" s="184"/>
      <c r="H36" s="183"/>
      <c r="I36" s="183"/>
      <c r="J36" s="39">
        <f>IF('مداولات 1'!E:E&gt;'استدراك 1'!E:E,'مداولات 1'!E:E,'استدراك 1'!E:E)</f>
        <v>0</v>
      </c>
      <c r="K36" s="40">
        <f t="shared" si="0"/>
        <v>0</v>
      </c>
      <c r="L36" s="38" t="str">
        <f>'كشف النقاط'!O77</f>
        <v>د1</v>
      </c>
      <c r="M36" s="39">
        <f>IF('مداولات 1'!G:G&gt;'استدراك 1'!G:G,'مداولات 1'!G:G,'استدراك 1'!G:G)</f>
        <v>0</v>
      </c>
      <c r="N36" s="40">
        <f t="shared" si="1"/>
        <v>0</v>
      </c>
      <c r="O36" s="38" t="str">
        <f>'كشف النقاط'!O34</f>
        <v>د1</v>
      </c>
      <c r="P36" s="39">
        <f>IF('مداولات 1'!I:I&gt;'استدراك 1'!I:I,'مداولات 1'!I:I,'استدراك 1'!I:I)</f>
        <v>0</v>
      </c>
      <c r="Q36" s="40">
        <f t="shared" si="2"/>
        <v>0</v>
      </c>
      <c r="R36" s="40" t="str">
        <f>'كشف النقاط'!O120</f>
        <v>د1</v>
      </c>
      <c r="S36" s="39">
        <f t="shared" si="3"/>
        <v>0</v>
      </c>
      <c r="T36" s="45">
        <f t="shared" si="4"/>
        <v>0</v>
      </c>
      <c r="U36" s="40" t="s">
        <v>30</v>
      </c>
      <c r="V36" s="45">
        <v>2018</v>
      </c>
      <c r="W36" s="45"/>
      <c r="X36" s="39">
        <f>IF('مداولات 1'!M:M&gt;'استدراك 1'!M:M,'مداولات 1'!M:M,'استدراك 1'!M:M)</f>
        <v>0</v>
      </c>
      <c r="Y36" s="40">
        <f t="shared" si="5"/>
        <v>0</v>
      </c>
      <c r="Z36" s="40" t="str">
        <f>'كشف النقاط'!O208</f>
        <v>د1</v>
      </c>
      <c r="AA36" s="39">
        <f>IF('مداولات 1'!O:O&gt;'استدراك 1'!O:O,'مداولات 1'!O:O,'استدراك 1'!O:O)</f>
        <v>0</v>
      </c>
      <c r="AB36" s="40">
        <f t="shared" si="6"/>
        <v>0</v>
      </c>
      <c r="AC36" s="40" t="str">
        <f>'كشف النقاط'!O164</f>
        <v>د1</v>
      </c>
      <c r="AD36" s="39">
        <f t="shared" si="21"/>
        <v>0</v>
      </c>
      <c r="AE36" s="41">
        <f t="shared" si="22"/>
        <v>0</v>
      </c>
      <c r="AF36" s="40" t="s">
        <v>30</v>
      </c>
      <c r="AG36" s="45">
        <v>2018</v>
      </c>
      <c r="AH36" s="118"/>
      <c r="AI36" s="42">
        <f>IF('مداولات 1'!S:S&gt;'استدراك 1'!S:S,'مداولات 1'!S:S,'استدراك 1'!S:S)</f>
        <v>0</v>
      </c>
      <c r="AJ36" s="40">
        <f t="shared" si="9"/>
        <v>0</v>
      </c>
      <c r="AK36" s="40" t="str">
        <f>'كشف النقاط'!O252</f>
        <v>د1</v>
      </c>
      <c r="AL36" s="39">
        <f t="shared" si="10"/>
        <v>0</v>
      </c>
      <c r="AM36" s="45">
        <f t="shared" si="11"/>
        <v>0</v>
      </c>
      <c r="AN36" s="45">
        <v>2018</v>
      </c>
      <c r="AO36" s="45" t="s">
        <v>105</v>
      </c>
      <c r="AP36" s="39">
        <f>IF('مداولات 1'!W:W&gt;'استدراك 1'!W:W,'مداولات 1'!W:W,'استدراك 1'!W:W)</f>
        <v>0</v>
      </c>
      <c r="AQ36" s="40">
        <f t="shared" si="12"/>
        <v>0</v>
      </c>
      <c r="AR36" s="40" t="str">
        <f>'كشف النقاط'!O297</f>
        <v>د1</v>
      </c>
      <c r="AS36" s="39">
        <f t="shared" si="13"/>
        <v>0</v>
      </c>
      <c r="AT36" s="109">
        <f t="shared" si="14"/>
        <v>0</v>
      </c>
      <c r="AU36" s="45">
        <v>2018</v>
      </c>
      <c r="AV36" s="109"/>
      <c r="AW36" s="109"/>
      <c r="AX36" s="39">
        <f t="shared" si="15"/>
        <v>0</v>
      </c>
      <c r="AY36" s="46">
        <f t="shared" si="16"/>
        <v>0</v>
      </c>
      <c r="AZ36" s="40" t="s">
        <v>30</v>
      </c>
      <c r="BA36" s="171">
        <v>2018</v>
      </c>
      <c r="BB36" s="120"/>
      <c r="BC36" s="39">
        <f>IF('مداولات 2'!E:E&gt;'استدراك 2'!E:E,'مداولات 2'!E:E,'استدراك 2'!E:E)</f>
        <v>0</v>
      </c>
      <c r="BD36" s="40">
        <f t="shared" si="17"/>
        <v>0</v>
      </c>
      <c r="BE36" s="38" t="str">
        <f>'كشف النقاط'!O382</f>
        <v>د1</v>
      </c>
      <c r="BF36" s="45"/>
      <c r="BG36" s="43">
        <f t="shared" si="18"/>
        <v>0</v>
      </c>
      <c r="BH36" s="46">
        <f t="shared" si="19"/>
        <v>0</v>
      </c>
      <c r="BI36" s="580" t="str">
        <f t="shared" si="20"/>
        <v>د1</v>
      </c>
      <c r="BJ36" s="171">
        <v>2018</v>
      </c>
      <c r="BL36" s="203">
        <v>0</v>
      </c>
      <c r="BM36" s="204">
        <v>0</v>
      </c>
      <c r="BN36" s="204">
        <v>0</v>
      </c>
      <c r="BO36" s="204">
        <v>2017</v>
      </c>
      <c r="BP36" s="205">
        <v>0</v>
      </c>
      <c r="BQ36" s="204">
        <v>0</v>
      </c>
      <c r="BR36" s="204">
        <v>0</v>
      </c>
      <c r="BS36" s="204">
        <v>2017</v>
      </c>
      <c r="BT36" s="205">
        <v>0</v>
      </c>
      <c r="BU36" s="204">
        <v>1</v>
      </c>
      <c r="BV36" s="204" t="s">
        <v>105</v>
      </c>
      <c r="BW36" s="204">
        <v>2017</v>
      </c>
      <c r="BX36" s="205">
        <v>0</v>
      </c>
      <c r="BY36" s="204">
        <v>0</v>
      </c>
      <c r="BZ36" s="206">
        <v>0</v>
      </c>
      <c r="CA36" s="207">
        <v>2017</v>
      </c>
      <c r="CB36" s="238">
        <v>0</v>
      </c>
      <c r="CC36" s="239">
        <v>1</v>
      </c>
      <c r="CD36" s="643"/>
      <c r="CE36" s="208">
        <v>0</v>
      </c>
      <c r="CF36" s="204">
        <v>0</v>
      </c>
      <c r="CG36" s="204" t="s">
        <v>105</v>
      </c>
      <c r="CH36" s="204">
        <v>2017</v>
      </c>
      <c r="CI36" s="205">
        <v>0</v>
      </c>
      <c r="CJ36" s="204">
        <v>0</v>
      </c>
      <c r="CK36" s="204">
        <v>0</v>
      </c>
      <c r="CL36" s="204">
        <v>2017</v>
      </c>
      <c r="CM36" s="205">
        <v>0</v>
      </c>
      <c r="CN36" s="204">
        <v>0</v>
      </c>
      <c r="CO36" s="204" t="s">
        <v>105</v>
      </c>
      <c r="CP36" s="204">
        <v>2017</v>
      </c>
      <c r="CQ36" s="205">
        <v>0</v>
      </c>
      <c r="CR36" s="204">
        <v>0</v>
      </c>
      <c r="CS36" s="209">
        <v>0</v>
      </c>
      <c r="CT36" s="209">
        <v>2017</v>
      </c>
      <c r="CU36" s="238">
        <v>0</v>
      </c>
      <c r="CV36" s="242">
        <v>0</v>
      </c>
      <c r="CW36" s="647"/>
      <c r="CX36" s="80"/>
      <c r="CY36" s="80"/>
      <c r="CZ36" s="80"/>
      <c r="DA36" s="80"/>
      <c r="DB36" s="80"/>
      <c r="DC36" s="80"/>
      <c r="DD36" s="80"/>
      <c r="DE36" s="80"/>
      <c r="DF36" s="80"/>
      <c r="DG36" s="80"/>
      <c r="DH36" s="80"/>
      <c r="DI36" s="80"/>
      <c r="DJ36" s="80"/>
      <c r="DK36" s="80"/>
      <c r="DL36" s="80"/>
      <c r="DM36" s="80"/>
      <c r="DN36" s="80"/>
      <c r="DO36" s="80"/>
      <c r="DP36" s="80"/>
      <c r="DQ36" s="80"/>
    </row>
    <row r="37" spans="2:121" ht="13.5" customHeight="1">
      <c r="B37" s="92" t="s">
        <v>157</v>
      </c>
      <c r="C37" s="47">
        <v>28</v>
      </c>
      <c r="D37" s="143" t="str">
        <f>IF('كشف النقاط'!B35&gt;0,'كشف النقاط'!B35," ")</f>
        <v> </v>
      </c>
      <c r="E37" s="143" t="str">
        <f>IF('كشف النقاط'!C35&gt;0,'كشف النقاط'!C35," ")</f>
        <v> </v>
      </c>
      <c r="F37" s="183"/>
      <c r="G37" s="184"/>
      <c r="H37" s="183"/>
      <c r="I37" s="183"/>
      <c r="J37" s="39">
        <f>IF('مداولات 1'!E:E&gt;'استدراك 1'!E:E,'مداولات 1'!E:E,'استدراك 1'!E:E)</f>
        <v>0</v>
      </c>
      <c r="K37" s="40">
        <f t="shared" si="0"/>
        <v>0</v>
      </c>
      <c r="L37" s="38" t="str">
        <f>'كشف النقاط'!O78</f>
        <v>د1</v>
      </c>
      <c r="M37" s="39">
        <f>IF('مداولات 1'!G:G&gt;'استدراك 1'!G:G,'مداولات 1'!G:G,'استدراك 1'!G:G)</f>
        <v>0</v>
      </c>
      <c r="N37" s="40">
        <f t="shared" si="1"/>
        <v>0</v>
      </c>
      <c r="O37" s="38" t="str">
        <f>'كشف النقاط'!O35</f>
        <v>د1</v>
      </c>
      <c r="P37" s="39">
        <f>IF('مداولات 1'!I:I&gt;'استدراك 1'!I:I,'مداولات 1'!I:I,'استدراك 1'!I:I)</f>
        <v>0</v>
      </c>
      <c r="Q37" s="40">
        <f t="shared" si="2"/>
        <v>0</v>
      </c>
      <c r="R37" s="40" t="str">
        <f>'كشف النقاط'!O121</f>
        <v>د1</v>
      </c>
      <c r="S37" s="39">
        <f t="shared" si="3"/>
        <v>0</v>
      </c>
      <c r="T37" s="45">
        <f t="shared" si="4"/>
        <v>0</v>
      </c>
      <c r="U37" s="40" t="s">
        <v>30</v>
      </c>
      <c r="V37" s="45">
        <v>2018</v>
      </c>
      <c r="W37" s="45"/>
      <c r="X37" s="39">
        <f>IF('مداولات 1'!M:M&gt;'استدراك 1'!M:M,'مداولات 1'!M:M,'استدراك 1'!M:M)</f>
        <v>0</v>
      </c>
      <c r="Y37" s="40">
        <f t="shared" si="5"/>
        <v>0</v>
      </c>
      <c r="Z37" s="40" t="str">
        <f>'كشف النقاط'!O209</f>
        <v>د1</v>
      </c>
      <c r="AA37" s="39">
        <f>IF('مداولات 1'!O:O&gt;'استدراك 1'!O:O,'مداولات 1'!O:O,'استدراك 1'!O:O)</f>
        <v>0</v>
      </c>
      <c r="AB37" s="40">
        <f t="shared" si="6"/>
        <v>0</v>
      </c>
      <c r="AC37" s="40" t="str">
        <f>'كشف النقاط'!O165</f>
        <v>د1</v>
      </c>
      <c r="AD37" s="39">
        <f t="shared" si="21"/>
        <v>0</v>
      </c>
      <c r="AE37" s="41">
        <f t="shared" si="22"/>
        <v>0</v>
      </c>
      <c r="AF37" s="40" t="s">
        <v>30</v>
      </c>
      <c r="AG37" s="45">
        <v>2018</v>
      </c>
      <c r="AH37" s="118"/>
      <c r="AI37" s="42">
        <f>IF('مداولات 1'!S:S&gt;'استدراك 1'!S:S,'مداولات 1'!S:S,'استدراك 1'!S:S)</f>
        <v>0</v>
      </c>
      <c r="AJ37" s="40">
        <f t="shared" si="9"/>
        <v>0</v>
      </c>
      <c r="AK37" s="40" t="str">
        <f>'كشف النقاط'!O253</f>
        <v>د1</v>
      </c>
      <c r="AL37" s="39">
        <f t="shared" si="10"/>
        <v>0</v>
      </c>
      <c r="AM37" s="45">
        <f t="shared" si="11"/>
        <v>0</v>
      </c>
      <c r="AN37" s="45">
        <v>2018</v>
      </c>
      <c r="AO37" s="45" t="s">
        <v>105</v>
      </c>
      <c r="AP37" s="39">
        <f>IF('مداولات 1'!W:W&gt;'استدراك 1'!W:W,'مداولات 1'!W:W,'استدراك 1'!W:W)</f>
        <v>0</v>
      </c>
      <c r="AQ37" s="40">
        <f t="shared" si="12"/>
        <v>0</v>
      </c>
      <c r="AR37" s="40" t="str">
        <f>'كشف النقاط'!O298</f>
        <v>د1</v>
      </c>
      <c r="AS37" s="39">
        <f t="shared" si="13"/>
        <v>0</v>
      </c>
      <c r="AT37" s="109">
        <f t="shared" si="14"/>
        <v>0</v>
      </c>
      <c r="AU37" s="45">
        <v>2018</v>
      </c>
      <c r="AV37" s="109"/>
      <c r="AW37" s="109"/>
      <c r="AX37" s="39">
        <f t="shared" si="15"/>
        <v>0</v>
      </c>
      <c r="AY37" s="46">
        <f t="shared" si="16"/>
        <v>0</v>
      </c>
      <c r="AZ37" s="40" t="s">
        <v>30</v>
      </c>
      <c r="BA37" s="171">
        <v>2018</v>
      </c>
      <c r="BB37" s="120"/>
      <c r="BC37" s="39">
        <f>IF('مداولات 2'!E:E&gt;'استدراك 2'!E:E,'مداولات 2'!E:E,'استدراك 2'!E:E)</f>
        <v>0</v>
      </c>
      <c r="BD37" s="40">
        <f t="shared" si="17"/>
        <v>0</v>
      </c>
      <c r="BE37" s="38" t="str">
        <f>'كشف النقاط'!O383</f>
        <v>د1</v>
      </c>
      <c r="BF37" s="45"/>
      <c r="BG37" s="43">
        <f t="shared" si="18"/>
        <v>0</v>
      </c>
      <c r="BH37" s="46">
        <f t="shared" si="19"/>
        <v>0</v>
      </c>
      <c r="BI37" s="580" t="str">
        <f t="shared" si="20"/>
        <v>د1</v>
      </c>
      <c r="BJ37" s="171">
        <v>2018</v>
      </c>
      <c r="BL37" s="203">
        <v>0</v>
      </c>
      <c r="BM37" s="204">
        <v>0</v>
      </c>
      <c r="BN37" s="204">
        <v>0</v>
      </c>
      <c r="BO37" s="204">
        <v>2017</v>
      </c>
      <c r="BP37" s="205">
        <v>0</v>
      </c>
      <c r="BQ37" s="204">
        <v>0</v>
      </c>
      <c r="BR37" s="204">
        <v>0</v>
      </c>
      <c r="BS37" s="204">
        <v>2017</v>
      </c>
      <c r="BT37" s="205">
        <v>0</v>
      </c>
      <c r="BU37" s="204">
        <v>1</v>
      </c>
      <c r="BV37" s="204" t="s">
        <v>105</v>
      </c>
      <c r="BW37" s="204">
        <v>2017</v>
      </c>
      <c r="BX37" s="205">
        <v>0</v>
      </c>
      <c r="BY37" s="204">
        <v>0</v>
      </c>
      <c r="BZ37" s="206">
        <v>0</v>
      </c>
      <c r="CA37" s="207">
        <v>2017</v>
      </c>
      <c r="CB37" s="238">
        <v>0</v>
      </c>
      <c r="CC37" s="239">
        <v>1</v>
      </c>
      <c r="CD37" s="643"/>
      <c r="CE37" s="208">
        <v>0</v>
      </c>
      <c r="CF37" s="204">
        <v>0</v>
      </c>
      <c r="CG37" s="204" t="s">
        <v>105</v>
      </c>
      <c r="CH37" s="204">
        <v>2017</v>
      </c>
      <c r="CI37" s="205">
        <v>0</v>
      </c>
      <c r="CJ37" s="204">
        <v>0</v>
      </c>
      <c r="CK37" s="204">
        <v>0</v>
      </c>
      <c r="CL37" s="204">
        <v>2017</v>
      </c>
      <c r="CM37" s="205">
        <v>0</v>
      </c>
      <c r="CN37" s="204">
        <v>0</v>
      </c>
      <c r="CO37" s="204" t="s">
        <v>105</v>
      </c>
      <c r="CP37" s="204">
        <v>2017</v>
      </c>
      <c r="CQ37" s="205">
        <v>0</v>
      </c>
      <c r="CR37" s="204">
        <v>0</v>
      </c>
      <c r="CS37" s="209">
        <v>0</v>
      </c>
      <c r="CT37" s="209">
        <v>2017</v>
      </c>
      <c r="CU37" s="238">
        <v>0</v>
      </c>
      <c r="CV37" s="242">
        <v>0</v>
      </c>
      <c r="CW37" s="647"/>
      <c r="CX37" s="80"/>
      <c r="CY37" s="80"/>
      <c r="CZ37" s="80"/>
      <c r="DA37" s="80"/>
      <c r="DB37" s="80"/>
      <c r="DC37" s="80"/>
      <c r="DD37" s="80"/>
      <c r="DE37" s="80"/>
      <c r="DF37" s="80"/>
      <c r="DG37" s="80"/>
      <c r="DH37" s="80"/>
      <c r="DI37" s="80"/>
      <c r="DJ37" s="80"/>
      <c r="DK37" s="80"/>
      <c r="DL37" s="80"/>
      <c r="DM37" s="80"/>
      <c r="DN37" s="80"/>
      <c r="DO37" s="80"/>
      <c r="DP37" s="80"/>
      <c r="DQ37" s="80"/>
    </row>
    <row r="38" spans="2:121" ht="13.5" customHeight="1">
      <c r="B38" s="92" t="s">
        <v>158</v>
      </c>
      <c r="C38" s="47">
        <v>29</v>
      </c>
      <c r="D38" s="143" t="str">
        <f>IF('كشف النقاط'!B36&gt;0,'كشف النقاط'!B36," ")</f>
        <v> </v>
      </c>
      <c r="E38" s="143" t="str">
        <f>IF('كشف النقاط'!C36&gt;0,'كشف النقاط'!C36," ")</f>
        <v> </v>
      </c>
      <c r="F38" s="183"/>
      <c r="G38" s="184"/>
      <c r="H38" s="183"/>
      <c r="I38" s="183"/>
      <c r="J38" s="39">
        <f>IF('مداولات 1'!E:E&gt;'استدراك 1'!E:E,'مداولات 1'!E:E,'استدراك 1'!E:E)</f>
        <v>0</v>
      </c>
      <c r="K38" s="40">
        <f t="shared" si="0"/>
        <v>0</v>
      </c>
      <c r="L38" s="38" t="str">
        <f>'كشف النقاط'!O79</f>
        <v>د1</v>
      </c>
      <c r="M38" s="39">
        <f>IF('مداولات 1'!G:G&gt;'استدراك 1'!G:G,'مداولات 1'!G:G,'استدراك 1'!G:G)</f>
        <v>0</v>
      </c>
      <c r="N38" s="40">
        <f t="shared" si="1"/>
        <v>0</v>
      </c>
      <c r="O38" s="38" t="str">
        <f>'كشف النقاط'!O36</f>
        <v>د1</v>
      </c>
      <c r="P38" s="39">
        <f>IF('مداولات 1'!I:I&gt;'استدراك 1'!I:I,'مداولات 1'!I:I,'استدراك 1'!I:I)</f>
        <v>0</v>
      </c>
      <c r="Q38" s="40">
        <f t="shared" si="2"/>
        <v>0</v>
      </c>
      <c r="R38" s="40" t="str">
        <f>'كشف النقاط'!O122</f>
        <v>د1</v>
      </c>
      <c r="S38" s="39">
        <f t="shared" si="3"/>
        <v>0</v>
      </c>
      <c r="T38" s="45">
        <f t="shared" si="4"/>
        <v>0</v>
      </c>
      <c r="U38" s="40" t="s">
        <v>30</v>
      </c>
      <c r="V38" s="45">
        <v>2018</v>
      </c>
      <c r="W38" s="45"/>
      <c r="X38" s="39">
        <f>IF('مداولات 1'!M:M&gt;'استدراك 1'!M:M,'مداولات 1'!M:M,'استدراك 1'!M:M)</f>
        <v>0</v>
      </c>
      <c r="Y38" s="40">
        <f t="shared" si="5"/>
        <v>0</v>
      </c>
      <c r="Z38" s="40" t="str">
        <f>'كشف النقاط'!O210</f>
        <v>د1</v>
      </c>
      <c r="AA38" s="39">
        <f>IF('مداولات 1'!O:O&gt;'استدراك 1'!O:O,'مداولات 1'!O:O,'استدراك 1'!O:O)</f>
        <v>0</v>
      </c>
      <c r="AB38" s="40">
        <f t="shared" si="6"/>
        <v>0</v>
      </c>
      <c r="AC38" s="40" t="str">
        <f>'كشف النقاط'!O166</f>
        <v>د1</v>
      </c>
      <c r="AD38" s="39">
        <f t="shared" si="21"/>
        <v>0</v>
      </c>
      <c r="AE38" s="41">
        <f t="shared" si="22"/>
        <v>0</v>
      </c>
      <c r="AF38" s="40" t="s">
        <v>30</v>
      </c>
      <c r="AG38" s="45">
        <v>2018</v>
      </c>
      <c r="AH38" s="118"/>
      <c r="AI38" s="42">
        <f>IF('مداولات 1'!S:S&gt;'استدراك 1'!S:S,'مداولات 1'!S:S,'استدراك 1'!S:S)</f>
        <v>0</v>
      </c>
      <c r="AJ38" s="40">
        <f t="shared" si="9"/>
        <v>0</v>
      </c>
      <c r="AK38" s="40" t="str">
        <f>'كشف النقاط'!O254</f>
        <v>د1</v>
      </c>
      <c r="AL38" s="39">
        <f t="shared" si="10"/>
        <v>0</v>
      </c>
      <c r="AM38" s="45">
        <f t="shared" si="11"/>
        <v>0</v>
      </c>
      <c r="AN38" s="45">
        <v>2018</v>
      </c>
      <c r="AO38" s="45" t="s">
        <v>105</v>
      </c>
      <c r="AP38" s="39">
        <f>IF('مداولات 1'!W:W&gt;'استدراك 1'!W:W,'مداولات 1'!W:W,'استدراك 1'!W:W)</f>
        <v>0</v>
      </c>
      <c r="AQ38" s="40">
        <f t="shared" si="12"/>
        <v>0</v>
      </c>
      <c r="AR38" s="40" t="str">
        <f>'كشف النقاط'!O299</f>
        <v>د1</v>
      </c>
      <c r="AS38" s="39">
        <f t="shared" si="13"/>
        <v>0</v>
      </c>
      <c r="AT38" s="109">
        <f t="shared" si="14"/>
        <v>0</v>
      </c>
      <c r="AU38" s="45">
        <v>2018</v>
      </c>
      <c r="AV38" s="109"/>
      <c r="AW38" s="109"/>
      <c r="AX38" s="39">
        <f t="shared" si="15"/>
        <v>0</v>
      </c>
      <c r="AY38" s="46">
        <f t="shared" si="16"/>
        <v>0</v>
      </c>
      <c r="AZ38" s="40" t="s">
        <v>30</v>
      </c>
      <c r="BA38" s="171">
        <v>2018</v>
      </c>
      <c r="BB38" s="120"/>
      <c r="BC38" s="39">
        <f>IF('مداولات 2'!E:E&gt;'استدراك 2'!E:E,'مداولات 2'!E:E,'استدراك 2'!E:E)</f>
        <v>0</v>
      </c>
      <c r="BD38" s="40">
        <f t="shared" si="17"/>
        <v>0</v>
      </c>
      <c r="BE38" s="38" t="str">
        <f>'كشف النقاط'!O384</f>
        <v>د1</v>
      </c>
      <c r="BF38" s="45"/>
      <c r="BG38" s="43">
        <f t="shared" si="18"/>
        <v>0</v>
      </c>
      <c r="BH38" s="46">
        <f t="shared" si="19"/>
        <v>0</v>
      </c>
      <c r="BI38" s="580" t="str">
        <f t="shared" si="20"/>
        <v>د1</v>
      </c>
      <c r="BJ38" s="171">
        <v>2018</v>
      </c>
      <c r="BL38" s="203">
        <v>0</v>
      </c>
      <c r="BM38" s="204">
        <v>0</v>
      </c>
      <c r="BN38" s="204">
        <v>0</v>
      </c>
      <c r="BO38" s="204">
        <v>2017</v>
      </c>
      <c r="BP38" s="205">
        <v>0</v>
      </c>
      <c r="BQ38" s="204">
        <v>0</v>
      </c>
      <c r="BR38" s="204">
        <v>0</v>
      </c>
      <c r="BS38" s="204">
        <v>2017</v>
      </c>
      <c r="BT38" s="205">
        <v>0</v>
      </c>
      <c r="BU38" s="204">
        <v>1</v>
      </c>
      <c r="BV38" s="204" t="s">
        <v>105</v>
      </c>
      <c r="BW38" s="204">
        <v>2017</v>
      </c>
      <c r="BX38" s="205">
        <v>0</v>
      </c>
      <c r="BY38" s="204">
        <v>0</v>
      </c>
      <c r="BZ38" s="206">
        <v>0</v>
      </c>
      <c r="CA38" s="207">
        <v>2017</v>
      </c>
      <c r="CB38" s="238">
        <v>0</v>
      </c>
      <c r="CC38" s="239">
        <v>1</v>
      </c>
      <c r="CD38" s="643"/>
      <c r="CE38" s="208">
        <v>0</v>
      </c>
      <c r="CF38" s="204">
        <v>0</v>
      </c>
      <c r="CG38" s="204" t="s">
        <v>105</v>
      </c>
      <c r="CH38" s="204">
        <v>2017</v>
      </c>
      <c r="CI38" s="205">
        <v>0</v>
      </c>
      <c r="CJ38" s="204">
        <v>0</v>
      </c>
      <c r="CK38" s="204">
        <v>0</v>
      </c>
      <c r="CL38" s="204">
        <v>2017</v>
      </c>
      <c r="CM38" s="205">
        <v>0</v>
      </c>
      <c r="CN38" s="204">
        <v>0</v>
      </c>
      <c r="CO38" s="204" t="s">
        <v>105</v>
      </c>
      <c r="CP38" s="204">
        <v>2017</v>
      </c>
      <c r="CQ38" s="205">
        <v>0</v>
      </c>
      <c r="CR38" s="204">
        <v>0</v>
      </c>
      <c r="CS38" s="209">
        <v>0</v>
      </c>
      <c r="CT38" s="209">
        <v>2017</v>
      </c>
      <c r="CU38" s="238">
        <v>0</v>
      </c>
      <c r="CV38" s="242">
        <v>0</v>
      </c>
      <c r="CW38" s="647"/>
      <c r="CX38" s="80"/>
      <c r="CY38" s="80"/>
      <c r="CZ38" s="80"/>
      <c r="DA38" s="80"/>
      <c r="DB38" s="80"/>
      <c r="DC38" s="80"/>
      <c r="DD38" s="80"/>
      <c r="DE38" s="80"/>
      <c r="DF38" s="80"/>
      <c r="DG38" s="80"/>
      <c r="DH38" s="80"/>
      <c r="DI38" s="80"/>
      <c r="DJ38" s="80"/>
      <c r="DK38" s="80"/>
      <c r="DL38" s="80"/>
      <c r="DM38" s="80"/>
      <c r="DN38" s="80"/>
      <c r="DO38" s="80"/>
      <c r="DP38" s="80"/>
      <c r="DQ38" s="80"/>
    </row>
    <row r="39" spans="2:121" ht="13.5" customHeight="1">
      <c r="B39" s="92" t="s">
        <v>159</v>
      </c>
      <c r="C39" s="47">
        <v>30</v>
      </c>
      <c r="D39" s="143" t="str">
        <f>IF('كشف النقاط'!B37&gt;0,'كشف النقاط'!B37," ")</f>
        <v> </v>
      </c>
      <c r="E39" s="143" t="str">
        <f>IF('كشف النقاط'!C37&gt;0,'كشف النقاط'!C37," ")</f>
        <v> </v>
      </c>
      <c r="F39" s="183"/>
      <c r="G39" s="184"/>
      <c r="H39" s="183"/>
      <c r="I39" s="183"/>
      <c r="J39" s="39">
        <f>IF('مداولات 1'!E:E&gt;'استدراك 1'!E:E,'مداولات 1'!E:E,'استدراك 1'!E:E)</f>
        <v>0</v>
      </c>
      <c r="K39" s="40">
        <f t="shared" si="0"/>
        <v>0</v>
      </c>
      <c r="L39" s="38" t="str">
        <f>'كشف النقاط'!O80</f>
        <v>د1</v>
      </c>
      <c r="M39" s="39">
        <f>IF('مداولات 1'!G:G&gt;'استدراك 1'!G:G,'مداولات 1'!G:G,'استدراك 1'!G:G)</f>
        <v>0</v>
      </c>
      <c r="N39" s="40">
        <f t="shared" si="1"/>
        <v>0</v>
      </c>
      <c r="O39" s="38" t="str">
        <f>'كشف النقاط'!O37</f>
        <v>د1</v>
      </c>
      <c r="P39" s="39">
        <f>IF('مداولات 1'!I:I&gt;'استدراك 1'!I:I,'مداولات 1'!I:I,'استدراك 1'!I:I)</f>
        <v>0</v>
      </c>
      <c r="Q39" s="40">
        <f t="shared" si="2"/>
        <v>0</v>
      </c>
      <c r="R39" s="40" t="str">
        <f>'كشف النقاط'!O123</f>
        <v>د1</v>
      </c>
      <c r="S39" s="39">
        <f t="shared" si="3"/>
        <v>0</v>
      </c>
      <c r="T39" s="45">
        <f t="shared" si="4"/>
        <v>0</v>
      </c>
      <c r="U39" s="40" t="s">
        <v>30</v>
      </c>
      <c r="V39" s="45">
        <v>2018</v>
      </c>
      <c r="W39" s="45"/>
      <c r="X39" s="39">
        <f>IF('مداولات 1'!M:M&gt;'استدراك 1'!M:M,'مداولات 1'!M:M,'استدراك 1'!M:M)</f>
        <v>0</v>
      </c>
      <c r="Y39" s="40">
        <f t="shared" si="5"/>
        <v>0</v>
      </c>
      <c r="Z39" s="40" t="str">
        <f>'كشف النقاط'!O211</f>
        <v>د1</v>
      </c>
      <c r="AA39" s="39">
        <f>IF('مداولات 1'!O:O&gt;'استدراك 1'!O:O,'مداولات 1'!O:O,'استدراك 1'!O:O)</f>
        <v>0</v>
      </c>
      <c r="AB39" s="40">
        <f t="shared" si="6"/>
        <v>0</v>
      </c>
      <c r="AC39" s="40" t="str">
        <f>'كشف النقاط'!O167</f>
        <v>د1</v>
      </c>
      <c r="AD39" s="39">
        <f t="shared" si="21"/>
        <v>0</v>
      </c>
      <c r="AE39" s="41">
        <f t="shared" si="22"/>
        <v>0</v>
      </c>
      <c r="AF39" s="40" t="s">
        <v>30</v>
      </c>
      <c r="AG39" s="45">
        <v>2018</v>
      </c>
      <c r="AH39" s="118"/>
      <c r="AI39" s="42">
        <f>IF('مداولات 1'!S:S&gt;'استدراك 1'!S:S,'مداولات 1'!S:S,'استدراك 1'!S:S)</f>
        <v>0</v>
      </c>
      <c r="AJ39" s="40">
        <f t="shared" si="9"/>
        <v>0</v>
      </c>
      <c r="AK39" s="40" t="str">
        <f>'كشف النقاط'!O255</f>
        <v>د1</v>
      </c>
      <c r="AL39" s="39">
        <f t="shared" si="10"/>
        <v>0</v>
      </c>
      <c r="AM39" s="45">
        <f t="shared" si="11"/>
        <v>0</v>
      </c>
      <c r="AN39" s="45">
        <v>2018</v>
      </c>
      <c r="AO39" s="45" t="s">
        <v>105</v>
      </c>
      <c r="AP39" s="39">
        <f>IF('مداولات 1'!W:W&gt;'استدراك 1'!W:W,'مداولات 1'!W:W,'استدراك 1'!W:W)</f>
        <v>0</v>
      </c>
      <c r="AQ39" s="40">
        <f t="shared" si="12"/>
        <v>0</v>
      </c>
      <c r="AR39" s="40" t="str">
        <f>'كشف النقاط'!O300</f>
        <v>د1</v>
      </c>
      <c r="AS39" s="39">
        <f t="shared" si="13"/>
        <v>0</v>
      </c>
      <c r="AT39" s="109">
        <f t="shared" si="14"/>
        <v>0</v>
      </c>
      <c r="AU39" s="45">
        <v>2018</v>
      </c>
      <c r="AV39" s="109"/>
      <c r="AW39" s="109"/>
      <c r="AX39" s="39">
        <f t="shared" si="15"/>
        <v>0</v>
      </c>
      <c r="AY39" s="46">
        <f t="shared" si="16"/>
        <v>0</v>
      </c>
      <c r="AZ39" s="40" t="s">
        <v>30</v>
      </c>
      <c r="BA39" s="171">
        <v>2018</v>
      </c>
      <c r="BB39" s="120"/>
      <c r="BC39" s="39">
        <f>IF('مداولات 2'!E:E&gt;'استدراك 2'!E:E,'مداولات 2'!E:E,'استدراك 2'!E:E)</f>
        <v>0</v>
      </c>
      <c r="BD39" s="40">
        <f t="shared" si="17"/>
        <v>0</v>
      </c>
      <c r="BE39" s="38" t="str">
        <f>'كشف النقاط'!O385</f>
        <v>د1</v>
      </c>
      <c r="BF39" s="45"/>
      <c r="BG39" s="43">
        <f t="shared" si="18"/>
        <v>0</v>
      </c>
      <c r="BH39" s="46">
        <f t="shared" si="19"/>
        <v>0</v>
      </c>
      <c r="BI39" s="580" t="str">
        <f t="shared" si="20"/>
        <v>د1</v>
      </c>
      <c r="BJ39" s="171">
        <v>2018</v>
      </c>
      <c r="BL39" s="203">
        <v>0</v>
      </c>
      <c r="BM39" s="204">
        <v>0</v>
      </c>
      <c r="BN39" s="204">
        <v>0</v>
      </c>
      <c r="BO39" s="204">
        <v>2017</v>
      </c>
      <c r="BP39" s="205">
        <v>0</v>
      </c>
      <c r="BQ39" s="204">
        <v>0</v>
      </c>
      <c r="BR39" s="204">
        <v>0</v>
      </c>
      <c r="BS39" s="204">
        <v>2017</v>
      </c>
      <c r="BT39" s="205">
        <v>0</v>
      </c>
      <c r="BU39" s="204">
        <v>1</v>
      </c>
      <c r="BV39" s="204" t="s">
        <v>105</v>
      </c>
      <c r="BW39" s="204">
        <v>2017</v>
      </c>
      <c r="BX39" s="205">
        <v>0</v>
      </c>
      <c r="BY39" s="204">
        <v>0</v>
      </c>
      <c r="BZ39" s="206">
        <v>0</v>
      </c>
      <c r="CA39" s="207">
        <v>2017</v>
      </c>
      <c r="CB39" s="238">
        <v>0</v>
      </c>
      <c r="CC39" s="239">
        <v>1</v>
      </c>
      <c r="CD39" s="643"/>
      <c r="CE39" s="208">
        <v>0</v>
      </c>
      <c r="CF39" s="204">
        <v>0</v>
      </c>
      <c r="CG39" s="204" t="s">
        <v>105</v>
      </c>
      <c r="CH39" s="204">
        <v>2017</v>
      </c>
      <c r="CI39" s="205">
        <v>0</v>
      </c>
      <c r="CJ39" s="204">
        <v>0</v>
      </c>
      <c r="CK39" s="204">
        <v>0</v>
      </c>
      <c r="CL39" s="204">
        <v>2017</v>
      </c>
      <c r="CM39" s="205">
        <v>0</v>
      </c>
      <c r="CN39" s="204">
        <v>0</v>
      </c>
      <c r="CO39" s="204" t="s">
        <v>105</v>
      </c>
      <c r="CP39" s="204">
        <v>2017</v>
      </c>
      <c r="CQ39" s="205">
        <v>0</v>
      </c>
      <c r="CR39" s="204">
        <v>0</v>
      </c>
      <c r="CS39" s="209">
        <v>0</v>
      </c>
      <c r="CT39" s="209">
        <v>2017</v>
      </c>
      <c r="CU39" s="238">
        <v>0</v>
      </c>
      <c r="CV39" s="242">
        <v>0</v>
      </c>
      <c r="CW39" s="647"/>
      <c r="CX39" s="80"/>
      <c r="CY39" s="80"/>
      <c r="CZ39" s="80"/>
      <c r="DA39" s="80"/>
      <c r="DB39" s="80"/>
      <c r="DC39" s="80"/>
      <c r="DD39" s="80"/>
      <c r="DE39" s="80"/>
      <c r="DF39" s="80"/>
      <c r="DG39" s="80"/>
      <c r="DH39" s="80"/>
      <c r="DI39" s="80"/>
      <c r="DJ39" s="80"/>
      <c r="DK39" s="80"/>
      <c r="DL39" s="80"/>
      <c r="DM39" s="80"/>
      <c r="DN39" s="80"/>
      <c r="DO39" s="80"/>
      <c r="DP39" s="80"/>
      <c r="DQ39" s="80"/>
    </row>
    <row r="40" spans="2:121" ht="13.5" customHeight="1">
      <c r="B40" s="92" t="s">
        <v>160</v>
      </c>
      <c r="C40" s="47">
        <v>31</v>
      </c>
      <c r="D40" s="143" t="str">
        <f>IF('كشف النقاط'!B38&gt;0,'كشف النقاط'!B38," ")</f>
        <v> </v>
      </c>
      <c r="E40" s="143" t="str">
        <f>IF('كشف النقاط'!C38&gt;0,'كشف النقاط'!C38," ")</f>
        <v> </v>
      </c>
      <c r="F40" s="183"/>
      <c r="G40" s="184"/>
      <c r="H40" s="183"/>
      <c r="I40" s="183"/>
      <c r="J40" s="39">
        <f>IF('مداولات 1'!E:E&gt;'استدراك 1'!E:E,'مداولات 1'!E:E,'استدراك 1'!E:E)</f>
        <v>0</v>
      </c>
      <c r="K40" s="40">
        <f t="shared" si="0"/>
        <v>0</v>
      </c>
      <c r="L40" s="38" t="str">
        <f>'كشف النقاط'!O81</f>
        <v>د1</v>
      </c>
      <c r="M40" s="39">
        <f>IF('مداولات 1'!G:G&gt;'استدراك 1'!G:G,'مداولات 1'!G:G,'استدراك 1'!G:G)</f>
        <v>0</v>
      </c>
      <c r="N40" s="40">
        <f t="shared" si="1"/>
        <v>0</v>
      </c>
      <c r="O40" s="38" t="str">
        <f>'كشف النقاط'!O38</f>
        <v>د1</v>
      </c>
      <c r="P40" s="39">
        <f>IF('مداولات 1'!I:I&gt;'استدراك 1'!I:I,'مداولات 1'!I:I,'استدراك 1'!I:I)</f>
        <v>0</v>
      </c>
      <c r="Q40" s="40">
        <f t="shared" si="2"/>
        <v>0</v>
      </c>
      <c r="R40" s="40" t="str">
        <f>'كشف النقاط'!O124</f>
        <v>د1</v>
      </c>
      <c r="S40" s="39">
        <f t="shared" si="3"/>
        <v>0</v>
      </c>
      <c r="T40" s="45">
        <f t="shared" si="4"/>
        <v>0</v>
      </c>
      <c r="U40" s="40" t="s">
        <v>30</v>
      </c>
      <c r="V40" s="45">
        <v>2018</v>
      </c>
      <c r="W40" s="45"/>
      <c r="X40" s="39">
        <f>IF('مداولات 1'!M:M&gt;'استدراك 1'!M:M,'مداولات 1'!M:M,'استدراك 1'!M:M)</f>
        <v>0</v>
      </c>
      <c r="Y40" s="40">
        <f t="shared" si="5"/>
        <v>0</v>
      </c>
      <c r="Z40" s="40" t="str">
        <f>'كشف النقاط'!O212</f>
        <v>د1</v>
      </c>
      <c r="AA40" s="39">
        <f>IF('مداولات 1'!O:O&gt;'استدراك 1'!O:O,'مداولات 1'!O:O,'استدراك 1'!O:O)</f>
        <v>0</v>
      </c>
      <c r="AB40" s="40">
        <f t="shared" si="6"/>
        <v>0</v>
      </c>
      <c r="AC40" s="40" t="str">
        <f>'كشف النقاط'!O168</f>
        <v>د1</v>
      </c>
      <c r="AD40" s="39">
        <f t="shared" si="21"/>
        <v>0</v>
      </c>
      <c r="AE40" s="41">
        <f t="shared" si="22"/>
        <v>0</v>
      </c>
      <c r="AF40" s="40" t="s">
        <v>30</v>
      </c>
      <c r="AG40" s="45">
        <v>2018</v>
      </c>
      <c r="AH40" s="118"/>
      <c r="AI40" s="42">
        <f>IF('مداولات 1'!S:S&gt;'استدراك 1'!S:S,'مداولات 1'!S:S,'استدراك 1'!S:S)</f>
        <v>0</v>
      </c>
      <c r="AJ40" s="40">
        <f t="shared" si="9"/>
        <v>0</v>
      </c>
      <c r="AK40" s="40" t="str">
        <f>'كشف النقاط'!O256</f>
        <v>د1</v>
      </c>
      <c r="AL40" s="39">
        <f t="shared" si="10"/>
        <v>0</v>
      </c>
      <c r="AM40" s="45">
        <f t="shared" si="11"/>
        <v>0</v>
      </c>
      <c r="AN40" s="45">
        <v>2018</v>
      </c>
      <c r="AO40" s="45" t="s">
        <v>105</v>
      </c>
      <c r="AP40" s="39">
        <f>IF('مداولات 1'!W:W&gt;'استدراك 1'!W:W,'مداولات 1'!W:W,'استدراك 1'!W:W)</f>
        <v>0</v>
      </c>
      <c r="AQ40" s="40">
        <f t="shared" si="12"/>
        <v>0</v>
      </c>
      <c r="AR40" s="40" t="str">
        <f>'كشف النقاط'!O301</f>
        <v>د1</v>
      </c>
      <c r="AS40" s="39">
        <f t="shared" si="13"/>
        <v>0</v>
      </c>
      <c r="AT40" s="109">
        <f t="shared" si="14"/>
        <v>0</v>
      </c>
      <c r="AU40" s="45">
        <v>2018</v>
      </c>
      <c r="AV40" s="109"/>
      <c r="AW40" s="109"/>
      <c r="AX40" s="39">
        <f t="shared" si="15"/>
        <v>0</v>
      </c>
      <c r="AY40" s="46">
        <f t="shared" si="16"/>
        <v>0</v>
      </c>
      <c r="AZ40" s="40" t="s">
        <v>30</v>
      </c>
      <c r="BA40" s="171">
        <v>2018</v>
      </c>
      <c r="BB40" s="120"/>
      <c r="BC40" s="39">
        <f>IF('مداولات 2'!E:E&gt;'استدراك 2'!E:E,'مداولات 2'!E:E,'استدراك 2'!E:E)</f>
        <v>0</v>
      </c>
      <c r="BD40" s="40">
        <f t="shared" si="17"/>
        <v>0</v>
      </c>
      <c r="BE40" s="38" t="str">
        <f>'كشف النقاط'!O386</f>
        <v>د1</v>
      </c>
      <c r="BF40" s="45"/>
      <c r="BG40" s="43">
        <f t="shared" si="18"/>
        <v>0</v>
      </c>
      <c r="BH40" s="46">
        <f t="shared" si="19"/>
        <v>0</v>
      </c>
      <c r="BI40" s="580" t="str">
        <f t="shared" si="20"/>
        <v>د1</v>
      </c>
      <c r="BJ40" s="171">
        <v>2018</v>
      </c>
      <c r="BL40" s="203">
        <v>0</v>
      </c>
      <c r="BM40" s="204">
        <v>0</v>
      </c>
      <c r="BN40" s="204">
        <v>0</v>
      </c>
      <c r="BO40" s="204">
        <v>2017</v>
      </c>
      <c r="BP40" s="205">
        <v>0</v>
      </c>
      <c r="BQ40" s="204">
        <v>0</v>
      </c>
      <c r="BR40" s="204">
        <v>0</v>
      </c>
      <c r="BS40" s="204">
        <v>2017</v>
      </c>
      <c r="BT40" s="205">
        <v>0</v>
      </c>
      <c r="BU40" s="204">
        <v>1</v>
      </c>
      <c r="BV40" s="204" t="s">
        <v>105</v>
      </c>
      <c r="BW40" s="204">
        <v>2017</v>
      </c>
      <c r="BX40" s="205">
        <v>0</v>
      </c>
      <c r="BY40" s="204">
        <v>0</v>
      </c>
      <c r="BZ40" s="206">
        <v>0</v>
      </c>
      <c r="CA40" s="207">
        <v>2017</v>
      </c>
      <c r="CB40" s="238">
        <v>0</v>
      </c>
      <c r="CC40" s="239">
        <v>1</v>
      </c>
      <c r="CD40" s="643"/>
      <c r="CE40" s="208">
        <v>0</v>
      </c>
      <c r="CF40" s="204">
        <v>0</v>
      </c>
      <c r="CG40" s="204" t="s">
        <v>105</v>
      </c>
      <c r="CH40" s="204">
        <v>2017</v>
      </c>
      <c r="CI40" s="205">
        <v>0</v>
      </c>
      <c r="CJ40" s="204">
        <v>0</v>
      </c>
      <c r="CK40" s="204">
        <v>0</v>
      </c>
      <c r="CL40" s="204">
        <v>2017</v>
      </c>
      <c r="CM40" s="205">
        <v>0</v>
      </c>
      <c r="CN40" s="204">
        <v>0</v>
      </c>
      <c r="CO40" s="204" t="s">
        <v>105</v>
      </c>
      <c r="CP40" s="204">
        <v>2017</v>
      </c>
      <c r="CQ40" s="205">
        <v>0</v>
      </c>
      <c r="CR40" s="204">
        <v>0</v>
      </c>
      <c r="CS40" s="209">
        <v>0</v>
      </c>
      <c r="CT40" s="209">
        <v>2017</v>
      </c>
      <c r="CU40" s="238">
        <v>0</v>
      </c>
      <c r="CV40" s="242">
        <v>0</v>
      </c>
      <c r="CW40" s="647"/>
      <c r="CX40" s="80"/>
      <c r="CY40" s="80"/>
      <c r="CZ40" s="80"/>
      <c r="DA40" s="80"/>
      <c r="DB40" s="80"/>
      <c r="DC40" s="80"/>
      <c r="DD40" s="80"/>
      <c r="DE40" s="80"/>
      <c r="DF40" s="80"/>
      <c r="DG40" s="80"/>
      <c r="DH40" s="80"/>
      <c r="DI40" s="80"/>
      <c r="DJ40" s="80"/>
      <c r="DK40" s="80"/>
      <c r="DL40" s="80"/>
      <c r="DM40" s="80"/>
      <c r="DN40" s="80"/>
      <c r="DO40" s="80"/>
      <c r="DP40" s="80"/>
      <c r="DQ40" s="80"/>
    </row>
    <row r="41" spans="2:121" ht="13.5" customHeight="1">
      <c r="B41" s="92" t="s">
        <v>161</v>
      </c>
      <c r="C41" s="47">
        <v>32</v>
      </c>
      <c r="D41" s="143" t="str">
        <f>IF('كشف النقاط'!B39&gt;0,'كشف النقاط'!B39," ")</f>
        <v> </v>
      </c>
      <c r="E41" s="143" t="str">
        <f>IF('كشف النقاط'!C39&gt;0,'كشف النقاط'!C39," ")</f>
        <v> </v>
      </c>
      <c r="F41" s="183"/>
      <c r="G41" s="184"/>
      <c r="H41" s="183"/>
      <c r="I41" s="183"/>
      <c r="J41" s="39">
        <f>IF('مداولات 1'!E:E&gt;'استدراك 1'!E:E,'مداولات 1'!E:E,'استدراك 1'!E:E)</f>
        <v>0</v>
      </c>
      <c r="K41" s="40">
        <f t="shared" si="0"/>
        <v>0</v>
      </c>
      <c r="L41" s="38" t="str">
        <f>'كشف النقاط'!O82</f>
        <v>د1</v>
      </c>
      <c r="M41" s="39">
        <f>IF('مداولات 1'!G:G&gt;'استدراك 1'!G:G,'مداولات 1'!G:G,'استدراك 1'!G:G)</f>
        <v>0</v>
      </c>
      <c r="N41" s="40">
        <f t="shared" si="1"/>
        <v>0</v>
      </c>
      <c r="O41" s="38" t="str">
        <f>'كشف النقاط'!O39</f>
        <v>د1</v>
      </c>
      <c r="P41" s="39">
        <f>IF('مداولات 1'!I:I&gt;'استدراك 1'!I:I,'مداولات 1'!I:I,'استدراك 1'!I:I)</f>
        <v>0</v>
      </c>
      <c r="Q41" s="40">
        <f t="shared" si="2"/>
        <v>0</v>
      </c>
      <c r="R41" s="40" t="str">
        <f>'كشف النقاط'!O125</f>
        <v>د1</v>
      </c>
      <c r="S41" s="39">
        <f t="shared" si="3"/>
        <v>0</v>
      </c>
      <c r="T41" s="45">
        <f t="shared" si="4"/>
        <v>0</v>
      </c>
      <c r="U41" s="40" t="s">
        <v>30</v>
      </c>
      <c r="V41" s="45">
        <v>2018</v>
      </c>
      <c r="W41" s="45"/>
      <c r="X41" s="39">
        <f>IF('مداولات 1'!M:M&gt;'استدراك 1'!M:M,'مداولات 1'!M:M,'استدراك 1'!M:M)</f>
        <v>0</v>
      </c>
      <c r="Y41" s="40">
        <f t="shared" si="5"/>
        <v>0</v>
      </c>
      <c r="Z41" s="40" t="str">
        <f>'كشف النقاط'!O213</f>
        <v>د1</v>
      </c>
      <c r="AA41" s="39">
        <f>IF('مداولات 1'!O:O&gt;'استدراك 1'!O:O,'مداولات 1'!O:O,'استدراك 1'!O:O)</f>
        <v>0</v>
      </c>
      <c r="AB41" s="40">
        <f t="shared" si="6"/>
        <v>0</v>
      </c>
      <c r="AC41" s="40" t="str">
        <f>'كشف النقاط'!O169</f>
        <v>د1</v>
      </c>
      <c r="AD41" s="39">
        <f t="shared" si="21"/>
        <v>0</v>
      </c>
      <c r="AE41" s="41">
        <f t="shared" si="22"/>
        <v>0</v>
      </c>
      <c r="AF41" s="40" t="s">
        <v>30</v>
      </c>
      <c r="AG41" s="45">
        <v>2018</v>
      </c>
      <c r="AH41" s="118"/>
      <c r="AI41" s="42">
        <f>IF('مداولات 1'!S:S&gt;'استدراك 1'!S:S,'مداولات 1'!S:S,'استدراك 1'!S:S)</f>
        <v>0</v>
      </c>
      <c r="AJ41" s="40">
        <f t="shared" si="9"/>
        <v>0</v>
      </c>
      <c r="AK41" s="40" t="str">
        <f>'كشف النقاط'!O257</f>
        <v>د1</v>
      </c>
      <c r="AL41" s="39">
        <f t="shared" si="10"/>
        <v>0</v>
      </c>
      <c r="AM41" s="45">
        <f t="shared" si="11"/>
        <v>0</v>
      </c>
      <c r="AN41" s="45">
        <v>2018</v>
      </c>
      <c r="AO41" s="45" t="s">
        <v>105</v>
      </c>
      <c r="AP41" s="39">
        <f>IF('مداولات 1'!W:W&gt;'استدراك 1'!W:W,'مداولات 1'!W:W,'استدراك 1'!W:W)</f>
        <v>0</v>
      </c>
      <c r="AQ41" s="40">
        <f t="shared" si="12"/>
        <v>0</v>
      </c>
      <c r="AR41" s="40" t="str">
        <f>'كشف النقاط'!O302</f>
        <v>د1</v>
      </c>
      <c r="AS41" s="39">
        <f t="shared" si="13"/>
        <v>0</v>
      </c>
      <c r="AT41" s="109">
        <f t="shared" si="14"/>
        <v>0</v>
      </c>
      <c r="AU41" s="45">
        <v>2018</v>
      </c>
      <c r="AV41" s="109"/>
      <c r="AW41" s="109"/>
      <c r="AX41" s="39">
        <f t="shared" si="15"/>
        <v>0</v>
      </c>
      <c r="AY41" s="46">
        <f t="shared" si="16"/>
        <v>0</v>
      </c>
      <c r="AZ41" s="40" t="s">
        <v>30</v>
      </c>
      <c r="BA41" s="171">
        <v>2018</v>
      </c>
      <c r="BB41" s="120"/>
      <c r="BC41" s="39">
        <f>IF('مداولات 2'!E:E&gt;'استدراك 2'!E:E,'مداولات 2'!E:E,'استدراك 2'!E:E)</f>
        <v>0</v>
      </c>
      <c r="BD41" s="40">
        <f t="shared" si="17"/>
        <v>0</v>
      </c>
      <c r="BE41" s="38" t="str">
        <f>'كشف النقاط'!O387</f>
        <v>د1</v>
      </c>
      <c r="BF41" s="45"/>
      <c r="BG41" s="43">
        <f t="shared" si="18"/>
        <v>0</v>
      </c>
      <c r="BH41" s="46">
        <f t="shared" si="19"/>
        <v>0</v>
      </c>
      <c r="BI41" s="580" t="str">
        <f t="shared" si="20"/>
        <v>د1</v>
      </c>
      <c r="BJ41" s="171">
        <v>2018</v>
      </c>
      <c r="BL41" s="203">
        <v>0</v>
      </c>
      <c r="BM41" s="204">
        <v>0</v>
      </c>
      <c r="BN41" s="204">
        <v>0</v>
      </c>
      <c r="BO41" s="204">
        <v>2017</v>
      </c>
      <c r="BP41" s="205">
        <v>0</v>
      </c>
      <c r="BQ41" s="204">
        <v>0</v>
      </c>
      <c r="BR41" s="204">
        <v>0</v>
      </c>
      <c r="BS41" s="204">
        <v>2017</v>
      </c>
      <c r="BT41" s="205">
        <v>0</v>
      </c>
      <c r="BU41" s="204">
        <v>1</v>
      </c>
      <c r="BV41" s="204" t="s">
        <v>105</v>
      </c>
      <c r="BW41" s="204">
        <v>2017</v>
      </c>
      <c r="BX41" s="205">
        <v>0</v>
      </c>
      <c r="BY41" s="204">
        <v>0</v>
      </c>
      <c r="BZ41" s="206">
        <v>0</v>
      </c>
      <c r="CA41" s="207">
        <v>2017</v>
      </c>
      <c r="CB41" s="238">
        <v>0</v>
      </c>
      <c r="CC41" s="239">
        <v>1</v>
      </c>
      <c r="CD41" s="643"/>
      <c r="CE41" s="208">
        <v>0</v>
      </c>
      <c r="CF41" s="204">
        <v>0</v>
      </c>
      <c r="CG41" s="204" t="s">
        <v>105</v>
      </c>
      <c r="CH41" s="204">
        <v>2017</v>
      </c>
      <c r="CI41" s="205">
        <v>0</v>
      </c>
      <c r="CJ41" s="204">
        <v>0</v>
      </c>
      <c r="CK41" s="204">
        <v>0</v>
      </c>
      <c r="CL41" s="204">
        <v>2017</v>
      </c>
      <c r="CM41" s="205">
        <v>0</v>
      </c>
      <c r="CN41" s="204">
        <v>0</v>
      </c>
      <c r="CO41" s="204" t="s">
        <v>105</v>
      </c>
      <c r="CP41" s="204">
        <v>2017</v>
      </c>
      <c r="CQ41" s="205">
        <v>0</v>
      </c>
      <c r="CR41" s="204">
        <v>0</v>
      </c>
      <c r="CS41" s="209">
        <v>0</v>
      </c>
      <c r="CT41" s="209">
        <v>2017</v>
      </c>
      <c r="CU41" s="238">
        <v>0</v>
      </c>
      <c r="CV41" s="242">
        <v>0</v>
      </c>
      <c r="CW41" s="647"/>
      <c r="CX41" s="80"/>
      <c r="CY41" s="80"/>
      <c r="CZ41" s="80"/>
      <c r="DA41" s="80"/>
      <c r="DB41" s="80"/>
      <c r="DC41" s="80"/>
      <c r="DD41" s="80"/>
      <c r="DE41" s="80"/>
      <c r="DF41" s="80"/>
      <c r="DG41" s="80"/>
      <c r="DH41" s="80"/>
      <c r="DI41" s="80"/>
      <c r="DJ41" s="80"/>
      <c r="DK41" s="80"/>
      <c r="DL41" s="80"/>
      <c r="DM41" s="80"/>
      <c r="DN41" s="80"/>
      <c r="DO41" s="80"/>
      <c r="DP41" s="80"/>
      <c r="DQ41" s="80"/>
    </row>
    <row r="42" spans="2:121" ht="13.5" customHeight="1">
      <c r="B42" s="92" t="s">
        <v>162</v>
      </c>
      <c r="C42" s="47">
        <v>33</v>
      </c>
      <c r="D42" s="143" t="str">
        <f>IF('كشف النقاط'!B40&gt;0,'كشف النقاط'!B40," ")</f>
        <v> </v>
      </c>
      <c r="E42" s="143" t="str">
        <f>IF('كشف النقاط'!C40&gt;0,'كشف النقاط'!C40," ")</f>
        <v> </v>
      </c>
      <c r="F42" s="183"/>
      <c r="G42" s="184"/>
      <c r="H42" s="183"/>
      <c r="I42" s="183"/>
      <c r="J42" s="39" t="str">
        <f>IF('مداولات 1'!E:E&gt;'استدراك 1'!E:E,'مداولات 1'!E:E,'استدراك 1'!E:E)</f>
        <v>صالحي ي</v>
      </c>
      <c r="K42" s="40">
        <f t="shared" si="0"/>
        <v>7</v>
      </c>
      <c r="L42" s="38" t="str">
        <f>'كشف النقاط'!O83</f>
        <v>د1</v>
      </c>
      <c r="M42" s="39" t="str">
        <f>IF('مداولات 1'!G:G&gt;'استدراك 1'!G:G,'مداولات 1'!G:G,'استدراك 1'!G:G)</f>
        <v>صيد</v>
      </c>
      <c r="N42" s="40">
        <f t="shared" si="1"/>
        <v>6</v>
      </c>
      <c r="O42" s="38" t="str">
        <f>'كشف النقاط'!O40</f>
        <v>د1</v>
      </c>
      <c r="P42" s="39" t="str">
        <f>IF('مداولات 1'!I:I&gt;'استدراك 1'!I:I,'مداولات 1'!I:I,'استدراك 1'!I:I)</f>
        <v>صالحي</v>
      </c>
      <c r="Q42" s="40">
        <f t="shared" si="2"/>
        <v>5</v>
      </c>
      <c r="R42" s="40" t="str">
        <f>'كشف النقاط'!O126</f>
        <v>د1</v>
      </c>
      <c r="S42" s="39" t="e">
        <f t="shared" si="3"/>
        <v>#VALUE!</v>
      </c>
      <c r="T42" s="45" t="e">
        <f t="shared" si="4"/>
        <v>#VALUE!</v>
      </c>
      <c r="U42" s="40" t="s">
        <v>30</v>
      </c>
      <c r="V42" s="45">
        <v>2018</v>
      </c>
      <c r="W42" s="45"/>
      <c r="X42" s="39" t="str">
        <f>IF('مداولات 1'!M:M&gt;'استدراك 1'!M:M,'مداولات 1'!M:M,'استدراك 1'!M:M)</f>
        <v>شبيرة</v>
      </c>
      <c r="Y42" s="40">
        <f t="shared" si="5"/>
        <v>5</v>
      </c>
      <c r="Z42" s="40" t="str">
        <f>'كشف النقاط'!O214</f>
        <v>د1</v>
      </c>
      <c r="AA42" s="39" t="str">
        <f>IF('مداولات 1'!O:O&gt;'استدراك 1'!O:O,'مداولات 1'!O:O,'استدراك 1'!O:O)</f>
        <v>ثلايجية</v>
      </c>
      <c r="AB42" s="40">
        <f t="shared" si="6"/>
        <v>4</v>
      </c>
      <c r="AC42" s="40" t="str">
        <f>'كشف النقاط'!O170</f>
        <v>د1</v>
      </c>
      <c r="AD42" s="39" t="e">
        <f t="shared" si="21"/>
        <v>#VALUE!</v>
      </c>
      <c r="AE42" s="41" t="e">
        <f t="shared" si="22"/>
        <v>#VALUE!</v>
      </c>
      <c r="AF42" s="40" t="s">
        <v>30</v>
      </c>
      <c r="AG42" s="45">
        <v>2018</v>
      </c>
      <c r="AH42" s="118"/>
      <c r="AI42" s="42" t="str">
        <f>IF('مداولات 1'!S:S&gt;'استدراك 1'!S:S,'مداولات 1'!S:S,'استدراك 1'!S:S)</f>
        <v>حلايمية</v>
      </c>
      <c r="AJ42" s="40">
        <f t="shared" si="9"/>
        <v>2</v>
      </c>
      <c r="AK42" s="40" t="str">
        <f>'كشف النقاط'!O258</f>
        <v>د1</v>
      </c>
      <c r="AL42" s="39" t="e">
        <f t="shared" si="10"/>
        <v>#VALUE!</v>
      </c>
      <c r="AM42" s="45">
        <f t="shared" si="11"/>
        <v>2</v>
      </c>
      <c r="AN42" s="45">
        <v>2018</v>
      </c>
      <c r="AO42" s="45" t="s">
        <v>105</v>
      </c>
      <c r="AP42" s="39" t="str">
        <f>IF('مداولات 1'!W:W&gt;'استدراك 1'!W:W,'مداولات 1'!W:W,'استدراك 1'!W:W)</f>
        <v>شواقرية</v>
      </c>
      <c r="AQ42" s="40">
        <f t="shared" si="12"/>
        <v>1</v>
      </c>
      <c r="AR42" s="40" t="str">
        <f>'كشف النقاط'!O303</f>
        <v>د1</v>
      </c>
      <c r="AS42" s="39" t="str">
        <f t="shared" si="13"/>
        <v>شواقرية</v>
      </c>
      <c r="AT42" s="109">
        <f t="shared" si="14"/>
        <v>1</v>
      </c>
      <c r="AU42" s="45">
        <v>2018</v>
      </c>
      <c r="AV42" s="109"/>
      <c r="AW42" s="109"/>
      <c r="AX42" s="39" t="e">
        <f t="shared" si="15"/>
        <v>#VALUE!</v>
      </c>
      <c r="AY42" s="46" t="e">
        <f t="shared" si="16"/>
        <v>#VALUE!</v>
      </c>
      <c r="AZ42" s="40" t="s">
        <v>30</v>
      </c>
      <c r="BA42" s="171">
        <v>2018</v>
      </c>
      <c r="BB42" s="120"/>
      <c r="BC42" s="39">
        <f>IF('مداولات 2'!E:E&gt;'استدراك 2'!E:E,'مداولات 2'!E:E,'استدراك 2'!E:E)</f>
        <v>0</v>
      </c>
      <c r="BD42" s="40">
        <f t="shared" si="17"/>
        <v>0</v>
      </c>
      <c r="BE42" s="38" t="str">
        <f>'كشف النقاط'!O388</f>
        <v>د1</v>
      </c>
      <c r="BF42" s="45"/>
      <c r="BG42" s="43">
        <f t="shared" si="18"/>
        <v>0</v>
      </c>
      <c r="BH42" s="46">
        <f t="shared" si="19"/>
        <v>0</v>
      </c>
      <c r="BI42" s="580" t="str">
        <f t="shared" si="20"/>
        <v>د1</v>
      </c>
      <c r="BJ42" s="171">
        <v>2018</v>
      </c>
      <c r="BL42" s="203" t="e">
        <v>#VALUE!</v>
      </c>
      <c r="BM42" s="204" t="e">
        <v>#VALUE!</v>
      </c>
      <c r="BN42" s="204">
        <v>0</v>
      </c>
      <c r="BO42" s="204">
        <v>2017</v>
      </c>
      <c r="BP42" s="205" t="e">
        <v>#VALUE!</v>
      </c>
      <c r="BQ42" s="204" t="e">
        <v>#VALUE!</v>
      </c>
      <c r="BR42" s="204">
        <v>0</v>
      </c>
      <c r="BS42" s="204">
        <v>2017</v>
      </c>
      <c r="BT42" s="205" t="e">
        <v>#VALUE!</v>
      </c>
      <c r="BU42" s="204">
        <v>1</v>
      </c>
      <c r="BV42" s="204" t="s">
        <v>105</v>
      </c>
      <c r="BW42" s="204">
        <v>2017</v>
      </c>
      <c r="BX42" s="205" t="s">
        <v>482</v>
      </c>
      <c r="BY42" s="204">
        <v>1</v>
      </c>
      <c r="BZ42" s="206">
        <v>0</v>
      </c>
      <c r="CA42" s="207">
        <v>2017</v>
      </c>
      <c r="CB42" s="238" t="e">
        <v>#VALUE!</v>
      </c>
      <c r="CC42" s="239" t="e">
        <v>#VALUE!</v>
      </c>
      <c r="CD42" s="643"/>
      <c r="CE42" s="208" t="e">
        <v>#VALUE!</v>
      </c>
      <c r="CF42" s="204" t="e">
        <v>#VALUE!</v>
      </c>
      <c r="CG42" s="204" t="s">
        <v>105</v>
      </c>
      <c r="CH42" s="204">
        <v>2017</v>
      </c>
      <c r="CI42" s="205" t="e">
        <v>#VALUE!</v>
      </c>
      <c r="CJ42" s="204" t="e">
        <v>#VALUE!</v>
      </c>
      <c r="CK42" s="204">
        <v>0</v>
      </c>
      <c r="CL42" s="204">
        <v>2017</v>
      </c>
      <c r="CM42" s="205" t="s">
        <v>482</v>
      </c>
      <c r="CN42" s="204">
        <v>2</v>
      </c>
      <c r="CO42" s="204" t="s">
        <v>105</v>
      </c>
      <c r="CP42" s="204">
        <v>2017</v>
      </c>
      <c r="CQ42" s="205" t="s">
        <v>482</v>
      </c>
      <c r="CR42" s="204">
        <v>1</v>
      </c>
      <c r="CS42" s="209">
        <v>0</v>
      </c>
      <c r="CT42" s="209">
        <v>2017</v>
      </c>
      <c r="CU42" s="238" t="e">
        <v>#VALUE!</v>
      </c>
      <c r="CV42" s="242" t="e">
        <v>#VALUE!</v>
      </c>
      <c r="CW42" s="647"/>
      <c r="CX42" s="80"/>
      <c r="CY42" s="80"/>
      <c r="CZ42" s="80"/>
      <c r="DA42" s="80"/>
      <c r="DB42" s="80"/>
      <c r="DC42" s="80"/>
      <c r="DD42" s="80"/>
      <c r="DE42" s="80"/>
      <c r="DF42" s="80"/>
      <c r="DG42" s="80"/>
      <c r="DH42" s="80"/>
      <c r="DI42" s="80"/>
      <c r="DJ42" s="80"/>
      <c r="DK42" s="80"/>
      <c r="DL42" s="80"/>
      <c r="DM42" s="80"/>
      <c r="DN42" s="80"/>
      <c r="DO42" s="80"/>
      <c r="DP42" s="80"/>
      <c r="DQ42" s="80"/>
    </row>
    <row r="43" spans="2:121" ht="13.5" customHeight="1" thickBot="1">
      <c r="B43" s="92" t="s">
        <v>167</v>
      </c>
      <c r="C43" s="47">
        <v>34</v>
      </c>
      <c r="D43" s="143" t="str">
        <f>IF('كشف النقاط'!B41&gt;0,'كشف النقاط'!B41," ")</f>
        <v> </v>
      </c>
      <c r="E43" s="143" t="str">
        <f>IF('كشف النقاط'!C41&gt;0,'كشف النقاط'!C41," ")</f>
        <v> </v>
      </c>
      <c r="F43" s="183"/>
      <c r="G43" s="184"/>
      <c r="H43" s="183"/>
      <c r="I43" s="183"/>
      <c r="J43" s="39">
        <f>IF('مداولات 1'!E:E&gt;'استدراك 1'!E:E,'مداولات 1'!E:E,'استدراك 1'!E:E)</f>
        <v>0</v>
      </c>
      <c r="K43" s="40">
        <f t="shared" si="0"/>
        <v>0</v>
      </c>
      <c r="L43" s="38" t="str">
        <f>'كشف النقاط'!O84</f>
        <v>د1</v>
      </c>
      <c r="M43" s="39">
        <f>IF('مداولات 1'!G:G&gt;'استدراك 1'!G:G,'مداولات 1'!G:G,'استدراك 1'!G:G)</f>
        <v>0</v>
      </c>
      <c r="N43" s="40">
        <f t="shared" si="1"/>
        <v>0</v>
      </c>
      <c r="O43" s="38" t="str">
        <f>'كشف النقاط'!O41</f>
        <v>د1</v>
      </c>
      <c r="P43" s="39">
        <f>IF('مداولات 1'!I:I&gt;'استدراك 1'!I:I,'مداولات 1'!I:I,'استدراك 1'!I:I)</f>
        <v>0</v>
      </c>
      <c r="Q43" s="40">
        <f t="shared" si="2"/>
        <v>0</v>
      </c>
      <c r="R43" s="40" t="str">
        <f>'كشف النقاط'!O127</f>
        <v>د1</v>
      </c>
      <c r="S43" s="39">
        <f t="shared" si="3"/>
        <v>0</v>
      </c>
      <c r="T43" s="45">
        <f t="shared" si="4"/>
        <v>0</v>
      </c>
      <c r="U43" s="40" t="s">
        <v>30</v>
      </c>
      <c r="V43" s="45">
        <v>2018</v>
      </c>
      <c r="W43" s="45"/>
      <c r="X43" s="39">
        <f>IF('مداولات 1'!M:M&gt;'استدراك 1'!M:M,'مداولات 1'!M:M,'استدراك 1'!M:M)</f>
        <v>0</v>
      </c>
      <c r="Y43" s="40">
        <f t="shared" si="5"/>
        <v>0</v>
      </c>
      <c r="Z43" s="40" t="str">
        <f>'كشف النقاط'!O215</f>
        <v>د1</v>
      </c>
      <c r="AA43" s="39">
        <f>IF('مداولات 1'!O:O&gt;'استدراك 1'!O:O,'مداولات 1'!O:O,'استدراك 1'!O:O)</f>
        <v>0</v>
      </c>
      <c r="AB43" s="40">
        <f t="shared" si="6"/>
        <v>0</v>
      </c>
      <c r="AC43" s="40" t="str">
        <f>'كشف النقاط'!O171</f>
        <v>د1</v>
      </c>
      <c r="AD43" s="39">
        <f t="shared" si="21"/>
        <v>0</v>
      </c>
      <c r="AE43" s="41">
        <f t="shared" si="22"/>
        <v>0</v>
      </c>
      <c r="AF43" s="40" t="s">
        <v>30</v>
      </c>
      <c r="AG43" s="45">
        <v>2018</v>
      </c>
      <c r="AH43" s="118"/>
      <c r="AI43" s="42">
        <f>IF('مداولات 1'!S:S&gt;'استدراك 1'!S:S,'مداولات 1'!S:S,'استدراك 1'!S:S)</f>
        <v>0</v>
      </c>
      <c r="AJ43" s="40">
        <f t="shared" si="9"/>
        <v>0</v>
      </c>
      <c r="AK43" s="40" t="str">
        <f>'كشف النقاط'!O259</f>
        <v>د1</v>
      </c>
      <c r="AL43" s="39">
        <f t="shared" si="10"/>
        <v>0</v>
      </c>
      <c r="AM43" s="45">
        <f t="shared" si="11"/>
        <v>0</v>
      </c>
      <c r="AN43" s="45">
        <v>2018</v>
      </c>
      <c r="AO43" s="45" t="s">
        <v>105</v>
      </c>
      <c r="AP43" s="39">
        <f>IF('مداولات 1'!W:W&gt;'استدراك 1'!W:W,'مداولات 1'!W:W,'استدراك 1'!W:W)</f>
        <v>0</v>
      </c>
      <c r="AQ43" s="40">
        <f t="shared" si="12"/>
        <v>0</v>
      </c>
      <c r="AR43" s="40" t="str">
        <f>'كشف النقاط'!O304</f>
        <v>د1</v>
      </c>
      <c r="AS43" s="39">
        <f t="shared" si="13"/>
        <v>0</v>
      </c>
      <c r="AT43" s="109">
        <f t="shared" si="14"/>
        <v>0</v>
      </c>
      <c r="AU43" s="45">
        <v>2018</v>
      </c>
      <c r="AV43" s="109"/>
      <c r="AW43" s="109"/>
      <c r="AX43" s="39">
        <f t="shared" si="15"/>
        <v>0</v>
      </c>
      <c r="AY43" s="46">
        <f t="shared" si="16"/>
        <v>0</v>
      </c>
      <c r="AZ43" s="40" t="s">
        <v>30</v>
      </c>
      <c r="BA43" s="171">
        <v>2018</v>
      </c>
      <c r="BB43" s="120"/>
      <c r="BC43" s="39">
        <f>IF('مداولات 2'!E:E&gt;'استدراك 2'!E:E,'مداولات 2'!E:E,'استدراك 2'!E:E)</f>
        <v>0</v>
      </c>
      <c r="BD43" s="40">
        <f t="shared" si="17"/>
        <v>0</v>
      </c>
      <c r="BE43" s="38" t="str">
        <f>'كشف النقاط'!O389</f>
        <v>د1</v>
      </c>
      <c r="BF43" s="45"/>
      <c r="BG43" s="43">
        <f t="shared" si="18"/>
        <v>0</v>
      </c>
      <c r="BH43" s="46">
        <f t="shared" si="19"/>
        <v>0</v>
      </c>
      <c r="BI43" s="580" t="str">
        <f t="shared" si="20"/>
        <v>د1</v>
      </c>
      <c r="BJ43" s="171">
        <v>2018</v>
      </c>
      <c r="BL43" s="210">
        <v>0</v>
      </c>
      <c r="BM43" s="233">
        <v>0</v>
      </c>
      <c r="BN43" s="233">
        <v>0</v>
      </c>
      <c r="BO43" s="233">
        <v>2017</v>
      </c>
      <c r="BP43" s="234">
        <v>0</v>
      </c>
      <c r="BQ43" s="233">
        <v>0</v>
      </c>
      <c r="BR43" s="233">
        <v>0</v>
      </c>
      <c r="BS43" s="233">
        <v>2017</v>
      </c>
      <c r="BT43" s="234">
        <v>0</v>
      </c>
      <c r="BU43" s="233">
        <v>1</v>
      </c>
      <c r="BV43" s="233" t="s">
        <v>105</v>
      </c>
      <c r="BW43" s="233">
        <v>2017</v>
      </c>
      <c r="BX43" s="234">
        <v>0</v>
      </c>
      <c r="BY43" s="233">
        <v>0</v>
      </c>
      <c r="BZ43" s="235">
        <v>0</v>
      </c>
      <c r="CA43" s="236">
        <v>2017</v>
      </c>
      <c r="CB43" s="240">
        <v>0</v>
      </c>
      <c r="CC43" s="241">
        <v>1</v>
      </c>
      <c r="CD43" s="644"/>
      <c r="CE43" s="208">
        <v>0</v>
      </c>
      <c r="CF43" s="204">
        <v>0</v>
      </c>
      <c r="CG43" s="204" t="s">
        <v>105</v>
      </c>
      <c r="CH43" s="204">
        <v>2017</v>
      </c>
      <c r="CI43" s="205">
        <v>0</v>
      </c>
      <c r="CJ43" s="204">
        <v>0</v>
      </c>
      <c r="CK43" s="204">
        <v>0</v>
      </c>
      <c r="CL43" s="204">
        <v>2017</v>
      </c>
      <c r="CM43" s="205">
        <v>0</v>
      </c>
      <c r="CN43" s="204">
        <v>0</v>
      </c>
      <c r="CO43" s="204" t="s">
        <v>105</v>
      </c>
      <c r="CP43" s="204">
        <v>2017</v>
      </c>
      <c r="CQ43" s="205">
        <v>0</v>
      </c>
      <c r="CR43" s="204">
        <v>0</v>
      </c>
      <c r="CS43" s="209">
        <v>0</v>
      </c>
      <c r="CT43" s="209">
        <v>2017</v>
      </c>
      <c r="CU43" s="238">
        <v>0</v>
      </c>
      <c r="CV43" s="242">
        <v>0</v>
      </c>
      <c r="CW43" s="647"/>
      <c r="CX43" s="80"/>
      <c r="CY43" s="80"/>
      <c r="CZ43" s="80"/>
      <c r="DA43" s="80"/>
      <c r="DB43" s="80"/>
      <c r="DC43" s="80"/>
      <c r="DD43" s="80"/>
      <c r="DE43" s="80"/>
      <c r="DF43" s="80"/>
      <c r="DG43" s="80"/>
      <c r="DH43" s="80"/>
      <c r="DI43" s="80"/>
      <c r="DJ43" s="80"/>
      <c r="DK43" s="80"/>
      <c r="DL43" s="80"/>
      <c r="DM43" s="80"/>
      <c r="DN43" s="80"/>
      <c r="DO43" s="80"/>
      <c r="DP43" s="80"/>
      <c r="DQ43" s="80"/>
    </row>
    <row r="44" spans="52:121" ht="13.5" customHeight="1">
      <c r="AZ44" s="40" t="s">
        <v>30</v>
      </c>
      <c r="CX44" s="80"/>
      <c r="CY44" s="80"/>
      <c r="CZ44" s="80"/>
      <c r="DA44" s="80"/>
      <c r="DB44" s="80"/>
      <c r="DC44" s="80"/>
      <c r="DD44" s="80"/>
      <c r="DE44" s="80"/>
      <c r="DF44" s="80"/>
      <c r="DG44" s="80"/>
      <c r="DH44" s="80"/>
      <c r="DI44" s="80"/>
      <c r="DJ44" s="80"/>
      <c r="DK44" s="80"/>
      <c r="DL44" s="80"/>
      <c r="DM44" s="80"/>
      <c r="DN44" s="80"/>
      <c r="DO44" s="80"/>
      <c r="DP44" s="80"/>
      <c r="DQ44" s="80"/>
    </row>
    <row r="45" spans="52:121" ht="13.5" customHeight="1">
      <c r="AZ45" s="40" t="s">
        <v>30</v>
      </c>
      <c r="CX45" s="80"/>
      <c r="CY45" s="80"/>
      <c r="CZ45" s="80"/>
      <c r="DA45" s="80"/>
      <c r="DB45" s="80"/>
      <c r="DC45" s="80"/>
      <c r="DD45" s="80"/>
      <c r="DE45" s="80"/>
      <c r="DF45" s="80"/>
      <c r="DG45" s="80"/>
      <c r="DH45" s="80"/>
      <c r="DI45" s="80"/>
      <c r="DJ45" s="80"/>
      <c r="DK45" s="80"/>
      <c r="DL45" s="80"/>
      <c r="DM45" s="80"/>
      <c r="DN45" s="80"/>
      <c r="DO45" s="80"/>
      <c r="DP45" s="80"/>
      <c r="DQ45" s="80"/>
    </row>
    <row r="46" spans="6:121" ht="13.5" customHeight="1">
      <c r="F46" s="30"/>
      <c r="G46" s="30"/>
      <c r="H46" s="30"/>
      <c r="I46" s="30"/>
      <c r="AZ46" s="40" t="s">
        <v>30</v>
      </c>
      <c r="CX46" s="80"/>
      <c r="CY46" s="80"/>
      <c r="CZ46" s="80"/>
      <c r="DA46" s="80"/>
      <c r="DB46" s="80"/>
      <c r="DC46" s="80"/>
      <c r="DD46" s="80"/>
      <c r="DE46" s="80"/>
      <c r="DF46" s="80"/>
      <c r="DG46" s="80"/>
      <c r="DH46" s="80"/>
      <c r="DI46" s="80"/>
      <c r="DJ46" s="80"/>
      <c r="DK46" s="80"/>
      <c r="DL46" s="80"/>
      <c r="DM46" s="80"/>
      <c r="DN46" s="80"/>
      <c r="DO46" s="80"/>
      <c r="DP46" s="80"/>
      <c r="DQ46" s="80"/>
    </row>
    <row r="47" spans="52:121" ht="13.5" customHeight="1">
      <c r="AZ47" s="40" t="s">
        <v>30</v>
      </c>
      <c r="CY47" s="80"/>
      <c r="CZ47" s="80"/>
      <c r="DA47" s="80"/>
      <c r="DB47" s="80"/>
      <c r="DC47" s="80"/>
      <c r="DD47" s="80"/>
      <c r="DE47" s="80"/>
      <c r="DF47" s="80"/>
      <c r="DG47" s="80"/>
      <c r="DH47" s="80"/>
      <c r="DI47" s="80"/>
      <c r="DJ47" s="80"/>
      <c r="DK47" s="80"/>
      <c r="DL47" s="80"/>
      <c r="DM47" s="80"/>
      <c r="DN47" s="80"/>
      <c r="DO47" s="80"/>
      <c r="DP47" s="80"/>
      <c r="DQ47" s="80"/>
    </row>
    <row r="48" spans="102:121" ht="13.5" customHeight="1">
      <c r="CX48" s="80"/>
      <c r="CY48" s="80"/>
      <c r="CZ48" s="80"/>
      <c r="DA48" s="80"/>
      <c r="DB48" s="80"/>
      <c r="DC48" s="80"/>
      <c r="DD48" s="80"/>
      <c r="DE48" s="80"/>
      <c r="DF48" s="80"/>
      <c r="DG48" s="80"/>
      <c r="DH48" s="80"/>
      <c r="DI48" s="80"/>
      <c r="DJ48" s="80"/>
      <c r="DK48" s="80"/>
      <c r="DL48" s="80"/>
      <c r="DM48" s="80"/>
      <c r="DN48" s="80"/>
      <c r="DO48" s="80"/>
      <c r="DP48" s="80"/>
      <c r="DQ48" s="80"/>
    </row>
    <row r="49" spans="102:121" ht="13.5" customHeight="1">
      <c r="CX49" s="80"/>
      <c r="CY49" s="80"/>
      <c r="CZ49" s="80"/>
      <c r="DA49" s="80"/>
      <c r="DB49" s="80"/>
      <c r="DC49" s="80"/>
      <c r="DD49" s="80"/>
      <c r="DE49" s="80"/>
      <c r="DF49" s="80"/>
      <c r="DG49" s="80"/>
      <c r="DH49" s="80"/>
      <c r="DI49" s="80"/>
      <c r="DJ49" s="80"/>
      <c r="DK49" s="80"/>
      <c r="DL49" s="80"/>
      <c r="DM49" s="80"/>
      <c r="DN49" s="80"/>
      <c r="DO49" s="80"/>
      <c r="DP49" s="80"/>
      <c r="DQ49" s="80"/>
    </row>
    <row r="50" spans="102:121" ht="13.5" customHeight="1">
      <c r="CX50" s="80"/>
      <c r="CY50" s="80"/>
      <c r="CZ50" s="80"/>
      <c r="DA50" s="80"/>
      <c r="DB50" s="80"/>
      <c r="DC50" s="80"/>
      <c r="DD50" s="80"/>
      <c r="DE50" s="80"/>
      <c r="DF50" s="80"/>
      <c r="DG50" s="80"/>
      <c r="DH50" s="80"/>
      <c r="DI50" s="80"/>
      <c r="DJ50" s="80"/>
      <c r="DK50" s="80"/>
      <c r="DL50" s="80"/>
      <c r="DM50" s="80"/>
      <c r="DN50" s="80"/>
      <c r="DO50" s="80"/>
      <c r="DP50" s="80"/>
      <c r="DQ50" s="80"/>
    </row>
    <row r="51" spans="102:121" ht="13.5" customHeight="1">
      <c r="CX51" s="80"/>
      <c r="CY51" s="80"/>
      <c r="CZ51" s="80"/>
      <c r="DA51" s="80"/>
      <c r="DB51" s="80"/>
      <c r="DC51" s="80"/>
      <c r="DD51" s="80"/>
      <c r="DE51" s="80"/>
      <c r="DF51" s="80"/>
      <c r="DG51" s="80"/>
      <c r="DH51" s="80"/>
      <c r="DI51" s="80"/>
      <c r="DJ51" s="80"/>
      <c r="DK51" s="80"/>
      <c r="DL51" s="80"/>
      <c r="DM51" s="80"/>
      <c r="DN51" s="80"/>
      <c r="DO51" s="80"/>
      <c r="DP51" s="80"/>
      <c r="DQ51" s="80"/>
    </row>
    <row r="52" spans="102:121" ht="13.5" customHeight="1">
      <c r="CX52" s="80"/>
      <c r="CY52" s="80"/>
      <c r="CZ52" s="80"/>
      <c r="DA52" s="80"/>
      <c r="DB52" s="80"/>
      <c r="DC52" s="80"/>
      <c r="DD52" s="80"/>
      <c r="DE52" s="80"/>
      <c r="DF52" s="80"/>
      <c r="DG52" s="80"/>
      <c r="DH52" s="80"/>
      <c r="DI52" s="80"/>
      <c r="DJ52" s="80"/>
      <c r="DK52" s="80"/>
      <c r="DL52" s="80"/>
      <c r="DM52" s="80"/>
      <c r="DN52" s="80"/>
      <c r="DO52" s="80"/>
      <c r="DP52" s="80"/>
      <c r="DQ52" s="80"/>
    </row>
    <row r="53" spans="6:121" ht="13.5" customHeight="1">
      <c r="F53" s="30"/>
      <c r="G53" s="30"/>
      <c r="H53" s="30"/>
      <c r="I53" s="30"/>
      <c r="CX53" s="80"/>
      <c r="CY53" s="80"/>
      <c r="CZ53" s="80"/>
      <c r="DA53" s="80"/>
      <c r="DB53" s="80"/>
      <c r="DC53" s="80"/>
      <c r="DD53" s="80"/>
      <c r="DE53" s="80"/>
      <c r="DF53" s="80"/>
      <c r="DG53" s="80"/>
      <c r="DH53" s="80"/>
      <c r="DI53" s="80"/>
      <c r="DJ53" s="80"/>
      <c r="DK53" s="80"/>
      <c r="DL53" s="80"/>
      <c r="DM53" s="80"/>
      <c r="DN53" s="80"/>
      <c r="DO53" s="80"/>
      <c r="DP53" s="80"/>
      <c r="DQ53" s="80"/>
    </row>
    <row r="54" spans="102:121" ht="13.5" customHeight="1">
      <c r="CX54" s="80"/>
      <c r="CY54" s="80"/>
      <c r="CZ54" s="80"/>
      <c r="DA54" s="80"/>
      <c r="DB54" s="80"/>
      <c r="DC54" s="80"/>
      <c r="DD54" s="80"/>
      <c r="DE54" s="80"/>
      <c r="DF54" s="80"/>
      <c r="DG54" s="80"/>
      <c r="DH54" s="80"/>
      <c r="DI54" s="80"/>
      <c r="DJ54" s="80"/>
      <c r="DK54" s="80"/>
      <c r="DL54" s="80"/>
      <c r="DM54" s="80"/>
      <c r="DN54" s="80"/>
      <c r="DO54" s="80"/>
      <c r="DP54" s="80"/>
      <c r="DQ54" s="80"/>
    </row>
    <row r="55" spans="102:121" ht="13.5" customHeight="1">
      <c r="CX55" s="80"/>
      <c r="CY55" s="80"/>
      <c r="CZ55" s="80"/>
      <c r="DA55" s="80"/>
      <c r="DB55" s="80"/>
      <c r="DC55" s="80"/>
      <c r="DD55" s="80"/>
      <c r="DE55" s="80"/>
      <c r="DF55" s="80"/>
      <c r="DG55" s="80"/>
      <c r="DH55" s="80"/>
      <c r="DI55" s="80"/>
      <c r="DJ55" s="80"/>
      <c r="DK55" s="80"/>
      <c r="DL55" s="80"/>
      <c r="DM55" s="80"/>
      <c r="DN55" s="80"/>
      <c r="DO55" s="80"/>
      <c r="DP55" s="80"/>
      <c r="DQ55" s="80"/>
    </row>
    <row r="56" spans="6:121" ht="13.5" customHeight="1">
      <c r="F56" s="30"/>
      <c r="G56" s="30"/>
      <c r="H56" s="30"/>
      <c r="I56" s="30"/>
      <c r="CX56" s="80"/>
      <c r="CY56" s="80"/>
      <c r="CZ56" s="80"/>
      <c r="DA56" s="80"/>
      <c r="DB56" s="80"/>
      <c r="DC56" s="80"/>
      <c r="DD56" s="80"/>
      <c r="DE56" s="80"/>
      <c r="DF56" s="80"/>
      <c r="DG56" s="80"/>
      <c r="DH56" s="80"/>
      <c r="DI56" s="80"/>
      <c r="DJ56" s="80"/>
      <c r="DK56" s="80"/>
      <c r="DL56" s="80"/>
      <c r="DM56" s="80"/>
      <c r="DN56" s="80"/>
      <c r="DO56" s="80"/>
      <c r="DP56" s="80"/>
      <c r="DQ56" s="80"/>
    </row>
    <row r="57" spans="6:121" ht="13.5" customHeight="1">
      <c r="F57" s="30"/>
      <c r="G57" s="30"/>
      <c r="H57" s="30"/>
      <c r="I57" s="30"/>
      <c r="CX57" s="80"/>
      <c r="CY57" s="80"/>
      <c r="CZ57" s="80"/>
      <c r="DA57" s="80"/>
      <c r="DB57" s="80"/>
      <c r="DC57" s="80"/>
      <c r="DD57" s="80"/>
      <c r="DE57" s="80"/>
      <c r="DF57" s="80"/>
      <c r="DG57" s="80"/>
      <c r="DH57" s="80"/>
      <c r="DI57" s="80"/>
      <c r="DJ57" s="80"/>
      <c r="DK57" s="80"/>
      <c r="DL57" s="80"/>
      <c r="DM57" s="80"/>
      <c r="DN57" s="80"/>
      <c r="DO57" s="80"/>
      <c r="DP57" s="80"/>
      <c r="DQ57" s="80"/>
    </row>
    <row r="58" spans="102:121" ht="13.5" customHeight="1">
      <c r="CX58" s="80"/>
      <c r="CY58" s="80"/>
      <c r="CZ58" s="80"/>
      <c r="DA58" s="80"/>
      <c r="DB58" s="80"/>
      <c r="DC58" s="80"/>
      <c r="DD58" s="80"/>
      <c r="DE58" s="80"/>
      <c r="DF58" s="80"/>
      <c r="DG58" s="80"/>
      <c r="DH58" s="80"/>
      <c r="DI58" s="80"/>
      <c r="DJ58" s="80"/>
      <c r="DK58" s="80"/>
      <c r="DL58" s="80"/>
      <c r="DM58" s="80"/>
      <c r="DN58" s="80"/>
      <c r="DO58" s="80"/>
      <c r="DP58" s="80"/>
      <c r="DQ58" s="80"/>
    </row>
    <row r="59" spans="102:121" ht="13.5" customHeight="1">
      <c r="CX59" s="80"/>
      <c r="CY59" s="80"/>
      <c r="CZ59" s="80"/>
      <c r="DA59" s="80"/>
      <c r="DB59" s="80"/>
      <c r="DC59" s="80"/>
      <c r="DD59" s="80"/>
      <c r="DE59" s="80"/>
      <c r="DF59" s="80"/>
      <c r="DG59" s="80"/>
      <c r="DH59" s="80"/>
      <c r="DI59" s="80"/>
      <c r="DJ59" s="80"/>
      <c r="DK59" s="80"/>
      <c r="DL59" s="80"/>
      <c r="DM59" s="80"/>
      <c r="DN59" s="80"/>
      <c r="DO59" s="80"/>
      <c r="DP59" s="80"/>
      <c r="DQ59" s="80"/>
    </row>
    <row r="60" spans="102:121" ht="13.5" customHeight="1">
      <c r="CX60" s="80"/>
      <c r="CY60" s="80"/>
      <c r="CZ60" s="80"/>
      <c r="DA60" s="80"/>
      <c r="DB60" s="80"/>
      <c r="DC60" s="80"/>
      <c r="DD60" s="80"/>
      <c r="DE60" s="80"/>
      <c r="DF60" s="80"/>
      <c r="DG60" s="80"/>
      <c r="DH60" s="80"/>
      <c r="DI60" s="80"/>
      <c r="DJ60" s="80"/>
      <c r="DK60" s="80"/>
      <c r="DL60" s="80"/>
      <c r="DM60" s="80"/>
      <c r="DN60" s="80"/>
      <c r="DO60" s="80"/>
      <c r="DP60" s="80"/>
      <c r="DQ60" s="80"/>
    </row>
    <row r="61" spans="102:121" ht="13.5" customHeight="1">
      <c r="CX61" s="80"/>
      <c r="CY61" s="80"/>
      <c r="CZ61" s="80"/>
      <c r="DA61" s="80"/>
      <c r="DB61" s="80"/>
      <c r="DC61" s="80"/>
      <c r="DD61" s="80"/>
      <c r="DE61" s="80"/>
      <c r="DF61" s="80"/>
      <c r="DG61" s="80"/>
      <c r="DH61" s="80"/>
      <c r="DI61" s="80"/>
      <c r="DJ61" s="80"/>
      <c r="DK61" s="80"/>
      <c r="DL61" s="80"/>
      <c r="DM61" s="80"/>
      <c r="DN61" s="80"/>
      <c r="DO61" s="80"/>
      <c r="DP61" s="80"/>
      <c r="DQ61" s="80"/>
    </row>
    <row r="62" spans="102:121" ht="13.5" customHeight="1">
      <c r="CX62" s="80"/>
      <c r="CY62" s="80"/>
      <c r="CZ62" s="80"/>
      <c r="DA62" s="80"/>
      <c r="DB62" s="80"/>
      <c r="DC62" s="80"/>
      <c r="DD62" s="80"/>
      <c r="DE62" s="80"/>
      <c r="DF62" s="80"/>
      <c r="DG62" s="80"/>
      <c r="DH62" s="80"/>
      <c r="DI62" s="80"/>
      <c r="DJ62" s="80"/>
      <c r="DK62" s="80"/>
      <c r="DL62" s="80"/>
      <c r="DM62" s="80"/>
      <c r="DN62" s="80"/>
      <c r="DO62" s="80"/>
      <c r="DP62" s="80"/>
      <c r="DQ62" s="80"/>
    </row>
    <row r="63" spans="102:121" ht="13.5" customHeight="1">
      <c r="CX63" s="80"/>
      <c r="CY63" s="80"/>
      <c r="CZ63" s="80"/>
      <c r="DA63" s="80"/>
      <c r="DB63" s="80"/>
      <c r="DC63" s="80"/>
      <c r="DD63" s="80"/>
      <c r="DE63" s="80"/>
      <c r="DF63" s="80"/>
      <c r="DG63" s="80"/>
      <c r="DH63" s="80"/>
      <c r="DI63" s="80"/>
      <c r="DJ63" s="80"/>
      <c r="DK63" s="80"/>
      <c r="DL63" s="80"/>
      <c r="DM63" s="80"/>
      <c r="DN63" s="80"/>
      <c r="DO63" s="80"/>
      <c r="DP63" s="80"/>
      <c r="DQ63" s="80"/>
    </row>
    <row r="64" spans="102:121" ht="13.5" customHeight="1">
      <c r="CX64" s="80"/>
      <c r="CY64" s="80"/>
      <c r="CZ64" s="80"/>
      <c r="DA64" s="80"/>
      <c r="DB64" s="80"/>
      <c r="DC64" s="80"/>
      <c r="DD64" s="80"/>
      <c r="DE64" s="80"/>
      <c r="DF64" s="80"/>
      <c r="DG64" s="80"/>
      <c r="DH64" s="80"/>
      <c r="DI64" s="80"/>
      <c r="DJ64" s="80"/>
      <c r="DK64" s="80"/>
      <c r="DL64" s="80"/>
      <c r="DM64" s="80"/>
      <c r="DN64" s="80"/>
      <c r="DO64" s="80"/>
      <c r="DP64" s="80"/>
      <c r="DQ64" s="80"/>
    </row>
    <row r="65" spans="102:121" ht="13.5" customHeight="1">
      <c r="CX65" s="80"/>
      <c r="CY65" s="80"/>
      <c r="CZ65" s="80"/>
      <c r="DA65" s="80"/>
      <c r="DB65" s="80"/>
      <c r="DC65" s="80"/>
      <c r="DD65" s="80"/>
      <c r="DE65" s="80"/>
      <c r="DF65" s="80"/>
      <c r="DG65" s="80"/>
      <c r="DH65" s="80"/>
      <c r="DI65" s="80"/>
      <c r="DJ65" s="80"/>
      <c r="DK65" s="80"/>
      <c r="DL65" s="80"/>
      <c r="DM65" s="80"/>
      <c r="DN65" s="80"/>
      <c r="DO65" s="80"/>
      <c r="DP65" s="80"/>
      <c r="DQ65" s="80"/>
    </row>
    <row r="66" spans="102:121" ht="13.5" customHeight="1">
      <c r="CX66" s="80"/>
      <c r="CY66" s="80"/>
      <c r="CZ66" s="80"/>
      <c r="DA66" s="80"/>
      <c r="DB66" s="80"/>
      <c r="DC66" s="80"/>
      <c r="DD66" s="80"/>
      <c r="DE66" s="80"/>
      <c r="DF66" s="80"/>
      <c r="DG66" s="80"/>
      <c r="DH66" s="80"/>
      <c r="DI66" s="80"/>
      <c r="DJ66" s="80"/>
      <c r="DK66" s="80"/>
      <c r="DL66" s="80"/>
      <c r="DM66" s="80"/>
      <c r="DN66" s="80"/>
      <c r="DO66" s="80"/>
      <c r="DP66" s="80"/>
      <c r="DQ66" s="80"/>
    </row>
    <row r="67" spans="102:121" ht="13.5" customHeight="1">
      <c r="CX67" s="80"/>
      <c r="CY67" s="80"/>
      <c r="CZ67" s="80"/>
      <c r="DA67" s="80"/>
      <c r="DB67" s="80"/>
      <c r="DC67" s="80"/>
      <c r="DD67" s="80"/>
      <c r="DE67" s="80"/>
      <c r="DF67" s="80"/>
      <c r="DG67" s="80"/>
      <c r="DH67" s="80"/>
      <c r="DI67" s="80"/>
      <c r="DJ67" s="80"/>
      <c r="DK67" s="80"/>
      <c r="DL67" s="80"/>
      <c r="DM67" s="80"/>
      <c r="DN67" s="80"/>
      <c r="DO67" s="80"/>
      <c r="DP67" s="80"/>
      <c r="DQ67" s="80"/>
    </row>
    <row r="68" spans="102:121" ht="13.5" customHeight="1">
      <c r="CX68" s="80"/>
      <c r="CY68" s="80"/>
      <c r="CZ68" s="80"/>
      <c r="DA68" s="80"/>
      <c r="DB68" s="80"/>
      <c r="DC68" s="80"/>
      <c r="DD68" s="80"/>
      <c r="DE68" s="80"/>
      <c r="DF68" s="80"/>
      <c r="DG68" s="80"/>
      <c r="DH68" s="80"/>
      <c r="DI68" s="80"/>
      <c r="DJ68" s="80"/>
      <c r="DK68" s="80"/>
      <c r="DL68" s="80"/>
      <c r="DM68" s="80"/>
      <c r="DN68" s="80"/>
      <c r="DO68" s="80"/>
      <c r="DP68" s="80"/>
      <c r="DQ68" s="80"/>
    </row>
    <row r="69" spans="102:121" ht="13.5" customHeight="1">
      <c r="CX69" s="80"/>
      <c r="CY69" s="80"/>
      <c r="CZ69" s="80"/>
      <c r="DA69" s="80"/>
      <c r="DB69" s="80"/>
      <c r="DC69" s="80"/>
      <c r="DD69" s="80"/>
      <c r="DE69" s="80"/>
      <c r="DF69" s="80"/>
      <c r="DG69" s="80"/>
      <c r="DH69" s="80"/>
      <c r="DI69" s="80"/>
      <c r="DJ69" s="80"/>
      <c r="DK69" s="80"/>
      <c r="DL69" s="80"/>
      <c r="DM69" s="80"/>
      <c r="DN69" s="80"/>
      <c r="DO69" s="80"/>
      <c r="DP69" s="80"/>
      <c r="DQ69" s="80"/>
    </row>
    <row r="70" spans="102:121" ht="13.5" customHeight="1">
      <c r="CX70" s="80"/>
      <c r="CY70" s="80"/>
      <c r="CZ70" s="80"/>
      <c r="DA70" s="80"/>
      <c r="DB70" s="80"/>
      <c r="DC70" s="80"/>
      <c r="DD70" s="80"/>
      <c r="DE70" s="80"/>
      <c r="DF70" s="80"/>
      <c r="DG70" s="80"/>
      <c r="DH70" s="80"/>
      <c r="DI70" s="80"/>
      <c r="DJ70" s="80"/>
      <c r="DK70" s="80"/>
      <c r="DL70" s="80"/>
      <c r="DM70" s="80"/>
      <c r="DN70" s="80"/>
      <c r="DO70" s="80"/>
      <c r="DP70" s="80"/>
      <c r="DQ70" s="80"/>
    </row>
    <row r="71" spans="102:121" ht="13.5" customHeight="1">
      <c r="CX71" s="80"/>
      <c r="CY71" s="80"/>
      <c r="CZ71" s="80"/>
      <c r="DA71" s="80"/>
      <c r="DB71" s="80"/>
      <c r="DC71" s="80"/>
      <c r="DD71" s="80"/>
      <c r="DE71" s="80"/>
      <c r="DF71" s="80"/>
      <c r="DG71" s="80"/>
      <c r="DH71" s="80"/>
      <c r="DI71" s="80"/>
      <c r="DJ71" s="80"/>
      <c r="DK71" s="80"/>
      <c r="DL71" s="80"/>
      <c r="DM71" s="80"/>
      <c r="DN71" s="80"/>
      <c r="DO71" s="80"/>
      <c r="DP71" s="80"/>
      <c r="DQ71" s="80"/>
    </row>
    <row r="72" spans="102:121" ht="13.5" customHeight="1">
      <c r="CX72" s="80"/>
      <c r="CY72" s="80"/>
      <c r="CZ72" s="80"/>
      <c r="DA72" s="80"/>
      <c r="DB72" s="80"/>
      <c r="DC72" s="80"/>
      <c r="DD72" s="80"/>
      <c r="DE72" s="80"/>
      <c r="DF72" s="80"/>
      <c r="DG72" s="80"/>
      <c r="DH72" s="80"/>
      <c r="DI72" s="80"/>
      <c r="DJ72" s="80"/>
      <c r="DK72" s="80"/>
      <c r="DL72" s="80"/>
      <c r="DM72" s="80"/>
      <c r="DN72" s="80"/>
      <c r="DO72" s="80"/>
      <c r="DP72" s="80"/>
      <c r="DQ72" s="80"/>
    </row>
    <row r="73" spans="102:121" ht="13.5" customHeight="1">
      <c r="CX73" s="80"/>
      <c r="CY73" s="80"/>
      <c r="CZ73" s="80"/>
      <c r="DA73" s="80"/>
      <c r="DB73" s="80"/>
      <c r="DC73" s="80"/>
      <c r="DD73" s="80"/>
      <c r="DE73" s="80"/>
      <c r="DF73" s="80"/>
      <c r="DG73" s="80"/>
      <c r="DH73" s="80"/>
      <c r="DI73" s="80"/>
      <c r="DJ73" s="80"/>
      <c r="DK73" s="80"/>
      <c r="DL73" s="80"/>
      <c r="DM73" s="80"/>
      <c r="DN73" s="80"/>
      <c r="DO73" s="80"/>
      <c r="DP73" s="80"/>
      <c r="DQ73" s="80"/>
    </row>
    <row r="74" spans="102:121" ht="13.5" customHeight="1">
      <c r="CX74" s="80"/>
      <c r="CY74" s="80"/>
      <c r="CZ74" s="80"/>
      <c r="DA74" s="80"/>
      <c r="DB74" s="80"/>
      <c r="DC74" s="80"/>
      <c r="DD74" s="80"/>
      <c r="DE74" s="80"/>
      <c r="DF74" s="80"/>
      <c r="DG74" s="80"/>
      <c r="DH74" s="80"/>
      <c r="DI74" s="80"/>
      <c r="DJ74" s="80"/>
      <c r="DK74" s="80"/>
      <c r="DL74" s="80"/>
      <c r="DM74" s="80"/>
      <c r="DN74" s="80"/>
      <c r="DO74" s="80"/>
      <c r="DP74" s="80"/>
      <c r="DQ74" s="80"/>
    </row>
    <row r="75" spans="102:121" ht="13.5" customHeight="1">
      <c r="CX75" s="80"/>
      <c r="CY75" s="80"/>
      <c r="CZ75" s="80"/>
      <c r="DA75" s="80"/>
      <c r="DB75" s="80"/>
      <c r="DC75" s="80"/>
      <c r="DD75" s="80"/>
      <c r="DE75" s="80"/>
      <c r="DF75" s="80"/>
      <c r="DG75" s="80"/>
      <c r="DH75" s="80"/>
      <c r="DI75" s="80"/>
      <c r="DJ75" s="80"/>
      <c r="DK75" s="80"/>
      <c r="DL75" s="80"/>
      <c r="DM75" s="80"/>
      <c r="DN75" s="80"/>
      <c r="DO75" s="80"/>
      <c r="DP75" s="80"/>
      <c r="DQ75" s="80"/>
    </row>
    <row r="76" spans="102:121" ht="13.5" customHeight="1">
      <c r="CX76" s="80"/>
      <c r="CY76" s="80"/>
      <c r="CZ76" s="80"/>
      <c r="DA76" s="80"/>
      <c r="DB76" s="80"/>
      <c r="DC76" s="80"/>
      <c r="DD76" s="80"/>
      <c r="DE76" s="80"/>
      <c r="DF76" s="80"/>
      <c r="DG76" s="80"/>
      <c r="DH76" s="80"/>
      <c r="DI76" s="80"/>
      <c r="DJ76" s="80"/>
      <c r="DK76" s="80"/>
      <c r="DL76" s="80"/>
      <c r="DM76" s="80"/>
      <c r="DN76" s="80"/>
      <c r="DO76" s="80"/>
      <c r="DP76" s="80"/>
      <c r="DQ76" s="80"/>
    </row>
    <row r="77" spans="102:121" ht="13.5" customHeight="1">
      <c r="CX77" s="80"/>
      <c r="CY77" s="80"/>
      <c r="CZ77" s="80"/>
      <c r="DA77" s="80"/>
      <c r="DB77" s="80"/>
      <c r="DC77" s="80"/>
      <c r="DD77" s="80"/>
      <c r="DE77" s="80"/>
      <c r="DF77" s="80"/>
      <c r="DG77" s="80"/>
      <c r="DH77" s="80"/>
      <c r="DI77" s="80"/>
      <c r="DJ77" s="80"/>
      <c r="DK77" s="80"/>
      <c r="DL77" s="80"/>
      <c r="DM77" s="80"/>
      <c r="DN77" s="80"/>
      <c r="DO77" s="80"/>
      <c r="DP77" s="80"/>
      <c r="DQ77" s="80"/>
    </row>
    <row r="78" spans="102:121" ht="13.5" customHeight="1">
      <c r="CX78" s="80"/>
      <c r="CY78" s="80"/>
      <c r="CZ78" s="80"/>
      <c r="DA78" s="80"/>
      <c r="DB78" s="80"/>
      <c r="DC78" s="80"/>
      <c r="DD78" s="80"/>
      <c r="DE78" s="80"/>
      <c r="DF78" s="80"/>
      <c r="DG78" s="80"/>
      <c r="DH78" s="80"/>
      <c r="DI78" s="80"/>
      <c r="DJ78" s="80"/>
      <c r="DK78" s="80"/>
      <c r="DL78" s="80"/>
      <c r="DM78" s="80"/>
      <c r="DN78" s="80"/>
      <c r="DO78" s="80"/>
      <c r="DP78" s="80"/>
      <c r="DQ78" s="80"/>
    </row>
    <row r="79" spans="102:121" ht="13.5" customHeight="1">
      <c r="CX79" s="80"/>
      <c r="CY79" s="80"/>
      <c r="CZ79" s="80"/>
      <c r="DA79" s="80"/>
      <c r="DB79" s="80"/>
      <c r="DC79" s="80"/>
      <c r="DD79" s="80"/>
      <c r="DE79" s="80"/>
      <c r="DF79" s="80"/>
      <c r="DG79" s="80"/>
      <c r="DH79" s="80"/>
      <c r="DI79" s="80"/>
      <c r="DJ79" s="80"/>
      <c r="DK79" s="80"/>
      <c r="DL79" s="80"/>
      <c r="DM79" s="80"/>
      <c r="DN79" s="80"/>
      <c r="DO79" s="80"/>
      <c r="DP79" s="80"/>
      <c r="DQ79" s="80"/>
    </row>
    <row r="80" spans="102:121" ht="13.5" customHeight="1">
      <c r="CX80" s="80"/>
      <c r="CY80" s="80"/>
      <c r="CZ80" s="80"/>
      <c r="DA80" s="80"/>
      <c r="DB80" s="80"/>
      <c r="DC80" s="80"/>
      <c r="DD80" s="80"/>
      <c r="DE80" s="80"/>
      <c r="DF80" s="80"/>
      <c r="DG80" s="80"/>
      <c r="DH80" s="80"/>
      <c r="DI80" s="80"/>
      <c r="DJ80" s="80"/>
      <c r="DK80" s="80"/>
      <c r="DL80" s="80"/>
      <c r="DM80" s="80"/>
      <c r="DN80" s="80"/>
      <c r="DO80" s="80"/>
      <c r="DP80" s="80"/>
      <c r="DQ80" s="80"/>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sheetData>
  <sheetProtection/>
  <mergeCells count="6">
    <mergeCell ref="D5:D9"/>
    <mergeCell ref="E5:E9"/>
    <mergeCell ref="F5:F9"/>
    <mergeCell ref="G5:G9"/>
    <mergeCell ref="H5:H9"/>
    <mergeCell ref="I5:I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SALHI</dc:creator>
  <cp:keywords/>
  <dc:description/>
  <cp:lastModifiedBy>moatzz</cp:lastModifiedBy>
  <cp:lastPrinted>2018-03-19T10:07:19Z</cp:lastPrinted>
  <dcterms:created xsi:type="dcterms:W3CDTF">2010-02-23T08:08:35Z</dcterms:created>
  <dcterms:modified xsi:type="dcterms:W3CDTF">2018-03-29T21:18:54Z</dcterms:modified>
  <cp:category/>
  <cp:version/>
  <cp:contentType/>
  <cp:contentStatus/>
</cp:coreProperties>
</file>